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315" yWindow="15" windowWidth="24975" windowHeight="11100"/>
  </bookViews>
  <sheets>
    <sheet name="updated revenue and expenses" sheetId="1" r:id="rId1"/>
    <sheet name="MS staff" sheetId="2" r:id="rId2"/>
    <sheet name="HS Staff" sheetId="3" r:id="rId3"/>
    <sheet name="Depreciation" sheetId="4" r:id="rId4"/>
    <sheet name="Expansion Work Plan" sheetId="5" r:id="rId5"/>
    <sheet name="Stmt of Net Assets" sheetId="9" r:id="rId6"/>
    <sheet name="rev&amp;exp k1-12" sheetId="10" r:id="rId7"/>
    <sheet name="dashboard - hs &amp; existing schoo" sheetId="11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4">'Expansion Work Plan'!$A$1:$E$61</definedName>
    <definedName name="_xlnm.Print_Area" localSheetId="6">'rev&amp;exp k1-12'!$A$1:$AI$40</definedName>
    <definedName name="_xlnm.Print_Titles" localSheetId="2">'HS Staff'!$2:$3</definedName>
    <definedName name="_xlnm.Print_Titles" localSheetId="6">'rev&amp;exp k1-12'!$A:$C,'rev&amp;exp k1-12'!$1:$1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1"/>
  <c r="L4"/>
  <c r="N4"/>
  <c r="P4"/>
  <c r="R4"/>
  <c r="T4"/>
  <c r="V4"/>
  <c r="H8"/>
  <c r="J12"/>
  <c r="L12"/>
  <c r="N12"/>
  <c r="P12"/>
  <c r="R12"/>
  <c r="T12"/>
  <c r="V12"/>
  <c r="J16"/>
  <c r="L16"/>
  <c r="N16"/>
  <c r="P16"/>
  <c r="R16"/>
  <c r="T16"/>
  <c r="J20"/>
  <c r="L20"/>
  <c r="N20"/>
  <c r="P20"/>
  <c r="R20"/>
  <c r="T20"/>
  <c r="V20"/>
  <c r="J24"/>
  <c r="L24"/>
  <c r="N24"/>
  <c r="P24"/>
  <c r="R24"/>
  <c r="T24"/>
  <c r="V24"/>
  <c r="J28"/>
  <c r="L28"/>
  <c r="N28"/>
  <c r="P28"/>
  <c r="R28"/>
  <c r="T28"/>
  <c r="V28"/>
  <c r="F3" i="10"/>
  <c r="H3"/>
  <c r="I3"/>
  <c r="L3" s="1"/>
  <c r="H4"/>
  <c r="K4"/>
  <c r="N4"/>
  <c r="Q4"/>
  <c r="T4"/>
  <c r="W4"/>
  <c r="H5"/>
  <c r="H8" s="1"/>
  <c r="K5"/>
  <c r="N5"/>
  <c r="Q5"/>
  <c r="T5"/>
  <c r="W5"/>
  <c r="F6"/>
  <c r="H6"/>
  <c r="I6"/>
  <c r="L6" s="1"/>
  <c r="H7"/>
  <c r="I7"/>
  <c r="L7" s="1"/>
  <c r="K7"/>
  <c r="D8"/>
  <c r="E8"/>
  <c r="F8"/>
  <c r="G8"/>
  <c r="J8"/>
  <c r="M8"/>
  <c r="P8"/>
  <c r="S8"/>
  <c r="V8"/>
  <c r="X8"/>
  <c r="F11"/>
  <c r="H11"/>
  <c r="I11"/>
  <c r="L11" s="1"/>
  <c r="H12"/>
  <c r="K12"/>
  <c r="N12"/>
  <c r="Q12"/>
  <c r="T12"/>
  <c r="W12"/>
  <c r="E13"/>
  <c r="E18" s="1"/>
  <c r="E20" s="1"/>
  <c r="E25" s="1"/>
  <c r="E29" s="1"/>
  <c r="E32" s="1"/>
  <c r="H14"/>
  <c r="K14"/>
  <c r="N14"/>
  <c r="Q14"/>
  <c r="T14"/>
  <c r="W14"/>
  <c r="H15"/>
  <c r="K15"/>
  <c r="N15"/>
  <c r="Q15"/>
  <c r="T15"/>
  <c r="W15"/>
  <c r="H16"/>
  <c r="K16"/>
  <c r="N16"/>
  <c r="Q16"/>
  <c r="Q26" s="1"/>
  <c r="T16"/>
  <c r="W16"/>
  <c r="H17"/>
  <c r="K17"/>
  <c r="K28" s="1"/>
  <c r="N17"/>
  <c r="Q17"/>
  <c r="T17"/>
  <c r="W17"/>
  <c r="W28" s="1"/>
  <c r="D18"/>
  <c r="G18"/>
  <c r="J18"/>
  <c r="M18"/>
  <c r="P18"/>
  <c r="S18"/>
  <c r="V18"/>
  <c r="D20"/>
  <c r="G20"/>
  <c r="J20"/>
  <c r="M20"/>
  <c r="P20"/>
  <c r="S20"/>
  <c r="V20"/>
  <c r="D25"/>
  <c r="G25"/>
  <c r="G29" s="1"/>
  <c r="G32" s="1"/>
  <c r="J25"/>
  <c r="M25"/>
  <c r="P25"/>
  <c r="S25"/>
  <c r="S29" s="1"/>
  <c r="S32" s="1"/>
  <c r="V25"/>
  <c r="E26"/>
  <c r="H26"/>
  <c r="K26"/>
  <c r="N26"/>
  <c r="T26"/>
  <c r="W26"/>
  <c r="E27"/>
  <c r="H27"/>
  <c r="K27"/>
  <c r="N27"/>
  <c r="Q27"/>
  <c r="T27"/>
  <c r="W27"/>
  <c r="D28"/>
  <c r="E28"/>
  <c r="F28"/>
  <c r="G28"/>
  <c r="H28"/>
  <c r="I28"/>
  <c r="J28"/>
  <c r="L28"/>
  <c r="M28"/>
  <c r="N28"/>
  <c r="O28"/>
  <c r="P28"/>
  <c r="Q28"/>
  <c r="R28"/>
  <c r="S28"/>
  <c r="T28"/>
  <c r="U28"/>
  <c r="V28"/>
  <c r="D29"/>
  <c r="J29"/>
  <c r="M29"/>
  <c r="P29"/>
  <c r="V29"/>
  <c r="H30"/>
  <c r="K30"/>
  <c r="N30"/>
  <c r="Q30"/>
  <c r="T30"/>
  <c r="W30"/>
  <c r="H31"/>
  <c r="K31"/>
  <c r="N31"/>
  <c r="Q31"/>
  <c r="T31"/>
  <c r="W31"/>
  <c r="D32"/>
  <c r="J32"/>
  <c r="M32"/>
  <c r="P32"/>
  <c r="V32"/>
  <c r="D4" i="9"/>
  <c r="F4"/>
  <c r="J4"/>
  <c r="L4"/>
  <c r="N4"/>
  <c r="D5"/>
  <c r="F5"/>
  <c r="H5"/>
  <c r="J5" s="1"/>
  <c r="D6"/>
  <c r="F6" s="1"/>
  <c r="H6" s="1"/>
  <c r="J6" s="1"/>
  <c r="L6" s="1"/>
  <c r="N6" s="1"/>
  <c r="P6" s="1"/>
  <c r="B7"/>
  <c r="B13" s="1"/>
  <c r="D7"/>
  <c r="D9"/>
  <c r="D11" s="1"/>
  <c r="D13" s="1"/>
  <c r="D10"/>
  <c r="F10"/>
  <c r="F29" s="1"/>
  <c r="B11"/>
  <c r="D16"/>
  <c r="F16"/>
  <c r="H16"/>
  <c r="D17"/>
  <c r="F17" s="1"/>
  <c r="D18"/>
  <c r="F18" s="1"/>
  <c r="H18" s="1"/>
  <c r="J18" s="1"/>
  <c r="L18" s="1"/>
  <c r="N18" s="1"/>
  <c r="P18" s="1"/>
  <c r="B19"/>
  <c r="D19"/>
  <c r="B21"/>
  <c r="D21"/>
  <c r="D26"/>
  <c r="F26"/>
  <c r="F27" s="1"/>
  <c r="F31" s="1"/>
  <c r="B27"/>
  <c r="D27"/>
  <c r="D31" s="1"/>
  <c r="D33" s="1"/>
  <c r="D29"/>
  <c r="B31"/>
  <c r="B33"/>
  <c r="L5" l="1"/>
  <c r="J7"/>
  <c r="N3" i="10"/>
  <c r="L8"/>
  <c r="O3"/>
  <c r="O7"/>
  <c r="N7"/>
  <c r="F33" i="9"/>
  <c r="F7"/>
  <c r="H17"/>
  <c r="J17" s="1"/>
  <c r="L17" s="1"/>
  <c r="N17" s="1"/>
  <c r="P17" s="1"/>
  <c r="F19"/>
  <c r="F21" s="1"/>
  <c r="N11" i="10"/>
  <c r="O11"/>
  <c r="N6"/>
  <c r="O6"/>
  <c r="H26" i="9"/>
  <c r="J16"/>
  <c r="H10"/>
  <c r="J10" s="1"/>
  <c r="L10" s="1"/>
  <c r="N10" s="1"/>
  <c r="P10" s="1"/>
  <c r="F9"/>
  <c r="P4"/>
  <c r="H4"/>
  <c r="H7" s="1"/>
  <c r="F13" i="10"/>
  <c r="K11"/>
  <c r="K6"/>
  <c r="K3"/>
  <c r="I8"/>
  <c r="N52" i="1"/>
  <c r="M52"/>
  <c r="K52"/>
  <c r="I52"/>
  <c r="H52"/>
  <c r="G52"/>
  <c r="N38"/>
  <c r="M38"/>
  <c r="L38"/>
  <c r="K38"/>
  <c r="J38"/>
  <c r="I38"/>
  <c r="H38"/>
  <c r="G38"/>
  <c r="E38"/>
  <c r="E52"/>
  <c r="O65"/>
  <c r="O45"/>
  <c r="O46"/>
  <c r="O47"/>
  <c r="O48"/>
  <c r="O49" s="1"/>
  <c r="O50" s="1"/>
  <c r="O51" s="1"/>
  <c r="O52" s="1"/>
  <c r="O53" s="1"/>
  <c r="O54" s="1"/>
  <c r="O55" s="1"/>
  <c r="O56" s="1"/>
  <c r="O57" s="1"/>
  <c r="O58" s="1"/>
  <c r="O37"/>
  <c r="O38"/>
  <c r="O39" s="1"/>
  <c r="O40" s="1"/>
  <c r="L55"/>
  <c r="I55"/>
  <c r="K55" s="1"/>
  <c r="M55" s="1"/>
  <c r="N55" s="1"/>
  <c r="I20" i="4"/>
  <c r="I22" s="1"/>
  <c r="N57" i="1" s="1"/>
  <c r="N66" s="1"/>
  <c r="R40" i="4"/>
  <c r="I21"/>
  <c r="H20"/>
  <c r="H22" s="1"/>
  <c r="M57" i="1" s="1"/>
  <c r="M66" s="1"/>
  <c r="P40" i="4"/>
  <c r="H21"/>
  <c r="G20"/>
  <c r="G22" s="1"/>
  <c r="K57" i="1" s="1"/>
  <c r="K66" s="1"/>
  <c r="N40" i="4"/>
  <c r="G21" s="1"/>
  <c r="F20"/>
  <c r="F22" s="1"/>
  <c r="I57" i="1" s="1"/>
  <c r="I66" s="1"/>
  <c r="L40" i="4"/>
  <c r="F21"/>
  <c r="E20"/>
  <c r="J40"/>
  <c r="E21"/>
  <c r="E22"/>
  <c r="G57" i="1" s="1"/>
  <c r="G66" s="1"/>
  <c r="D20" i="4"/>
  <c r="D22" s="1"/>
  <c r="E57" i="1" s="1"/>
  <c r="H40" i="4"/>
  <c r="D21"/>
  <c r="I66" i="3"/>
  <c r="I70" s="1"/>
  <c r="K48" i="1" s="1"/>
  <c r="K66" i="3"/>
  <c r="K67"/>
  <c r="G68"/>
  <c r="I68"/>
  <c r="K68"/>
  <c r="M68" s="1"/>
  <c r="I69"/>
  <c r="K69" s="1"/>
  <c r="M69" s="1"/>
  <c r="G67"/>
  <c r="G70"/>
  <c r="I48" i="1" s="1"/>
  <c r="E70" i="3"/>
  <c r="G48" i="1"/>
  <c r="M66" i="3"/>
  <c r="M67"/>
  <c r="I6"/>
  <c r="K6"/>
  <c r="K8" s="1"/>
  <c r="M6"/>
  <c r="M8" s="1"/>
  <c r="G12"/>
  <c r="I12"/>
  <c r="I47" s="1"/>
  <c r="K46" i="1" s="1"/>
  <c r="G13" i="3"/>
  <c r="I13"/>
  <c r="K13" s="1"/>
  <c r="M13" s="1"/>
  <c r="G14"/>
  <c r="I14"/>
  <c r="K14" s="1"/>
  <c r="M14" s="1"/>
  <c r="G15"/>
  <c r="I15"/>
  <c r="K15" s="1"/>
  <c r="M15" s="1"/>
  <c r="G16"/>
  <c r="I16"/>
  <c r="K16" s="1"/>
  <c r="M16" s="1"/>
  <c r="E17"/>
  <c r="E47" s="1"/>
  <c r="G17"/>
  <c r="I17" s="1"/>
  <c r="K17" s="1"/>
  <c r="M17" s="1"/>
  <c r="E18"/>
  <c r="G18" s="1"/>
  <c r="I18" s="1"/>
  <c r="K18" s="1"/>
  <c r="M18" s="1"/>
  <c r="I21"/>
  <c r="K21"/>
  <c r="M21"/>
  <c r="I22"/>
  <c r="K22" s="1"/>
  <c r="M22" s="1"/>
  <c r="I23"/>
  <c r="K23"/>
  <c r="M23" s="1"/>
  <c r="I24"/>
  <c r="K24"/>
  <c r="M24"/>
  <c r="I25"/>
  <c r="K25" s="1"/>
  <c r="M25" s="1"/>
  <c r="G26"/>
  <c r="I26" s="1"/>
  <c r="K26" s="1"/>
  <c r="M26" s="1"/>
  <c r="K33"/>
  <c r="M33" s="1"/>
  <c r="K30"/>
  <c r="M30"/>
  <c r="K31"/>
  <c r="M31" s="1"/>
  <c r="K32"/>
  <c r="M32"/>
  <c r="I34"/>
  <c r="K34" s="1"/>
  <c r="M34" s="1"/>
  <c r="M38"/>
  <c r="M39"/>
  <c r="M40"/>
  <c r="M41"/>
  <c r="K29"/>
  <c r="J47"/>
  <c r="L46" i="1"/>
  <c r="H47" i="3"/>
  <c r="J46" i="1" s="1"/>
  <c r="E50" i="3"/>
  <c r="G50"/>
  <c r="G63" s="1"/>
  <c r="I47" i="1" s="1"/>
  <c r="G51" i="3"/>
  <c r="I51" s="1"/>
  <c r="K51" s="1"/>
  <c r="M51" s="1"/>
  <c r="I52"/>
  <c r="K52" s="1"/>
  <c r="M52" s="1"/>
  <c r="I53"/>
  <c r="K53"/>
  <c r="M53" s="1"/>
  <c r="I54"/>
  <c r="K54"/>
  <c r="M54"/>
  <c r="K55"/>
  <c r="M55" s="1"/>
  <c r="M56"/>
  <c r="M57"/>
  <c r="G58"/>
  <c r="I58"/>
  <c r="K58"/>
  <c r="M58"/>
  <c r="M59"/>
  <c r="I60"/>
  <c r="K60"/>
  <c r="M60"/>
  <c r="M61"/>
  <c r="G59"/>
  <c r="I59"/>
  <c r="J63"/>
  <c r="L47" i="1" s="1"/>
  <c r="H63" i="3"/>
  <c r="J47" i="1"/>
  <c r="E63" i="3"/>
  <c r="G47" i="1" s="1"/>
  <c r="C63" i="3"/>
  <c r="E47" i="1"/>
  <c r="L70" i="3"/>
  <c r="L63"/>
  <c r="L47"/>
  <c r="L8"/>
  <c r="L71"/>
  <c r="D4" i="2"/>
  <c r="E4"/>
  <c r="F4"/>
  <c r="G4"/>
  <c r="H4" s="1"/>
  <c r="D5"/>
  <c r="D12" s="1"/>
  <c r="E45" i="1" s="1"/>
  <c r="E5" i="2"/>
  <c r="F5" s="1"/>
  <c r="G5" s="1"/>
  <c r="D6"/>
  <c r="E6" s="1"/>
  <c r="F6" s="1"/>
  <c r="G6" s="1"/>
  <c r="H6" s="1"/>
  <c r="I6" s="1"/>
  <c r="D7"/>
  <c r="E7"/>
  <c r="F7" s="1"/>
  <c r="G7" s="1"/>
  <c r="H7" s="1"/>
  <c r="I7" s="1"/>
  <c r="E8"/>
  <c r="F8"/>
  <c r="G8"/>
  <c r="H8"/>
  <c r="I8" s="1"/>
  <c r="E9"/>
  <c r="F9"/>
  <c r="G9"/>
  <c r="H9" s="1"/>
  <c r="I9" s="1"/>
  <c r="E10"/>
  <c r="F10"/>
  <c r="G10" s="1"/>
  <c r="H10" s="1"/>
  <c r="I10" s="1"/>
  <c r="F11"/>
  <c r="G11" s="1"/>
  <c r="H11" s="1"/>
  <c r="I11" s="1"/>
  <c r="L45" i="1"/>
  <c r="C71" i="3"/>
  <c r="B63"/>
  <c r="B71" s="1"/>
  <c r="J70"/>
  <c r="H70"/>
  <c r="H71" s="1"/>
  <c r="F70"/>
  <c r="D70"/>
  <c r="F63"/>
  <c r="D63"/>
  <c r="F47"/>
  <c r="D47"/>
  <c r="D71" s="1"/>
  <c r="J8"/>
  <c r="J71"/>
  <c r="H8"/>
  <c r="G8"/>
  <c r="F8"/>
  <c r="F71" s="1"/>
  <c r="I8"/>
  <c r="N37" i="1"/>
  <c r="E37"/>
  <c r="N36"/>
  <c r="E36"/>
  <c r="N35"/>
  <c r="E35"/>
  <c r="N32"/>
  <c r="L52"/>
  <c r="J52"/>
  <c r="H49"/>
  <c r="L48"/>
  <c r="J48"/>
  <c r="M44"/>
  <c r="K44"/>
  <c r="I44"/>
  <c r="E40"/>
  <c r="M37"/>
  <c r="L37"/>
  <c r="K37"/>
  <c r="J37"/>
  <c r="I37"/>
  <c r="G37"/>
  <c r="M36"/>
  <c r="M40" s="1"/>
  <c r="L36"/>
  <c r="K36"/>
  <c r="J36"/>
  <c r="I36"/>
  <c r="G36"/>
  <c r="G40" s="1"/>
  <c r="M35"/>
  <c r="K35"/>
  <c r="J35"/>
  <c r="I35"/>
  <c r="G35"/>
  <c r="M32"/>
  <c r="L32"/>
  <c r="K32"/>
  <c r="I32"/>
  <c r="L16"/>
  <c r="L35"/>
  <c r="I40"/>
  <c r="R11" i="10" l="1"/>
  <c r="Q11"/>
  <c r="R3"/>
  <c r="O8"/>
  <c r="Q3"/>
  <c r="J19" i="9"/>
  <c r="J21" s="1"/>
  <c r="L16"/>
  <c r="R7" i="10"/>
  <c r="Q7"/>
  <c r="K8"/>
  <c r="H19" i="9"/>
  <c r="H21" s="1"/>
  <c r="J26"/>
  <c r="H27"/>
  <c r="H31" s="1"/>
  <c r="H33" s="1"/>
  <c r="N5"/>
  <c r="L7"/>
  <c r="I13" i="10"/>
  <c r="F18"/>
  <c r="F20" s="1"/>
  <c r="F25" s="1"/>
  <c r="F29" s="1"/>
  <c r="F32" s="1"/>
  <c r="H13"/>
  <c r="H18" s="1"/>
  <c r="H20" s="1"/>
  <c r="H25" s="1"/>
  <c r="H29" s="1"/>
  <c r="H32" s="1"/>
  <c r="R6"/>
  <c r="Q6"/>
  <c r="H29" i="9"/>
  <c r="J29" s="1"/>
  <c r="L29" s="1"/>
  <c r="N29" s="1"/>
  <c r="P29" s="1"/>
  <c r="N8" i="10"/>
  <c r="H9" i="9"/>
  <c r="F11"/>
  <c r="F13" s="1"/>
  <c r="N40" i="1"/>
  <c r="K40"/>
  <c r="I4" i="2"/>
  <c r="F12"/>
  <c r="I45" i="1" s="1"/>
  <c r="M70" i="3"/>
  <c r="N48" i="1" s="1"/>
  <c r="E71" i="3"/>
  <c r="G46" i="1"/>
  <c r="K70" i="3"/>
  <c r="M48" i="1" s="1"/>
  <c r="N44"/>
  <c r="G12" i="2"/>
  <c r="H5"/>
  <c r="I5" s="1"/>
  <c r="E58" i="1"/>
  <c r="E60" s="1"/>
  <c r="E65" s="1"/>
  <c r="E67" s="1"/>
  <c r="E73" s="1"/>
  <c r="E49"/>
  <c r="L49"/>
  <c r="G47" i="3"/>
  <c r="I50"/>
  <c r="M29"/>
  <c r="K12"/>
  <c r="E12" i="2"/>
  <c r="G45" i="1" s="1"/>
  <c r="U7" i="10" l="1"/>
  <c r="W7" s="1"/>
  <c r="T7"/>
  <c r="P5" i="9"/>
  <c r="P7" s="1"/>
  <c r="N7"/>
  <c r="T11" i="10"/>
  <c r="U11"/>
  <c r="Q8"/>
  <c r="T6"/>
  <c r="U6"/>
  <c r="W6" s="1"/>
  <c r="J9" i="9"/>
  <c r="H11"/>
  <c r="H13" s="1"/>
  <c r="K13" i="10"/>
  <c r="K18" s="1"/>
  <c r="K20" s="1"/>
  <c r="K25" s="1"/>
  <c r="K29" s="1"/>
  <c r="K32" s="1"/>
  <c r="L13"/>
  <c r="I18"/>
  <c r="I20" s="1"/>
  <c r="I25" s="1"/>
  <c r="I29" s="1"/>
  <c r="I32" s="1"/>
  <c r="L26" i="9"/>
  <c r="J27"/>
  <c r="J31" s="1"/>
  <c r="J33" s="1"/>
  <c r="N16"/>
  <c r="L19"/>
  <c r="L21" s="1"/>
  <c r="T3" i="10"/>
  <c r="T8" s="1"/>
  <c r="R8"/>
  <c r="U3"/>
  <c r="H12" i="2"/>
  <c r="M45" i="1" s="1"/>
  <c r="M12" i="3"/>
  <c r="M47" s="1"/>
  <c r="K47"/>
  <c r="K45" i="1"/>
  <c r="H45"/>
  <c r="I12" i="2"/>
  <c r="G49" i="1"/>
  <c r="G58" s="1"/>
  <c r="G60" s="1"/>
  <c r="G65" s="1"/>
  <c r="G67" s="1"/>
  <c r="G73" s="1"/>
  <c r="I63" i="3"/>
  <c r="K50"/>
  <c r="I46" i="1"/>
  <c r="I49" s="1"/>
  <c r="G71" i="3"/>
  <c r="U8" i="10" l="1"/>
  <c r="W3"/>
  <c r="W8" s="1"/>
  <c r="P16" i="9"/>
  <c r="P19" s="1"/>
  <c r="P21" s="1"/>
  <c r="N19"/>
  <c r="N21" s="1"/>
  <c r="O13" i="10"/>
  <c r="N13"/>
  <c r="N18" s="1"/>
  <c r="N20" s="1"/>
  <c r="N25" s="1"/>
  <c r="N29" s="1"/>
  <c r="N32" s="1"/>
  <c r="L18"/>
  <c r="L20" s="1"/>
  <c r="L25" s="1"/>
  <c r="L29" s="1"/>
  <c r="L32" s="1"/>
  <c r="L9" i="9"/>
  <c r="J11"/>
  <c r="J13" s="1"/>
  <c r="L27"/>
  <c r="L31" s="1"/>
  <c r="L33" s="1"/>
  <c r="N26"/>
  <c r="W11" i="10"/>
  <c r="N46" i="1"/>
  <c r="K63" i="3"/>
  <c r="M47" i="1" s="1"/>
  <c r="M50" i="3"/>
  <c r="M63" s="1"/>
  <c r="N47" i="1" s="1"/>
  <c r="M46"/>
  <c r="M49" s="1"/>
  <c r="K47"/>
  <c r="K49" s="1"/>
  <c r="K58" s="1"/>
  <c r="K60" s="1"/>
  <c r="K65" s="1"/>
  <c r="K67" s="1"/>
  <c r="K73" s="1"/>
  <c r="I71" i="3"/>
  <c r="I58" i="1"/>
  <c r="I60" s="1"/>
  <c r="I65" s="1"/>
  <c r="I67" s="1"/>
  <c r="I73" s="1"/>
  <c r="E75" s="1"/>
  <c r="N45"/>
  <c r="J45"/>
  <c r="J49" s="1"/>
  <c r="P26" i="9" l="1"/>
  <c r="P27" s="1"/>
  <c r="P31" s="1"/>
  <c r="P33" s="1"/>
  <c r="N27"/>
  <c r="N31" s="1"/>
  <c r="N33" s="1"/>
  <c r="Q13" i="10"/>
  <c r="Q18" s="1"/>
  <c r="Q20" s="1"/>
  <c r="Q25" s="1"/>
  <c r="Q29" s="1"/>
  <c r="Q32" s="1"/>
  <c r="R13"/>
  <c r="O18"/>
  <c r="O20" s="1"/>
  <c r="O25" s="1"/>
  <c r="O29" s="1"/>
  <c r="O32" s="1"/>
  <c r="L11" i="9"/>
  <c r="L13" s="1"/>
  <c r="N9"/>
  <c r="N49" i="1"/>
  <c r="N58"/>
  <c r="N60" s="1"/>
  <c r="N65" s="1"/>
  <c r="N67" s="1"/>
  <c r="N73" s="1"/>
  <c r="M58"/>
  <c r="M60" s="1"/>
  <c r="M65" s="1"/>
  <c r="M67" s="1"/>
  <c r="M73" s="1"/>
  <c r="K71" i="3"/>
  <c r="M71"/>
  <c r="N11" i="9" l="1"/>
  <c r="N13" s="1"/>
  <c r="P9"/>
  <c r="P11" s="1"/>
  <c r="P13" s="1"/>
  <c r="U13" i="10"/>
  <c r="T13"/>
  <c r="T18" s="1"/>
  <c r="T20" s="1"/>
  <c r="T25" s="1"/>
  <c r="T29" s="1"/>
  <c r="T32" s="1"/>
  <c r="R18"/>
  <c r="R20" s="1"/>
  <c r="R25" s="1"/>
  <c r="R29" s="1"/>
  <c r="R32" s="1"/>
  <c r="W13" l="1"/>
  <c r="W18" s="1"/>
  <c r="W20" s="1"/>
  <c r="W25" s="1"/>
  <c r="W29" s="1"/>
  <c r="W32" s="1"/>
  <c r="U18"/>
  <c r="U20" s="1"/>
  <c r="U25" s="1"/>
  <c r="U29" s="1"/>
  <c r="U32" s="1"/>
</calcChain>
</file>

<file path=xl/comments1.xml><?xml version="1.0" encoding="utf-8"?>
<comments xmlns="http://schemas.openxmlformats.org/spreadsheetml/2006/main">
  <authors>
    <author>Paula Timmins</author>
  </authors>
  <commentList>
    <comment ref="X13" authorId="0">
      <text>
        <r>
          <rPr>
            <b/>
            <sz val="9"/>
            <color indexed="81"/>
            <rFont val="Tahoma"/>
            <family val="2"/>
          </rPr>
          <t>Paula Timmins: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<sst xmlns="http://schemas.openxmlformats.org/spreadsheetml/2006/main" count="608" uniqueCount="392">
  <si>
    <t>Operating Budget: Projected Revenues and Expenditures</t>
  </si>
  <si>
    <t>School:</t>
  </si>
  <si>
    <t>Neighborhood House Charter School</t>
  </si>
  <si>
    <t>Model:</t>
  </si>
  <si>
    <t>Draft:</t>
  </si>
  <si>
    <t>MAJOR ASSUMPTIONS</t>
  </si>
  <si>
    <t>FY18</t>
  </si>
  <si>
    <t>FY19</t>
  </si>
  <si>
    <t>FY20</t>
  </si>
  <si>
    <t>FY21</t>
  </si>
  <si>
    <t>FY22</t>
  </si>
  <si>
    <t>Enrollment &amp; Staff</t>
  </si>
  <si>
    <t>A</t>
  </si>
  <si>
    <t xml:space="preserve">H/S Student Enrollment (FTE) </t>
  </si>
  <si>
    <t>B</t>
  </si>
  <si>
    <t xml:space="preserve"> Middle School Enrollment (FTE)</t>
  </si>
  <si>
    <t>C</t>
  </si>
  <si>
    <t xml:space="preserve">  Lower School Enrollment (FTE)</t>
  </si>
  <si>
    <t>D</t>
  </si>
  <si>
    <t xml:space="preserve"> Instructional Staff (FTE) - M/S</t>
  </si>
  <si>
    <t>Assumes 5 new Gen Ed, 2 SPED and 1 Specialist teachers</t>
  </si>
  <si>
    <t>E</t>
  </si>
  <si>
    <t>Instructional Staff (FTE) - H/S</t>
  </si>
  <si>
    <t>Revenue</t>
  </si>
  <si>
    <t>F</t>
  </si>
  <si>
    <t>Per pupil rate - M/S &amp; H/S</t>
  </si>
  <si>
    <t>G</t>
  </si>
  <si>
    <t>Medicaid per student</t>
  </si>
  <si>
    <t>Rate is based on current NHCS average.</t>
  </si>
  <si>
    <t>H</t>
  </si>
  <si>
    <t>Program fees per student</t>
  </si>
  <si>
    <t>Fee is projected average revenue from student involvement in: sports, clubs, after-school, summer-school, fundraising for trips, lunch costs, books, etc.</t>
  </si>
  <si>
    <t>Expenses</t>
  </si>
  <si>
    <t>I</t>
  </si>
  <si>
    <t>Compensation - teacher hiring salary</t>
  </si>
  <si>
    <t>Assumes avg of BA/MA degree plus allowance for specialists</t>
  </si>
  <si>
    <t>J</t>
  </si>
  <si>
    <t>Compensation - salary growth</t>
  </si>
  <si>
    <t>K</t>
  </si>
  <si>
    <t>Fringe rate</t>
  </si>
  <si>
    <t>L</t>
  </si>
  <si>
    <t>Bulding Utilities and Maintenance growth</t>
  </si>
  <si>
    <t>Rate is based on increased needs as enrollment increases</t>
  </si>
  <si>
    <t>M</t>
  </si>
  <si>
    <t>New Facility Square Footage</t>
  </si>
  <si>
    <t>N</t>
  </si>
  <si>
    <t>Lease cost per square foot - starting</t>
  </si>
  <si>
    <t>O</t>
  </si>
  <si>
    <t>Lease growth</t>
  </si>
  <si>
    <t>Capital Expenditures</t>
  </si>
  <si>
    <t>P</t>
  </si>
  <si>
    <t>Facility Useful Life</t>
  </si>
  <si>
    <t>39 years</t>
  </si>
  <si>
    <t>Standard IRS numbers for depreciation.</t>
  </si>
  <si>
    <t>Q</t>
  </si>
  <si>
    <t>Technology Useful Life</t>
  </si>
  <si>
    <t>5 years</t>
  </si>
  <si>
    <t>R</t>
  </si>
  <si>
    <t>Furniture and Equipment Useful Life</t>
  </si>
  <si>
    <t>7 years</t>
  </si>
  <si>
    <t>Analysis</t>
  </si>
  <si>
    <t>S</t>
  </si>
  <si>
    <t>Square feet per pupil - H/S</t>
  </si>
  <si>
    <t>OPERATING REVENUES</t>
  </si>
  <si>
    <t xml:space="preserve">Per pupil tuition </t>
  </si>
  <si>
    <t xml:space="preserve">DOE Entitlement Grants </t>
  </si>
  <si>
    <t>Grants such as Title I, IDEA, Charter School Start-Up Assistance, etc.  Grants were estimated at $1300/student.</t>
  </si>
  <si>
    <t>Medicaid</t>
  </si>
  <si>
    <t>Corresponds to line D above.</t>
  </si>
  <si>
    <t>Program fees</t>
  </si>
  <si>
    <t>Corresponds to line E above.</t>
  </si>
  <si>
    <t>Interest Income</t>
  </si>
  <si>
    <t>TOTAL REVENUES</t>
  </si>
  <si>
    <t>OPERATING EXPENDITURES</t>
  </si>
  <si>
    <t>Compensation - Administrative (Professional)</t>
  </si>
  <si>
    <t>Assumes we will utilize current NHCS Admin staff with addition of .5 FTE admin in FY20</t>
  </si>
  <si>
    <t>Compensation - Teachers M/S</t>
  </si>
  <si>
    <t>Compensation - Teachers H/S</t>
  </si>
  <si>
    <t>Compensation - Other (Professional)</t>
  </si>
  <si>
    <t>Compensation - Support/Clerical</t>
  </si>
  <si>
    <t>At scale, staffing model includes: facility manager, night custodians, nurse, cafeteria worker, and administrative assistant.</t>
  </si>
  <si>
    <t>Fringe</t>
  </si>
  <si>
    <t>Is equal to 15% of salaries as is consistent with current school operations</t>
  </si>
  <si>
    <t>Professional Services</t>
  </si>
  <si>
    <t>Includes accounting, legal, translater services, etc.</t>
  </si>
  <si>
    <t>Consulting Fees &amp; Partnerships</t>
  </si>
  <si>
    <t>Projected amount based on current NHCS consulting expenses.</t>
  </si>
  <si>
    <t>School and Student Expenses</t>
  </si>
  <si>
    <t>Includes food, books &amp; supplies, field trips, enrichment activities, etc.  Costs were estimated at $1500/student until FY20 when the cost of juniors / seniors would increase (for college coursework, applications, school visits, etc)</t>
  </si>
  <si>
    <t>General &amp; Administration</t>
  </si>
  <si>
    <t>Includes printing, supplies, tech supplies, etc.  Rate is based on current NHCS expenses.</t>
  </si>
  <si>
    <t>Building Utilities and Maintenance</t>
  </si>
  <si>
    <t xml:space="preserve">Lease </t>
  </si>
  <si>
    <t>Depreciation</t>
  </si>
  <si>
    <t>corresponds to depreciation of Capital Expenditures on lines P,Q, &amp; R.</t>
  </si>
  <si>
    <t>TOTAL EXPENSES</t>
  </si>
  <si>
    <t>Change in Net Assets (net income)</t>
  </si>
  <si>
    <t>CASH FLOW</t>
  </si>
  <si>
    <t>Add back (non-cash) depreciation</t>
  </si>
  <si>
    <t xml:space="preserve">     and amortization items:</t>
  </si>
  <si>
    <t>Depreciation and Amortization</t>
  </si>
  <si>
    <t>Cash Available for Bond Principal &amp; Reserves</t>
  </si>
  <si>
    <t>Capital Outlay Facility</t>
  </si>
  <si>
    <t>Capital Outlay Technology</t>
  </si>
  <si>
    <t>Capital Outlay Furniture &amp; Equip.</t>
  </si>
  <si>
    <t>FYE Forecasted Excess/(Negative) Cash</t>
  </si>
  <si>
    <t>FY17</t>
  </si>
  <si>
    <t>N/A</t>
  </si>
  <si>
    <t>Instructional: Middle School</t>
  </si>
  <si>
    <t>Science teacher</t>
  </si>
  <si>
    <t>Social Studies teacher</t>
  </si>
  <si>
    <t>Specialist teacher</t>
  </si>
  <si>
    <t xml:space="preserve">SPED teacher </t>
  </si>
  <si>
    <t>Teaching fellow</t>
  </si>
  <si>
    <t>Add'l science teacher</t>
  </si>
  <si>
    <t>Add'l social studies/SPED</t>
  </si>
  <si>
    <t>Add'l fellow</t>
  </si>
  <si>
    <t>Total M/S Instructional</t>
  </si>
  <si>
    <t>DRAFT</t>
  </si>
  <si>
    <t>FTE</t>
  </si>
  <si>
    <t>Salary</t>
  </si>
  <si>
    <t>Administration (Professional)</t>
  </si>
  <si>
    <t>Business Manager</t>
  </si>
  <si>
    <t>Total</t>
  </si>
  <si>
    <t>Instructional: Teachers High School</t>
  </si>
  <si>
    <t>9th</t>
  </si>
  <si>
    <t>English Teacher</t>
  </si>
  <si>
    <t>Math Teacher</t>
  </si>
  <si>
    <t>Language Teacher</t>
  </si>
  <si>
    <t>Science Teacher</t>
  </si>
  <si>
    <t>History Teacher</t>
  </si>
  <si>
    <t>Arts Teacher</t>
  </si>
  <si>
    <t>P/E Teacher/Sports</t>
  </si>
  <si>
    <t>10th</t>
  </si>
  <si>
    <t>Tech Teacher</t>
  </si>
  <si>
    <t>11th</t>
  </si>
  <si>
    <t>Arts Teachers</t>
  </si>
  <si>
    <t>Support teachers - high needs students</t>
  </si>
  <si>
    <t>12th</t>
  </si>
  <si>
    <t>Instructional Support</t>
  </si>
  <si>
    <t>A/S tutoring and sports stipends</t>
  </si>
  <si>
    <t>Instructional Total</t>
  </si>
  <si>
    <t>Instructional - Other (Professionals)</t>
  </si>
  <si>
    <t>Principal</t>
  </si>
  <si>
    <t>Dean of Curriculum &amp; Instruction</t>
  </si>
  <si>
    <t>Operations person</t>
  </si>
  <si>
    <t>Dean of Discipline</t>
  </si>
  <si>
    <t>College &amp; Career Readiness</t>
  </si>
  <si>
    <t>Internship/Vocational Coord</t>
  </si>
  <si>
    <t>Building level sub</t>
  </si>
  <si>
    <t>Psychologist</t>
  </si>
  <si>
    <t>SPED Director</t>
  </si>
  <si>
    <t>SPED staff - prof</t>
  </si>
  <si>
    <t>ELL Teacher</t>
  </si>
  <si>
    <t>SPED staff - fellows</t>
  </si>
  <si>
    <t>Other (Professional) Total</t>
  </si>
  <si>
    <t>Support / Clerical</t>
  </si>
  <si>
    <t>Facilities</t>
  </si>
  <si>
    <t>Nurse</t>
  </si>
  <si>
    <t>Office Manager</t>
  </si>
  <si>
    <t>Cafeteria</t>
  </si>
  <si>
    <t>TOTAL</t>
  </si>
  <si>
    <t>DEPRECIATION SCHEDULE</t>
  </si>
  <si>
    <t>ADDITIONS</t>
  </si>
  <si>
    <t>AMOUNT</t>
  </si>
  <si>
    <t>USEFUL LIFE</t>
  </si>
  <si>
    <t>Leasehold Improvements</t>
  </si>
  <si>
    <t>Technology</t>
  </si>
  <si>
    <t>Furn &amp; Fix</t>
  </si>
  <si>
    <t>HIGH SCHOOL</t>
  </si>
  <si>
    <t>TOTAL HS</t>
  </si>
  <si>
    <t>MIDDLE SCHOOL</t>
  </si>
  <si>
    <t>Cost</t>
  </si>
  <si>
    <t>Est useful life</t>
  </si>
  <si>
    <t>Dep'n per year FY19</t>
  </si>
  <si>
    <t>Dep'n per year FY20</t>
  </si>
  <si>
    <t xml:space="preserve">TOTAL </t>
  </si>
  <si>
    <t>Dep'n per year FY17</t>
  </si>
  <si>
    <t>Dep'n per year FY18</t>
  </si>
  <si>
    <t>MS</t>
  </si>
  <si>
    <t>TOTAL MS &amp; HS</t>
  </si>
  <si>
    <t>Contingency</t>
  </si>
  <si>
    <t>Allowance for unanticipated expenditures</t>
  </si>
  <si>
    <t>Based on NHCS Staff Comp Plan 3 yr cycle of 1.5%, 1.5% and 3%</t>
  </si>
  <si>
    <t>FY18 Assumes HS students will be at NHCS.  FY19-22 correspond to lines L, M, N &amp; O above.</t>
  </si>
  <si>
    <t>FY17-FY19 Funding Need</t>
  </si>
  <si>
    <t>Assumption is that there will be attrition of 10% in grade 12</t>
  </si>
  <si>
    <t xml:space="preserve">Assumes adding 4 additional 3rd &amp; 4th graders </t>
  </si>
  <si>
    <t xml:space="preserve">Staffing model creates a student-teacher ratio of 9 to 1 in FY22 (capacity).  </t>
  </si>
  <si>
    <t xml:space="preserve">Includes utilities, cleaning company, security, HVAC, inspection, etc.  Rate is based on current NHCS expenses. </t>
  </si>
  <si>
    <t xml:space="preserve">Rate is a per-pupil projected average.  In FY17 based on 1% inc/yr over DESE FY15 proj avg </t>
  </si>
  <si>
    <t>Used goal of approx 120 square feet / student at capacity</t>
  </si>
  <si>
    <t xml:space="preserve">Based on projected comparables for Dorchester properties </t>
  </si>
  <si>
    <t>LS, MS &amp; HS Expansion: 428 budgeted new students, 6 year roll-out</t>
  </si>
  <si>
    <t>Expansion Model Staffing/ 428 students</t>
  </si>
  <si>
    <t>Date: 1-15-16</t>
  </si>
  <si>
    <t>Content Area</t>
  </si>
  <si>
    <t>Task/Deliverable/Milestone</t>
  </si>
  <si>
    <t>Staff Point</t>
  </si>
  <si>
    <t>Timeline</t>
  </si>
  <si>
    <t>Board Oversight</t>
  </si>
  <si>
    <t>Program and People</t>
  </si>
  <si>
    <t>Conduct site visits to successful high schools</t>
  </si>
  <si>
    <t>ED</t>
  </si>
  <si>
    <t>Ongoing</t>
  </si>
  <si>
    <t>Academic/Program Committee</t>
  </si>
  <si>
    <t>Form Advisory Council to provide high school expertise and design advice as needed</t>
  </si>
  <si>
    <t>Conduct monthly team meetings to action plan and push progress on high school planning</t>
  </si>
  <si>
    <t>Initiate student recruitment plan for expanded middle school enrollment</t>
  </si>
  <si>
    <t>Ops Manager</t>
  </si>
  <si>
    <t>Winter 2016</t>
  </si>
  <si>
    <t>Develop job description for high school principal and begin search</t>
  </si>
  <si>
    <t>ED and HR Director</t>
  </si>
  <si>
    <t>Spring 2016</t>
  </si>
  <si>
    <t>Hire high school principal</t>
  </si>
  <si>
    <t>Begin hiring process for new middle school staff to accommodate first year of expansion</t>
  </si>
  <si>
    <t>MS Principal and HR Director</t>
  </si>
  <si>
    <t>Finalize new middle school schedules and departmentalization plan</t>
  </si>
  <si>
    <t>DCI</t>
  </si>
  <si>
    <t>Onboard high school principal and initiate his/her work plan for high school planning year</t>
  </si>
  <si>
    <t>Summer 2016</t>
  </si>
  <si>
    <t>Onboard new middle school staff</t>
  </si>
  <si>
    <t>MS Principal</t>
  </si>
  <si>
    <t>Onboard new middle school students</t>
  </si>
  <si>
    <t>Develop job descriptions for first year high school staff and begin hiring process</t>
  </si>
  <si>
    <t>HS Principal and HR Director</t>
  </si>
  <si>
    <t>Winter 2017</t>
  </si>
  <si>
    <t>Initiate recruitment plan for new 9th graders (very few in first year)</t>
  </si>
  <si>
    <t>Finalize course progressions, assessment system, and graduation requirements</t>
  </si>
  <si>
    <t>Spring 2017</t>
  </si>
  <si>
    <t>Finalize behavior expectations / discipline system</t>
  </si>
  <si>
    <t>HS Principal</t>
  </si>
  <si>
    <t>Finalize plan and systems for parent communication</t>
  </si>
  <si>
    <t>Finalize report card systems and procedures</t>
  </si>
  <si>
    <t>Finalize plans for academic support</t>
  </si>
  <si>
    <t>Finalize plans for social/emotional support</t>
  </si>
  <si>
    <t>SPED/Student Support Director</t>
  </si>
  <si>
    <t>Finalize plan for CCR course and college and career counseling</t>
  </si>
  <si>
    <t>Finalize extra-curricular offerings and plan</t>
  </si>
  <si>
    <t>Finalize course outlines and schedules for first 9th grade</t>
  </si>
  <si>
    <t>Finalize high school orientation / summer academy plan for first 9th grade</t>
  </si>
  <si>
    <t>Onboard first year high school staff</t>
  </si>
  <si>
    <t>Summer 2017</t>
  </si>
  <si>
    <t>Finalize 9th grade curriculum through summer curriculum institute</t>
  </si>
  <si>
    <t>Finalize plan for Extended Campus Learning and develop list of potential partners</t>
  </si>
  <si>
    <t>9th grade summer academy begins</t>
  </si>
  <si>
    <t>August 2017</t>
  </si>
  <si>
    <t>First day of school for first 9th grade class</t>
  </si>
  <si>
    <t>Finalize recruitment plan for new high school students and begin implementation</t>
  </si>
  <si>
    <t>Fall 2017</t>
  </si>
  <si>
    <t>Begin hiring second year high school staff</t>
  </si>
  <si>
    <t>Winter 2018</t>
  </si>
  <si>
    <t>Begin recruiting partners for Extended Campus Learning</t>
  </si>
  <si>
    <t>Finalize plan for 11th and 12th grade extra support model</t>
  </si>
  <si>
    <t>DCI and SPED/Student Support Director</t>
  </si>
  <si>
    <t>Begin hiring third year high school staff</t>
  </si>
  <si>
    <t>Winter 2019</t>
  </si>
  <si>
    <t>Begin hiring fourth year high school staff</t>
  </si>
  <si>
    <t>Winter 2020</t>
  </si>
  <si>
    <t>Conduct campus master planning</t>
  </si>
  <si>
    <t>Summer 2015</t>
  </si>
  <si>
    <t>Real Estate Committee</t>
  </si>
  <si>
    <t>Hire consultant to advise on facilities and assist in securing leased space</t>
  </si>
  <si>
    <t>CFO</t>
  </si>
  <si>
    <t>December 2015</t>
  </si>
  <si>
    <t>Finalize scope of capital project on current campus to accommodate expanded K-8</t>
  </si>
  <si>
    <t>April 2016</t>
  </si>
  <si>
    <t>Hire consultant to shepard capital project</t>
  </si>
  <si>
    <t>March 2016</t>
  </si>
  <si>
    <t>Reconfigure space in current building to accommodate first year of K-8 expansion</t>
  </si>
  <si>
    <t>Sign lease agreement for temporary space to accommodate expansion</t>
  </si>
  <si>
    <t>Fall 2016</t>
  </si>
  <si>
    <t>Build out and furnish leased space as needed</t>
  </si>
  <si>
    <t>Break ground on capital project on current campus to accommodate expanded K-8</t>
  </si>
  <si>
    <t>7th, 8th and 9th grades housed in leased space</t>
  </si>
  <si>
    <t>Complete capital project; move 7th and 8th grades back to current campus</t>
  </si>
  <si>
    <t>August 2018</t>
  </si>
  <si>
    <t>9th and 10th grades in leased space</t>
  </si>
  <si>
    <t>9th, 10th and 11th grades in leased space</t>
  </si>
  <si>
    <t>August 2019</t>
  </si>
  <si>
    <t>9th-12th grades in leased space</t>
  </si>
  <si>
    <t>August 2020</t>
  </si>
  <si>
    <t>Assess and action plan around securing a permanent home for the high school</t>
  </si>
  <si>
    <t>2018-2020</t>
  </si>
  <si>
    <t>Finances and Fundraising</t>
  </si>
  <si>
    <t>Develop financial model for expansion and update as planning evolves</t>
  </si>
  <si>
    <t>Hire consultant to help assess financing options for capital project and high school start-up</t>
  </si>
  <si>
    <t>Finalize financing for capital project and high school start-up</t>
  </si>
  <si>
    <t>December 2016</t>
  </si>
  <si>
    <t>Begin developing case for support</t>
  </si>
  <si>
    <t>Development Director</t>
  </si>
  <si>
    <t>Hire capital campaign consultant</t>
  </si>
  <si>
    <t>Form campaign leadership</t>
  </si>
  <si>
    <t>Set campaign goal</t>
  </si>
  <si>
    <t>Conduct feasibility interviews and other pre-campaign activities</t>
  </si>
  <si>
    <t>May 2016</t>
  </si>
  <si>
    <t>Launch quiet phase of capital campaign</t>
  </si>
  <si>
    <t>June 2016</t>
  </si>
  <si>
    <t>Achieve 80% of goal and launch public phase</t>
  </si>
  <si>
    <t>January 2017</t>
  </si>
  <si>
    <t>Reach or exceed campaign goal</t>
  </si>
  <si>
    <t>June 2017</t>
  </si>
  <si>
    <t>TOTAL LIAB &amp; NET ASSETS</t>
  </si>
  <si>
    <t>TOTAL NET ASSETS</t>
  </si>
  <si>
    <t xml:space="preserve">  Permanently restricted</t>
  </si>
  <si>
    <t xml:space="preserve">  Temporarily restricted </t>
  </si>
  <si>
    <t xml:space="preserve">     Total unrestricted net assets</t>
  </si>
  <si>
    <t xml:space="preserve">     Investment in plant</t>
  </si>
  <si>
    <t xml:space="preserve">     Available for operations</t>
  </si>
  <si>
    <t xml:space="preserve">  Unrestricted</t>
  </si>
  <si>
    <t>NET ASSETS</t>
  </si>
  <si>
    <t>TOTAL  LIABILITIES</t>
  </si>
  <si>
    <t>Deferred revenue</t>
  </si>
  <si>
    <t>Due to Foundation</t>
  </si>
  <si>
    <t xml:space="preserve">  AP &amp; accrued exp</t>
  </si>
  <si>
    <t>CURRENT LIABILITIES</t>
  </si>
  <si>
    <t>TOTAL ASSETS</t>
  </si>
  <si>
    <t>Investments</t>
  </si>
  <si>
    <t xml:space="preserve">  NET Land, bldg, improv, FF&amp;E</t>
  </si>
  <si>
    <t xml:space="preserve">  Prepaids and other current</t>
  </si>
  <si>
    <t xml:space="preserve">  Accounts receivable</t>
  </si>
  <si>
    <t xml:space="preserve">  Cash</t>
  </si>
  <si>
    <t>CURRENT ASSETS</t>
  </si>
  <si>
    <t>School only</t>
  </si>
  <si>
    <t>FY16</t>
  </si>
  <si>
    <t>FY15</t>
  </si>
  <si>
    <t>Note 2 - Debt Service Assumption is based on a $12mm expansion including add'l classrooms and a gym</t>
  </si>
  <si>
    <t xml:space="preserve">Note 1 - NHCS has already received a $1mm pledge commitment from a donor for the creation of the high school </t>
  </si>
  <si>
    <t>CASH BASIS SURPLUS/DEFICIT</t>
  </si>
  <si>
    <t>Capital additions</t>
  </si>
  <si>
    <t>Principal payments</t>
  </si>
  <si>
    <t xml:space="preserve">  Cash before capital and principal payments</t>
  </si>
  <si>
    <t>Gift from Foundation</t>
  </si>
  <si>
    <t>Rent to Foundation</t>
  </si>
  <si>
    <t>Net Surplus/Deficit</t>
  </si>
  <si>
    <t>NET SURPLUS/DEFICIT</t>
  </si>
  <si>
    <t xml:space="preserve"> </t>
  </si>
  <si>
    <t>These are projected calculations based on capital additions</t>
  </si>
  <si>
    <t>n/a</t>
  </si>
  <si>
    <t>Depreciation and amortization</t>
  </si>
  <si>
    <t>These numbers are based on current financing</t>
  </si>
  <si>
    <t>Debt Serv on cap exp - rent to school. (See note 2)</t>
  </si>
  <si>
    <t>Lease expense</t>
  </si>
  <si>
    <t>This line is projected to decrease in FY17 by $25k due to the end of Federal Arts Grant, but then inc by .5% per year</t>
  </si>
  <si>
    <t>Program, admin &amp; facilities</t>
  </si>
  <si>
    <t>In anticipation of expansion by NHCS, consultant fees of $75k are projected</t>
  </si>
  <si>
    <t>Consultants</t>
  </si>
  <si>
    <t>In keeping with the new Staff Comp plan, the increases are 1.5% in FY16, FY18, &amp; FY19 : 5% in FY17 &amp; FY20*</t>
  </si>
  <si>
    <t>Personnel &amp; fringe</t>
  </si>
  <si>
    <t>EXPENSES</t>
  </si>
  <si>
    <t>FY16 to FY 20 total revenue growth of 2%</t>
  </si>
  <si>
    <t>This line consists of Dissemination rev. not included in Devel, A/S, S/S, &amp; Fundraising which are projected to increase by 1%</t>
  </si>
  <si>
    <t>Program fees and misc.</t>
  </si>
  <si>
    <t>For FY16-FY17, grants are projected to decrease by 1%, but to begin increasing by 1% in FY 19- FY20</t>
  </si>
  <si>
    <t>Government Grants</t>
  </si>
  <si>
    <t>Private grants</t>
  </si>
  <si>
    <t>The Private Fundraising goal is to remain capped at $1.3mm</t>
  </si>
  <si>
    <t>Gift from Fdn (or Cap Campaign -see Note 1)</t>
  </si>
  <si>
    <t>PPR is projected at a 1.0% increase each year</t>
  </si>
  <si>
    <t>Per-Pupil revenue</t>
  </si>
  <si>
    <t>REVENUES</t>
  </si>
  <si>
    <t>Notes</t>
  </si>
  <si>
    <t>Growth Assumption each year</t>
  </si>
  <si>
    <t>FY22 TOTAL</t>
  </si>
  <si>
    <t>FY22EXP</t>
  </si>
  <si>
    <t>FY21 TOTAL</t>
  </si>
  <si>
    <t>FY21EXP</t>
  </si>
  <si>
    <t>FY20 TOTAL</t>
  </si>
  <si>
    <t>FY20EXP</t>
  </si>
  <si>
    <t>FY19 TOTAL</t>
  </si>
  <si>
    <t>FY19EXP</t>
  </si>
  <si>
    <t>FY18 TOTAL</t>
  </si>
  <si>
    <t>FY18 EXP</t>
  </si>
  <si>
    <t>FY17 TOTAL</t>
  </si>
  <si>
    <t>FY17 EXP</t>
  </si>
  <si>
    <t>FY16 K-8</t>
  </si>
  <si>
    <t>TOTAL LIABILITIES/TOTAL ASSETS</t>
  </si>
  <si>
    <t>DEBT TO ASSET RATIO</t>
  </si>
  <si>
    <t>NET ASSETS/ TOTAL REVENUE</t>
  </si>
  <si>
    <t>CHANGE IN NET ASSETS PERCENTAGE</t>
  </si>
  <si>
    <t>OPERATIONS AND MAINTENANCE &amp; FINANCING EXP</t>
  </si>
  <si>
    <t>PERCENTAGE OF TOTAL REVENUE EXPENDED ON FACILITIES</t>
  </si>
  <si>
    <t>TUITION PLUS FED GRANTS DIVIDED BY TOTAL EXPENSES</t>
  </si>
  <si>
    <t>PERCENTAGE PROGRAM PAID BY TUITION &amp; FED GRANTS</t>
  </si>
  <si>
    <t>TUITION/TOTAL EXPENSES</t>
  </si>
  <si>
    <t>PERCENTAGE PROGRAM PAID BY TUITION</t>
  </si>
  <si>
    <t>(CALCULATED IN DAYS)</t>
  </si>
  <si>
    <t xml:space="preserve">ENDING CASH BALANCE DIVIDED BY OPERATING EXPENSES </t>
  </si>
  <si>
    <t>UNRESTRICTED DAYS CASH</t>
  </si>
  <si>
    <t>CURRENT ASSETS/CURRENT LIABLITIES</t>
  </si>
  <si>
    <t>CURRENT RATIO</t>
  </si>
  <si>
    <t>DESE Dashboard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</si>
</sst>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mm/dd/yy;@"/>
    <numFmt numFmtId="168" formatCode="#,##0.0"/>
    <numFmt numFmtId="169" formatCode="0.0"/>
    <numFmt numFmtId="170" formatCode="0.00_);\(0.00\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i/>
      <u/>
      <sz val="12"/>
      <name val="Arial"/>
      <family val="2"/>
    </font>
    <font>
      <i/>
      <u/>
      <sz val="12"/>
      <name val="Arial"/>
      <family val="2"/>
    </font>
    <font>
      <i/>
      <u/>
      <sz val="12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Book Antiqua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rgb="FF00B050"/>
      <name val="Times New Roman"/>
      <family val="1"/>
    </font>
    <font>
      <b/>
      <u/>
      <sz val="11"/>
      <color rgb="FF00B05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30" fillId="0" borderId="0"/>
  </cellStyleXfs>
  <cellXfs count="29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164" fontId="6" fillId="0" borderId="0" xfId="0" applyNumberFormat="1" applyFont="1" applyAlignment="1">
      <alignment wrapText="1"/>
    </xf>
    <xf numFmtId="164" fontId="6" fillId="0" borderId="0" xfId="0" applyNumberFormat="1" applyFont="1"/>
    <xf numFmtId="164" fontId="7" fillId="0" borderId="0" xfId="0" applyNumberFormat="1" applyFont="1"/>
    <xf numFmtId="164" fontId="6" fillId="0" borderId="1" xfId="0" applyNumberFormat="1" applyFont="1" applyBorder="1" applyAlignment="1"/>
    <xf numFmtId="0" fontId="8" fillId="0" borderId="0" xfId="0" applyFont="1" applyAlignment="1">
      <alignment wrapText="1"/>
    </xf>
    <xf numFmtId="164" fontId="6" fillId="0" borderId="2" xfId="0" applyNumberFormat="1" applyFont="1" applyBorder="1" applyAlignment="1"/>
    <xf numFmtId="164" fontId="7" fillId="0" borderId="2" xfId="0" applyNumberFormat="1" applyFont="1" applyBorder="1" applyAlignment="1"/>
    <xf numFmtId="164" fontId="7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wrapText="1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10" fillId="0" borderId="0" xfId="0" applyNumberFormat="1" applyFont="1"/>
    <xf numFmtId="164" fontId="11" fillId="0" borderId="0" xfId="0" applyNumberFormat="1" applyFont="1" applyAlignment="1">
      <alignment wrapText="1"/>
    </xf>
    <xf numFmtId="164" fontId="12" fillId="0" borderId="0" xfId="0" applyNumberFormat="1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164" fontId="6" fillId="0" borderId="4" xfId="0" applyNumberFormat="1" applyFont="1" applyBorder="1" applyAlignment="1">
      <alignment wrapText="1"/>
    </xf>
    <xf numFmtId="164" fontId="6" fillId="0" borderId="4" xfId="0" applyNumberFormat="1" applyFont="1" applyBorder="1"/>
    <xf numFmtId="0" fontId="6" fillId="0" borderId="4" xfId="0" applyNumberFormat="1" applyFont="1" applyBorder="1" applyAlignment="1">
      <alignment horizontal="right"/>
    </xf>
    <xf numFmtId="0" fontId="6" fillId="0" borderId="4" xfId="2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wrapText="1"/>
    </xf>
    <xf numFmtId="164" fontId="12" fillId="0" borderId="4" xfId="0" applyNumberFormat="1" applyFont="1" applyBorder="1"/>
    <xf numFmtId="164" fontId="14" fillId="0" borderId="4" xfId="0" applyNumberFormat="1" applyFont="1" applyBorder="1"/>
    <xf numFmtId="164" fontId="14" fillId="0" borderId="4" xfId="2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6" fillId="0" borderId="4" xfId="2" applyNumberFormat="1" applyFont="1" applyBorder="1"/>
    <xf numFmtId="0" fontId="5" fillId="0" borderId="4" xfId="0" applyFont="1" applyFill="1" applyBorder="1" applyAlignment="1">
      <alignment wrapText="1"/>
    </xf>
    <xf numFmtId="164" fontId="6" fillId="0" borderId="4" xfId="2" applyNumberFormat="1" applyFont="1" applyBorder="1" applyAlignment="1">
      <alignment horizontal="center"/>
    </xf>
    <xf numFmtId="164" fontId="5" fillId="0" borderId="4" xfId="2" applyNumberFormat="1" applyFont="1" applyBorder="1"/>
    <xf numFmtId="9" fontId="6" fillId="0" borderId="4" xfId="3" applyFont="1" applyBorder="1"/>
    <xf numFmtId="165" fontId="6" fillId="0" borderId="4" xfId="3" applyNumberFormat="1" applyFont="1" applyBorder="1"/>
    <xf numFmtId="166" fontId="6" fillId="0" borderId="4" xfId="1" applyNumberFormat="1" applyFont="1" applyBorder="1"/>
    <xf numFmtId="1" fontId="6" fillId="0" borderId="4" xfId="2" applyNumberFormat="1" applyFont="1" applyBorder="1"/>
    <xf numFmtId="164" fontId="9" fillId="0" borderId="4" xfId="0" applyNumberFormat="1" applyFont="1" applyBorder="1" applyAlignment="1">
      <alignment wrapText="1"/>
    </xf>
    <xf numFmtId="164" fontId="9" fillId="0" borderId="4" xfId="0" applyNumberFormat="1" applyFont="1" applyBorder="1"/>
    <xf numFmtId="164" fontId="5" fillId="0" borderId="4" xfId="0" applyNumberFormat="1" applyFont="1" applyBorder="1" applyAlignment="1">
      <alignment wrapText="1"/>
    </xf>
    <xf numFmtId="164" fontId="6" fillId="0" borderId="5" xfId="2" applyNumberFormat="1" applyFont="1" applyBorder="1"/>
    <xf numFmtId="164" fontId="6" fillId="0" borderId="5" xfId="2" applyNumberFormat="1" applyFont="1" applyBorder="1" applyAlignment="1">
      <alignment horizontal="center"/>
    </xf>
    <xf numFmtId="164" fontId="7" fillId="0" borderId="4" xfId="0" applyNumberFormat="1" applyFont="1" applyBorder="1" applyAlignment="1">
      <alignment wrapText="1"/>
    </xf>
    <xf numFmtId="164" fontId="7" fillId="0" borderId="4" xfId="0" applyNumberFormat="1" applyFont="1" applyBorder="1"/>
    <xf numFmtId="164" fontId="6" fillId="0" borderId="6" xfId="2" applyNumberFormat="1" applyFont="1" applyBorder="1"/>
    <xf numFmtId="164" fontId="6" fillId="0" borderId="0" xfId="2" applyNumberFormat="1" applyFont="1"/>
    <xf numFmtId="164" fontId="6" fillId="0" borderId="0" xfId="3" applyNumberFormat="1" applyFont="1" applyAlignment="1">
      <alignment horizontal="center"/>
    </xf>
    <xf numFmtId="164" fontId="5" fillId="0" borderId="0" xfId="0" applyNumberFormat="1" applyFont="1"/>
    <xf numFmtId="6" fontId="5" fillId="0" borderId="4" xfId="0" applyNumberFormat="1" applyFont="1" applyBorder="1"/>
    <xf numFmtId="164" fontId="5" fillId="0" borderId="4" xfId="0" applyNumberFormat="1" applyFont="1" applyBorder="1"/>
    <xf numFmtId="164" fontId="6" fillId="0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/>
    <xf numFmtId="1" fontId="6" fillId="0" borderId="0" xfId="2" applyNumberFormat="1" applyFont="1"/>
    <xf numFmtId="164" fontId="6" fillId="0" borderId="6" xfId="0" applyNumberFormat="1" applyFont="1" applyBorder="1"/>
    <xf numFmtId="164" fontId="6" fillId="0" borderId="6" xfId="0" applyNumberFormat="1" applyFont="1" applyBorder="1" applyAlignment="1">
      <alignment horizontal="center"/>
    </xf>
    <xf numFmtId="164" fontId="5" fillId="0" borderId="6" xfId="0" applyNumberFormat="1" applyFont="1" applyBorder="1"/>
    <xf numFmtId="37" fontId="5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horizontal="center"/>
    </xf>
    <xf numFmtId="3" fontId="5" fillId="0" borderId="0" xfId="0" applyNumberFormat="1" applyFont="1"/>
    <xf numFmtId="164" fontId="14" fillId="0" borderId="0" xfId="0" applyNumberFormat="1" applyFont="1" applyAlignment="1">
      <alignment wrapText="1"/>
    </xf>
    <xf numFmtId="164" fontId="14" fillId="0" borderId="0" xfId="0" applyNumberFormat="1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 applyBorder="1"/>
    <xf numFmtId="3" fontId="5" fillId="0" borderId="0" xfId="0" applyNumberFormat="1" applyFont="1" applyBorder="1"/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41" fontId="5" fillId="0" borderId="0" xfId="3" applyNumberFormat="1" applyFont="1" applyAlignment="1">
      <alignment horizontal="left"/>
    </xf>
    <xf numFmtId="0" fontId="5" fillId="0" borderId="0" xfId="0" applyFont="1" applyBorder="1"/>
    <xf numFmtId="0" fontId="4" fillId="2" borderId="0" xfId="0" applyFont="1" applyFill="1" applyAlignment="1">
      <alignment horizontal="center"/>
    </xf>
    <xf numFmtId="166" fontId="6" fillId="0" borderId="4" xfId="1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16" fillId="0" borderId="8" xfId="0" applyFont="1" applyBorder="1"/>
    <xf numFmtId="3" fontId="16" fillId="0" borderId="9" xfId="0" applyNumberFormat="1" applyFont="1" applyBorder="1"/>
    <xf numFmtId="3" fontId="16" fillId="0" borderId="10" xfId="0" applyNumberFormat="1" applyFont="1" applyBorder="1"/>
    <xf numFmtId="0" fontId="0" fillId="0" borderId="0" xfId="0" applyFont="1" applyBorder="1"/>
    <xf numFmtId="37" fontId="0" fillId="0" borderId="0" xfId="0" applyNumberFormat="1" applyFont="1" applyBorder="1"/>
    <xf numFmtId="37" fontId="0" fillId="0" borderId="11" xfId="0" applyNumberFormat="1" applyFont="1" applyBorder="1"/>
    <xf numFmtId="37" fontId="0" fillId="0" borderId="9" xfId="0" applyNumberFormat="1" applyFont="1" applyBorder="1"/>
    <xf numFmtId="0" fontId="16" fillId="0" borderId="0" xfId="0" applyFont="1" applyBorder="1"/>
    <xf numFmtId="0" fontId="0" fillId="0" borderId="0" xfId="0" applyFont="1" applyFill="1" applyBorder="1"/>
    <xf numFmtId="3" fontId="16" fillId="0" borderId="0" xfId="0" applyNumberFormat="1" applyFont="1" applyBorder="1"/>
    <xf numFmtId="3" fontId="0" fillId="0" borderId="8" xfId="0" applyNumberFormat="1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0" fillId="0" borderId="9" xfId="0" applyNumberFormat="1" applyFont="1" applyBorder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right"/>
    </xf>
    <xf numFmtId="164" fontId="0" fillId="0" borderId="0" xfId="0" applyNumberFormat="1"/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/>
    <xf numFmtId="0" fontId="0" fillId="0" borderId="8" xfId="0" applyBorder="1"/>
    <xf numFmtId="3" fontId="0" fillId="0" borderId="9" xfId="0" applyNumberFormat="1" applyBorder="1"/>
    <xf numFmtId="0" fontId="0" fillId="3" borderId="15" xfId="0" applyFill="1" applyBorder="1"/>
    <xf numFmtId="0" fontId="16" fillId="0" borderId="7" xfId="0" applyFont="1" applyBorder="1"/>
    <xf numFmtId="3" fontId="16" fillId="0" borderId="14" xfId="0" applyNumberFormat="1" applyFont="1" applyBorder="1"/>
    <xf numFmtId="0" fontId="0" fillId="0" borderId="9" xfId="0" applyBorder="1"/>
    <xf numFmtId="37" fontId="0" fillId="0" borderId="9" xfId="0" applyNumberFormat="1" applyBorder="1"/>
    <xf numFmtId="37" fontId="0" fillId="0" borderId="0" xfId="0" applyNumberFormat="1"/>
    <xf numFmtId="0" fontId="0" fillId="0" borderId="8" xfId="0" applyFill="1" applyBorder="1"/>
    <xf numFmtId="37" fontId="0" fillId="0" borderId="9" xfId="0" applyNumberFormat="1" applyFill="1" applyBorder="1"/>
    <xf numFmtId="0" fontId="18" fillId="0" borderId="0" xfId="0" applyFont="1"/>
    <xf numFmtId="0" fontId="18" fillId="0" borderId="8" xfId="0" applyFont="1" applyBorder="1"/>
    <xf numFmtId="3" fontId="18" fillId="0" borderId="9" xfId="0" applyNumberFormat="1" applyFont="1" applyBorder="1"/>
    <xf numFmtId="0" fontId="0" fillId="0" borderId="7" xfId="0" applyBorder="1"/>
    <xf numFmtId="3" fontId="0" fillId="0" borderId="14" xfId="0" applyNumberFormat="1" applyBorder="1"/>
    <xf numFmtId="0" fontId="0" fillId="3" borderId="8" xfId="0" applyFill="1" applyBorder="1"/>
    <xf numFmtId="3" fontId="2" fillId="0" borderId="9" xfId="0" applyNumberFormat="1" applyFont="1" applyBorder="1"/>
    <xf numFmtId="0" fontId="0" fillId="3" borderId="0" xfId="0" applyFill="1"/>
    <xf numFmtId="3" fontId="0" fillId="3" borderId="9" xfId="0" applyNumberFormat="1" applyFill="1" applyBorder="1"/>
    <xf numFmtId="2" fontId="0" fillId="3" borderId="8" xfId="0" applyNumberFormat="1" applyFill="1" applyBorder="1"/>
    <xf numFmtId="0" fontId="0" fillId="0" borderId="0" xfId="0" applyFont="1" applyFill="1"/>
    <xf numFmtId="168" fontId="3" fillId="0" borderId="4" xfId="0" applyNumberFormat="1" applyFont="1" applyBorder="1"/>
    <xf numFmtId="3" fontId="3" fillId="0" borderId="4" xfId="0" applyNumberFormat="1" applyFont="1" applyBorder="1"/>
    <xf numFmtId="0" fontId="3" fillId="0" borderId="3" xfId="0" applyFont="1" applyFill="1" applyBorder="1" applyAlignment="1">
      <alignment horizontal="center"/>
    </xf>
    <xf numFmtId="0" fontId="0" fillId="0" borderId="10" xfId="0" applyBorder="1"/>
    <xf numFmtId="37" fontId="0" fillId="0" borderId="11" xfId="0" applyNumberFormat="1" applyBorder="1"/>
    <xf numFmtId="37" fontId="0" fillId="0" borderId="13" xfId="0" applyNumberFormat="1" applyBorder="1"/>
    <xf numFmtId="0" fontId="19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3" fontId="0" fillId="0" borderId="0" xfId="0" applyNumberFormat="1"/>
    <xf numFmtId="0" fontId="3" fillId="0" borderId="3" xfId="0" applyFont="1" applyBorder="1"/>
    <xf numFmtId="0" fontId="0" fillId="0" borderId="3" xfId="0" applyBorder="1"/>
    <xf numFmtId="0" fontId="3" fillId="0" borderId="3" xfId="0" applyFont="1" applyBorder="1" applyAlignment="1">
      <alignment wrapText="1"/>
    </xf>
    <xf numFmtId="164" fontId="6" fillId="0" borderId="3" xfId="2" applyNumberFormat="1" applyFont="1" applyBorder="1"/>
    <xf numFmtId="0" fontId="20" fillId="0" borderId="4" xfId="0" applyFont="1" applyBorder="1" applyAlignment="1">
      <alignment wrapText="1"/>
    </xf>
    <xf numFmtId="164" fontId="20" fillId="0" borderId="4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/>
    <xf numFmtId="0" fontId="6" fillId="3" borderId="4" xfId="0" applyFont="1" applyFill="1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/>
    <xf numFmtId="49" fontId="0" fillId="0" borderId="23" xfId="0" applyNumberForma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6" xfId="0" applyBorder="1"/>
    <xf numFmtId="49" fontId="0" fillId="0" borderId="26" xfId="0" applyNumberFormat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/>
    <xf numFmtId="49" fontId="0" fillId="0" borderId="29" xfId="0" applyNumberFormat="1" applyFill="1" applyBorder="1" applyAlignment="1">
      <alignment horizont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/>
    <xf numFmtId="49" fontId="0" fillId="0" borderId="23" xfId="0" applyNumberFormat="1" applyFill="1" applyBorder="1" applyAlignment="1">
      <alignment horizont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/>
    <xf numFmtId="49" fontId="0" fillId="0" borderId="29" xfId="0" applyNumberFormat="1" applyBorder="1" applyAlignment="1">
      <alignment horizontal="center"/>
    </xf>
    <xf numFmtId="0" fontId="0" fillId="0" borderId="34" xfId="0" applyFill="1" applyBorder="1" applyAlignment="1">
      <alignment vertical="center"/>
    </xf>
    <xf numFmtId="0" fontId="0" fillId="0" borderId="34" xfId="0" applyFill="1" applyBorder="1"/>
    <xf numFmtId="49" fontId="0" fillId="0" borderId="34" xfId="0" applyNumberFormat="1" applyBorder="1" applyAlignment="1">
      <alignment horizont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/>
    <xf numFmtId="49" fontId="0" fillId="0" borderId="36" xfId="0" applyNumberFormat="1" applyBorder="1" applyAlignment="1">
      <alignment horizontal="center"/>
    </xf>
    <xf numFmtId="0" fontId="0" fillId="0" borderId="38" xfId="0" applyFill="1" applyBorder="1" applyAlignment="1">
      <alignment vertical="center"/>
    </xf>
    <xf numFmtId="0" fontId="0" fillId="0" borderId="38" xfId="0" applyFill="1" applyBorder="1"/>
    <xf numFmtId="49" fontId="0" fillId="0" borderId="3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5" fillId="0" borderId="0" xfId="0" applyFont="1"/>
    <xf numFmtId="37" fontId="25" fillId="0" borderId="0" xfId="0" applyNumberFormat="1" applyFont="1"/>
    <xf numFmtId="166" fontId="27" fillId="0" borderId="39" xfId="4" applyNumberFormat="1" applyFont="1" applyBorder="1"/>
    <xf numFmtId="0" fontId="27" fillId="0" borderId="40" xfId="5" applyFont="1" applyBorder="1"/>
    <xf numFmtId="166" fontId="28" fillId="0" borderId="0" xfId="4" applyNumberFormat="1" applyFont="1" applyBorder="1"/>
    <xf numFmtId="0" fontId="28" fillId="0" borderId="41" xfId="5" applyFont="1" applyBorder="1"/>
    <xf numFmtId="0" fontId="27" fillId="0" borderId="41" xfId="5" applyFont="1" applyBorder="1"/>
    <xf numFmtId="166" fontId="28" fillId="0" borderId="1" xfId="4" applyNumberFormat="1" applyFont="1" applyBorder="1"/>
    <xf numFmtId="37" fontId="29" fillId="0" borderId="0" xfId="0" applyNumberFormat="1" applyFont="1"/>
    <xf numFmtId="0" fontId="29" fillId="0" borderId="0" xfId="0" applyFont="1"/>
    <xf numFmtId="37" fontId="29" fillId="0" borderId="1" xfId="0" applyNumberFormat="1" applyFont="1" applyBorder="1"/>
    <xf numFmtId="0" fontId="28" fillId="0" borderId="41" xfId="6" applyFont="1" applyBorder="1"/>
    <xf numFmtId="166" fontId="29" fillId="0" borderId="0" xfId="0" applyNumberFormat="1" applyFont="1"/>
    <xf numFmtId="166" fontId="28" fillId="0" borderId="3" xfId="4" applyNumberFormat="1" applyFont="1" applyBorder="1" applyAlignment="1">
      <alignment horizontal="center"/>
    </xf>
    <xf numFmtId="0" fontId="31" fillId="0" borderId="41" xfId="6" applyFont="1" applyBorder="1"/>
    <xf numFmtId="0" fontId="32" fillId="0" borderId="3" xfId="0" applyFont="1" applyBorder="1"/>
    <xf numFmtId="166" fontId="33" fillId="0" borderId="42" xfId="4" applyNumberFormat="1" applyFont="1" applyBorder="1" applyAlignment="1">
      <alignment horizontal="center" vertical="center"/>
    </xf>
    <xf numFmtId="0" fontId="34" fillId="0" borderId="41" xfId="5" applyFont="1" applyBorder="1" applyAlignment="1">
      <alignment horizontal="center" vertical="center"/>
    </xf>
    <xf numFmtId="0" fontId="0" fillId="0" borderId="43" xfId="0" applyBorder="1"/>
    <xf numFmtId="0" fontId="0" fillId="0" borderId="0" xfId="0" applyBorder="1"/>
    <xf numFmtId="0" fontId="0" fillId="0" borderId="41" xfId="0" applyBorder="1"/>
    <xf numFmtId="0" fontId="0" fillId="3" borderId="43" xfId="0" applyFill="1" applyBorder="1"/>
    <xf numFmtId="0" fontId="0" fillId="3" borderId="0" xfId="0" applyFill="1" applyBorder="1"/>
    <xf numFmtId="0" fontId="0" fillId="3" borderId="41" xfId="0" applyFill="1" applyBorder="1"/>
    <xf numFmtId="37" fontId="0" fillId="3" borderId="43" xfId="0" applyNumberFormat="1" applyFill="1" applyBorder="1"/>
    <xf numFmtId="37" fontId="0" fillId="3" borderId="0" xfId="0" applyNumberFormat="1" applyFill="1" applyBorder="1"/>
    <xf numFmtId="37" fontId="0" fillId="3" borderId="41" xfId="0" applyNumberFormat="1" applyFill="1" applyBorder="1"/>
    <xf numFmtId="37" fontId="0" fillId="3" borderId="0" xfId="0" applyNumberFormat="1" applyFill="1"/>
    <xf numFmtId="166" fontId="0" fillId="3" borderId="43" xfId="1" applyNumberFormat="1" applyFont="1" applyFill="1" applyBorder="1"/>
    <xf numFmtId="166" fontId="0" fillId="3" borderId="0" xfId="1" applyNumberFormat="1" applyFont="1" applyFill="1" applyBorder="1"/>
    <xf numFmtId="166" fontId="0" fillId="3" borderId="41" xfId="1" applyNumberFormat="1" applyFont="1" applyFill="1" applyBorder="1"/>
    <xf numFmtId="166" fontId="0" fillId="3" borderId="0" xfId="1" applyNumberFormat="1" applyFont="1" applyFill="1"/>
    <xf numFmtId="0" fontId="0" fillId="3" borderId="0" xfId="0" applyFill="1" applyAlignment="1"/>
    <xf numFmtId="37" fontId="35" fillId="0" borderId="0" xfId="0" applyNumberFormat="1" applyFont="1"/>
    <xf numFmtId="166" fontId="0" fillId="3" borderId="43" xfId="0" applyNumberFormat="1" applyFill="1" applyBorder="1"/>
    <xf numFmtId="166" fontId="0" fillId="3" borderId="0" xfId="0" applyNumberFormat="1" applyFill="1" applyBorder="1"/>
    <xf numFmtId="166" fontId="0" fillId="3" borderId="41" xfId="0" applyNumberFormat="1" applyFill="1" applyBorder="1"/>
    <xf numFmtId="37" fontId="32" fillId="0" borderId="0" xfId="0" applyNumberFormat="1" applyFont="1"/>
    <xf numFmtId="37" fontId="36" fillId="0" borderId="0" xfId="0" applyNumberFormat="1" applyFont="1"/>
    <xf numFmtId="37" fontId="25" fillId="0" borderId="43" xfId="0" applyNumberFormat="1" applyFont="1" applyBorder="1"/>
    <xf numFmtId="37" fontId="25" fillId="0" borderId="0" xfId="0" applyNumberFormat="1" applyFont="1" applyBorder="1"/>
    <xf numFmtId="37" fontId="25" fillId="0" borderId="41" xfId="0" applyNumberFormat="1" applyFont="1" applyBorder="1"/>
    <xf numFmtId="37" fontId="25" fillId="4" borderId="0" xfId="0" applyNumberFormat="1" applyFont="1" applyFill="1"/>
    <xf numFmtId="37" fontId="25" fillId="0" borderId="3" xfId="0" applyNumberFormat="1" applyFont="1" applyBorder="1"/>
    <xf numFmtId="37" fontId="25" fillId="0" borderId="40" xfId="0" applyNumberFormat="1" applyFont="1" applyBorder="1"/>
    <xf numFmtId="37" fontId="25" fillId="0" borderId="44" xfId="0" applyNumberFormat="1" applyFont="1" applyBorder="1"/>
    <xf numFmtId="37" fontId="25" fillId="4" borderId="3" xfId="0" applyNumberFormat="1" applyFont="1" applyFill="1" applyBorder="1"/>
    <xf numFmtId="37" fontId="37" fillId="0" borderId="0" xfId="0" applyNumberFormat="1" applyFont="1"/>
    <xf numFmtId="37" fontId="38" fillId="0" borderId="0" xfId="0" applyNumberFormat="1" applyFont="1"/>
    <xf numFmtId="37" fontId="32" fillId="0" borderId="43" xfId="0" applyNumberFormat="1" applyFont="1" applyBorder="1"/>
    <xf numFmtId="37" fontId="32" fillId="0" borderId="0" xfId="0" applyNumberFormat="1" applyFont="1" applyBorder="1"/>
    <xf numFmtId="37" fontId="32" fillId="0" borderId="41" xfId="0" applyNumberFormat="1" applyFont="1" applyBorder="1"/>
    <xf numFmtId="37" fontId="32" fillId="4" borderId="0" xfId="0" applyNumberFormat="1" applyFont="1" applyFill="1"/>
    <xf numFmtId="39" fontId="25" fillId="0" borderId="43" xfId="0" applyNumberFormat="1" applyFont="1" applyBorder="1"/>
    <xf numFmtId="39" fontId="25" fillId="0" borderId="0" xfId="0" applyNumberFormat="1" applyFont="1" applyBorder="1"/>
    <xf numFmtId="39" fontId="25" fillId="0" borderId="41" xfId="0" applyNumberFormat="1" applyFont="1" applyBorder="1"/>
    <xf numFmtId="39" fontId="25" fillId="0" borderId="0" xfId="0" applyNumberFormat="1" applyFont="1"/>
    <xf numFmtId="39" fontId="25" fillId="4" borderId="0" xfId="0" applyNumberFormat="1" applyFont="1" applyFill="1"/>
    <xf numFmtId="37" fontId="25" fillId="4" borderId="0" xfId="0" applyNumberFormat="1" applyFont="1" applyFill="1" applyBorder="1"/>
    <xf numFmtId="37" fontId="25" fillId="4" borderId="1" xfId="0" applyNumberFormat="1" applyFont="1" applyFill="1" applyBorder="1"/>
    <xf numFmtId="0" fontId="0" fillId="4" borderId="0" xfId="0" applyFill="1"/>
    <xf numFmtId="37" fontId="39" fillId="0" borderId="43" xfId="0" applyNumberFormat="1" applyFont="1" applyBorder="1"/>
    <xf numFmtId="37" fontId="39" fillId="0" borderId="0" xfId="0" applyNumberFormat="1" applyFont="1" applyBorder="1"/>
    <xf numFmtId="37" fontId="39" fillId="0" borderId="41" xfId="0" applyNumberFormat="1" applyFont="1" applyBorder="1"/>
    <xf numFmtId="37" fontId="39" fillId="0" borderId="0" xfId="0" applyNumberFormat="1" applyFont="1"/>
    <xf numFmtId="37" fontId="39" fillId="4" borderId="0" xfId="0" applyNumberFormat="1" applyFont="1" applyFill="1"/>
    <xf numFmtId="37" fontId="40" fillId="0" borderId="0" xfId="0" applyNumberFormat="1" applyFont="1" applyAlignment="1"/>
    <xf numFmtId="9" fontId="25" fillId="0" borderId="0" xfId="0" applyNumberFormat="1" applyFont="1"/>
    <xf numFmtId="9" fontId="25" fillId="0" borderId="0" xfId="0" applyNumberFormat="1" applyFont="1" applyBorder="1" applyAlignment="1">
      <alignment horizontal="right"/>
    </xf>
    <xf numFmtId="9" fontId="25" fillId="0" borderId="0" xfId="0" applyNumberFormat="1" applyFont="1" applyAlignment="1">
      <alignment horizontal="right"/>
    </xf>
    <xf numFmtId="165" fontId="25" fillId="0" borderId="0" xfId="0" applyNumberFormat="1" applyFont="1"/>
    <xf numFmtId="10" fontId="25" fillId="0" borderId="0" xfId="0" applyNumberFormat="1" applyFont="1"/>
    <xf numFmtId="0" fontId="2" fillId="0" borderId="0" xfId="0" applyFont="1"/>
    <xf numFmtId="9" fontId="25" fillId="0" borderId="3" xfId="0" applyNumberFormat="1" applyFont="1" applyBorder="1"/>
    <xf numFmtId="37" fontId="41" fillId="0" borderId="0" xfId="0" applyNumberFormat="1" applyFont="1" applyBorder="1"/>
    <xf numFmtId="0" fontId="37" fillId="0" borderId="3" xfId="0" applyFont="1" applyBorder="1"/>
    <xf numFmtId="0" fontId="37" fillId="0" borderId="3" xfId="0" applyFont="1" applyBorder="1" applyAlignment="1">
      <alignment wrapText="1"/>
    </xf>
    <xf numFmtId="0" fontId="32" fillId="0" borderId="45" xfId="0" applyFont="1" applyBorder="1" applyAlignment="1">
      <alignment horizontal="center" wrapText="1"/>
    </xf>
    <xf numFmtId="0" fontId="32" fillId="0" borderId="42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2" fontId="0" fillId="0" borderId="0" xfId="0" applyNumberFormat="1"/>
    <xf numFmtId="0" fontId="4" fillId="2" borderId="0" xfId="0" applyFont="1" applyFill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5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180"/>
    </xf>
    <xf numFmtId="0" fontId="22" fillId="0" borderId="24" xfId="0" applyFont="1" applyBorder="1" applyAlignment="1">
      <alignment horizontal="center" textRotation="180"/>
    </xf>
    <xf numFmtId="0" fontId="22" fillId="0" borderId="27" xfId="0" applyFont="1" applyBorder="1" applyAlignment="1">
      <alignment horizontal="center" textRotation="180"/>
    </xf>
    <xf numFmtId="0" fontId="22" fillId="0" borderId="28" xfId="0" applyFont="1" applyBorder="1" applyAlignment="1">
      <alignment horizontal="center" vertical="center" textRotation="90"/>
    </xf>
    <xf numFmtId="0" fontId="22" fillId="0" borderId="30" xfId="0" applyFont="1" applyBorder="1" applyAlignment="1">
      <alignment horizontal="center" vertical="center" textRotation="90"/>
    </xf>
    <xf numFmtId="0" fontId="22" fillId="0" borderId="31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180" wrapText="1"/>
    </xf>
    <xf numFmtId="0" fontId="22" fillId="0" borderId="24" xfId="0" applyFont="1" applyBorder="1" applyAlignment="1">
      <alignment horizontal="center" vertical="center" textRotation="180" wrapText="1"/>
    </xf>
    <xf numFmtId="0" fontId="22" fillId="0" borderId="27" xfId="0" applyFont="1" applyBorder="1" applyAlignment="1">
      <alignment horizontal="center" vertical="center" textRotation="18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0" fillId="0" borderId="32" xfId="0" applyBorder="1" applyAlignment="1"/>
    <xf numFmtId="0" fontId="0" fillId="0" borderId="33" xfId="0" applyBorder="1" applyAlignment="1"/>
    <xf numFmtId="0" fontId="0" fillId="0" borderId="35" xfId="0" applyBorder="1" applyAlignment="1"/>
    <xf numFmtId="0" fontId="0" fillId="0" borderId="37" xfId="0" applyBorder="1" applyAlignment="1"/>
    <xf numFmtId="0" fontId="0" fillId="0" borderId="24" xfId="0" applyBorder="1" applyAlignment="1"/>
    <xf numFmtId="0" fontId="0" fillId="0" borderId="27" xfId="0" applyBorder="1" applyAlignment="1"/>
  </cellXfs>
  <cellStyles count="7">
    <cellStyle name="Comma" xfId="1" builtinId="3"/>
    <cellStyle name="Comma 2" xfId="4"/>
    <cellStyle name="Currency" xfId="2" builtinId="4"/>
    <cellStyle name="Normal" xfId="0" builtinId="0"/>
    <cellStyle name="Normal 2" xfId="5"/>
    <cellStyle name="Normal_Sheet1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12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54275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66675</xdr:colOff>
      <xdr:row>50</xdr:row>
      <xdr:rowOff>38099</xdr:rowOff>
    </xdr:from>
    <xdr:to>
      <xdr:col>4</xdr:col>
      <xdr:colOff>1247775</xdr:colOff>
      <xdr:row>52</xdr:row>
      <xdr:rowOff>171449</xdr:rowOff>
    </xdr:to>
    <xdr:sp macro="" textlink="">
      <xdr:nvSpPr>
        <xdr:cNvPr id="3" name="TextBox 2"/>
        <xdr:cNvSpPr txBox="1"/>
      </xdr:nvSpPr>
      <xdr:spPr>
        <a:xfrm>
          <a:off x="9915525" y="9696449"/>
          <a:ext cx="118110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300"/>
            <a:t>Finance Committee</a:t>
          </a:r>
        </a:p>
      </xdr:txBody>
    </xdr:sp>
    <xdr:clientData/>
  </xdr:twoCellAnchor>
  <xdr:twoCellAnchor>
    <xdr:from>
      <xdr:col>4</xdr:col>
      <xdr:colOff>295276</xdr:colOff>
      <xdr:row>53</xdr:row>
      <xdr:rowOff>66675</xdr:rowOff>
    </xdr:from>
    <xdr:to>
      <xdr:col>4</xdr:col>
      <xdr:colOff>1066800</xdr:colOff>
      <xdr:row>60</xdr:row>
      <xdr:rowOff>114300</xdr:rowOff>
    </xdr:to>
    <xdr:sp macro="" textlink="">
      <xdr:nvSpPr>
        <xdr:cNvPr id="4" name="TextBox 3"/>
        <xdr:cNvSpPr txBox="1"/>
      </xdr:nvSpPr>
      <xdr:spPr>
        <a:xfrm rot="5400000">
          <a:off x="9839325" y="10620376"/>
          <a:ext cx="1381125" cy="771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Development Committee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scott/AppData/Local/Microsoft/Windows/INetCache/Content.Outlook/8O8QBR3V/NHCS%20expansion%20FY18%20-%20FY22%20revised%20for%201-12-15%20Board%20retre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MT/Strategic%20Plan/Growth_HS%20and%20MS_Gym/2015%20Amendment%20Application%20Effort/APPENDICES/NHCS%20Schoolwide%20Expansion%20-%20LS%20MS.HS%20Kate's%20edits%203.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MT/Strategic%20Plan/Growth_HS%20and%20MS_Gym/2015%20Amendment%20Application%20Effort/APPENDICES/Lower%20and%20Middle%20School%20expansion%20updated%206-9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tearns\AppData\Local\Microsoft\Windows\INetCache\Content.Outlook\G8QERY2W\Projected%20Stmt%20of%20Net%20Assets%20FY16-FY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&amp; Exp"/>
      <sheetName val="Payroll"/>
      <sheetName val="Sheet3"/>
    </sheetNames>
    <sheetDataSet>
      <sheetData sheetId="0" refreshError="1"/>
      <sheetData sheetId="1" refreshError="1">
        <row r="8">
          <cell r="G8">
            <v>35000</v>
          </cell>
          <cell r="I8">
            <v>35525</v>
          </cell>
          <cell r="K8">
            <v>36057.875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 &amp; exp"/>
      <sheetName val="payroll"/>
      <sheetName val="Sheet3"/>
    </sheetNames>
    <sheetDataSet>
      <sheetData sheetId="0" refreshError="1"/>
      <sheetData sheetId="1">
        <row r="74">
          <cell r="H74">
            <v>4</v>
          </cell>
          <cell r="J74">
            <v>4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d expenses"/>
      <sheetName val="payroll"/>
      <sheetName val="Sheet3"/>
    </sheetNames>
    <sheetDataSet>
      <sheetData sheetId="0">
        <row r="18">
          <cell r="F18">
            <v>54769</v>
          </cell>
          <cell r="H18">
            <v>56412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mt net assets combined"/>
      <sheetName val="stmt of net assets school only"/>
      <sheetName val="rev&amp;exp k1-12"/>
      <sheetName val="revenues and exp k-8 school "/>
      <sheetName val="dashboard - hs &amp; existing schoo"/>
      <sheetName val="exp addl debt"/>
    </sheetNames>
    <sheetDataSet>
      <sheetData sheetId="0"/>
      <sheetData sheetId="1">
        <row r="4">
          <cell r="H4">
            <v>1440188.3611750016</v>
          </cell>
        </row>
        <row r="7">
          <cell r="D7">
            <v>2608164</v>
          </cell>
          <cell r="F7">
            <v>1758636.1550000003</v>
          </cell>
          <cell r="H7">
            <v>1763045.3611750016</v>
          </cell>
          <cell r="J7">
            <v>1814360.7744098781</v>
          </cell>
          <cell r="N7">
            <v>1930637.4223663779</v>
          </cell>
          <cell r="P7">
            <v>2147092.0047576157</v>
          </cell>
        </row>
        <row r="13">
          <cell r="D13">
            <v>3003915.75</v>
          </cell>
          <cell r="F13">
            <v>2930161.9425000004</v>
          </cell>
          <cell r="H13">
            <v>2869788.9880500017</v>
          </cell>
          <cell r="J13">
            <v>2790755.782628628</v>
          </cell>
          <cell r="L13">
            <v>2583554.6285472661</v>
          </cell>
          <cell r="N13">
            <v>2499686.2789275497</v>
          </cell>
          <cell r="P13">
            <v>2519675.5041468465</v>
          </cell>
        </row>
        <row r="19">
          <cell r="D19">
            <v>2308561</v>
          </cell>
          <cell r="F19">
            <v>2199495</v>
          </cell>
          <cell r="H19">
            <v>2040680</v>
          </cell>
          <cell r="J19">
            <v>1881865</v>
          </cell>
          <cell r="L19">
            <v>1573050</v>
          </cell>
          <cell r="N19">
            <v>1414235</v>
          </cell>
          <cell r="P19">
            <v>1405420</v>
          </cell>
        </row>
      </sheetData>
      <sheetData sheetId="2">
        <row r="3">
          <cell r="E3">
            <v>5823108</v>
          </cell>
          <cell r="H3">
            <v>6873867.0800000001</v>
          </cell>
          <cell r="K3">
            <v>8151452.4708000002</v>
          </cell>
          <cell r="N3">
            <v>9851329.9955080003</v>
          </cell>
          <cell r="Q3">
            <v>11230203.53546308</v>
          </cell>
          <cell r="T3">
            <v>12563745.030817712</v>
          </cell>
          <cell r="W3">
            <v>12913956.481125889</v>
          </cell>
        </row>
        <row r="4">
          <cell r="E4">
            <v>150000</v>
          </cell>
          <cell r="H4">
            <v>400000</v>
          </cell>
          <cell r="I4">
            <v>800000</v>
          </cell>
          <cell r="L4">
            <v>800000</v>
          </cell>
          <cell r="O4">
            <v>950000</v>
          </cell>
          <cell r="T4">
            <v>800000</v>
          </cell>
          <cell r="W4">
            <v>650000</v>
          </cell>
        </row>
        <row r="6">
          <cell r="E6">
            <v>510000</v>
          </cell>
          <cell r="H6">
            <v>596700</v>
          </cell>
          <cell r="K6">
            <v>712449</v>
          </cell>
          <cell r="N6">
            <v>860648.49</v>
          </cell>
          <cell r="Q6">
            <v>971098.97490000003</v>
          </cell>
          <cell r="T6">
            <v>1065400.964649</v>
          </cell>
        </row>
        <row r="8">
          <cell r="E8">
            <v>7350317</v>
          </cell>
          <cell r="H8">
            <v>8346917.0800000001</v>
          </cell>
          <cell r="K8">
            <v>11283624.970800001</v>
          </cell>
          <cell r="N8">
            <v>12737099.220508</v>
          </cell>
          <cell r="Q8">
            <v>14017844.45271308</v>
          </cell>
          <cell r="T8">
            <v>15081133.357240211</v>
          </cell>
          <cell r="W8">
            <v>15307568.690812614</v>
          </cell>
        </row>
        <row r="15">
          <cell r="K15">
            <v>700000</v>
          </cell>
          <cell r="N15">
            <v>707000</v>
          </cell>
          <cell r="Q15">
            <v>714070</v>
          </cell>
          <cell r="T15">
            <v>721211</v>
          </cell>
          <cell r="W15">
            <v>728423</v>
          </cell>
        </row>
        <row r="16">
          <cell r="E16">
            <v>291514</v>
          </cell>
          <cell r="H16">
            <v>290934</v>
          </cell>
          <cell r="K16">
            <v>641185</v>
          </cell>
          <cell r="N16">
            <v>641185</v>
          </cell>
          <cell r="Q16">
            <v>641185</v>
          </cell>
          <cell r="T16">
            <v>641185</v>
          </cell>
          <cell r="W16">
            <v>641185</v>
          </cell>
        </row>
        <row r="17">
          <cell r="E17">
            <v>90000</v>
          </cell>
          <cell r="H17">
            <v>274522</v>
          </cell>
          <cell r="K17">
            <v>300593</v>
          </cell>
          <cell r="N17">
            <v>321700</v>
          </cell>
          <cell r="Q17">
            <v>341318</v>
          </cell>
          <cell r="T17">
            <v>345462</v>
          </cell>
          <cell r="W17">
            <v>314606</v>
          </cell>
        </row>
        <row r="18">
          <cell r="E18">
            <v>7313224</v>
          </cell>
          <cell r="H18">
            <v>8321900.9249999998</v>
          </cell>
          <cell r="K18">
            <v>11195993.764625</v>
          </cell>
          <cell r="N18">
            <v>12668668.807273123</v>
          </cell>
          <cell r="Q18">
            <v>13928149.557205379</v>
          </cell>
          <cell r="T18">
            <v>15018701.604791412</v>
          </cell>
          <cell r="W18">
            <v>15291905.108421376</v>
          </cell>
        </row>
        <row r="20">
          <cell r="E20">
            <v>37093</v>
          </cell>
          <cell r="H20">
            <v>25016.155000000261</v>
          </cell>
          <cell r="K20">
            <v>87631.206175001338</v>
          </cell>
          <cell r="N20">
            <v>68430.413234876469</v>
          </cell>
          <cell r="Q20">
            <v>89694.895507700741</v>
          </cell>
          <cell r="T20">
            <v>62431.752448799089</v>
          </cell>
          <cell r="W20">
            <v>15663.58239123784</v>
          </cell>
        </row>
        <row r="29">
          <cell r="E29">
            <v>268607</v>
          </cell>
        </row>
        <row r="31">
          <cell r="E31">
            <v>-40000</v>
          </cell>
          <cell r="H31">
            <v>-1040000</v>
          </cell>
          <cell r="K31">
            <v>-225000</v>
          </cell>
          <cell r="N31">
            <v>-180000</v>
          </cell>
          <cell r="Q31">
            <v>-130000</v>
          </cell>
          <cell r="T31">
            <v>-125000</v>
          </cell>
          <cell r="W31">
            <v>-105000</v>
          </cell>
        </row>
        <row r="32">
          <cell r="H32">
            <v>-849527.84499999974</v>
          </cell>
          <cell r="K32">
            <v>4409.2061750013381</v>
          </cell>
          <cell r="N32">
            <v>51315.413234876469</v>
          </cell>
          <cell r="Q32">
            <v>-7802.1044922992587</v>
          </cell>
          <cell r="T32">
            <v>124078.75244879909</v>
          </cell>
          <cell r="W32">
            <v>216454.58239123784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Normal="100" workbookViewId="0">
      <selection activeCell="N19" sqref="N19"/>
    </sheetView>
  </sheetViews>
  <sheetFormatPr defaultColWidth="8.85546875" defaultRowHeight="15"/>
  <cols>
    <col min="1" max="1" width="3.42578125" style="1" customWidth="1"/>
    <col min="2" max="2" width="1.85546875" style="3" customWidth="1"/>
    <col min="3" max="3" width="42.42578125" style="2" customWidth="1"/>
    <col min="4" max="4" width="2.42578125" style="3" customWidth="1"/>
    <col min="5" max="5" width="16.140625" style="3" customWidth="1"/>
    <col min="6" max="6" width="0" style="3" hidden="1" customWidth="1"/>
    <col min="7" max="7" width="15.42578125" style="3" customWidth="1"/>
    <col min="8" max="8" width="12.42578125" style="3" hidden="1" customWidth="1"/>
    <col min="9" max="9" width="15.42578125" style="3" customWidth="1"/>
    <col min="10" max="10" width="12.42578125" style="3" hidden="1" customWidth="1"/>
    <col min="11" max="11" width="14.140625" style="3" customWidth="1"/>
    <col min="12" max="12" width="13.42578125" style="3" hidden="1" customWidth="1"/>
    <col min="13" max="14" width="13.85546875" style="3" customWidth="1"/>
    <col min="15" max="15" width="5.42578125" style="1" customWidth="1"/>
    <col min="16" max="16" width="89.42578125" style="2" customWidth="1"/>
    <col min="17" max="17" width="9.140625" style="3" customWidth="1"/>
    <col min="18" max="18" width="12" style="3" customWidth="1"/>
    <col min="19" max="19" width="14.140625" style="3" customWidth="1"/>
    <col min="20" max="22" width="9.140625" style="3" customWidth="1"/>
    <col min="23" max="23" width="10" style="3" bestFit="1" customWidth="1"/>
    <col min="24" max="16384" width="8.85546875" style="3"/>
  </cols>
  <sheetData>
    <row r="1" spans="1:16" ht="15.7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82"/>
    </row>
    <row r="2" spans="1:16">
      <c r="C2" s="4"/>
      <c r="D2" s="5"/>
    </row>
    <row r="3" spans="1:16" ht="15.75">
      <c r="C3" s="6" t="s">
        <v>1</v>
      </c>
      <c r="D3" s="6"/>
      <c r="E3" s="7" t="s">
        <v>2</v>
      </c>
      <c r="F3" s="7"/>
      <c r="G3" s="7"/>
      <c r="H3" s="7"/>
      <c r="I3" s="7"/>
      <c r="J3" s="7"/>
      <c r="K3" s="7"/>
      <c r="L3" s="1"/>
      <c r="M3" s="8"/>
      <c r="N3" s="8"/>
    </row>
    <row r="4" spans="1:16" ht="15.75">
      <c r="C4" s="6" t="s">
        <v>3</v>
      </c>
      <c r="D4" s="6"/>
      <c r="E4" s="9" t="s">
        <v>193</v>
      </c>
      <c r="F4" s="10"/>
      <c r="G4" s="10"/>
      <c r="H4" s="10"/>
      <c r="I4" s="10"/>
      <c r="J4" s="10"/>
      <c r="K4" s="10"/>
      <c r="L4" s="1"/>
      <c r="M4" s="2"/>
      <c r="N4" s="2"/>
    </row>
    <row r="5" spans="1:16" ht="15.75">
      <c r="C5" s="6" t="s">
        <v>4</v>
      </c>
      <c r="D5" s="6"/>
      <c r="E5" s="9" t="s">
        <v>195</v>
      </c>
      <c r="F5" s="9"/>
      <c r="G5" s="9"/>
      <c r="H5" s="9"/>
      <c r="I5" s="9"/>
      <c r="J5" s="9"/>
      <c r="K5" s="9"/>
      <c r="L5" s="1"/>
      <c r="M5" s="2"/>
      <c r="N5" s="2"/>
    </row>
    <row r="6" spans="1:16" ht="15.75">
      <c r="C6" s="11"/>
      <c r="D6" s="6"/>
      <c r="E6" s="6"/>
      <c r="F6" s="6"/>
      <c r="G6" s="12"/>
      <c r="H6" s="12"/>
      <c r="I6" s="12"/>
      <c r="J6" s="12"/>
      <c r="K6" s="12"/>
      <c r="L6" s="12"/>
      <c r="M6" s="12"/>
      <c r="N6" s="12"/>
    </row>
    <row r="7" spans="1:16" s="2" customFormat="1" ht="15.75" thickBot="1">
      <c r="A7" s="13"/>
      <c r="B7" s="14"/>
      <c r="C7" s="15"/>
      <c r="D7" s="15"/>
      <c r="E7" s="16"/>
      <c r="F7" s="15"/>
      <c r="G7" s="15"/>
      <c r="H7" s="15"/>
      <c r="I7" s="15"/>
      <c r="J7" s="15"/>
      <c r="K7" s="17"/>
      <c r="L7" s="17"/>
      <c r="M7" s="14"/>
      <c r="N7" s="14"/>
      <c r="O7" s="13"/>
      <c r="P7" s="14"/>
    </row>
    <row r="8" spans="1:16" ht="15.75">
      <c r="C8" s="18" t="s">
        <v>5</v>
      </c>
      <c r="D8" s="19"/>
      <c r="E8" s="20" t="s">
        <v>106</v>
      </c>
      <c r="F8" s="21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 t="s">
        <v>10</v>
      </c>
      <c r="P8" s="18" t="s">
        <v>5</v>
      </c>
    </row>
    <row r="9" spans="1:16">
      <c r="C9" s="22" t="s">
        <v>11</v>
      </c>
      <c r="D9" s="23"/>
      <c r="E9" s="24"/>
      <c r="F9" s="23"/>
      <c r="G9" s="24"/>
      <c r="H9" s="24"/>
      <c r="I9" s="24"/>
      <c r="J9" s="24"/>
      <c r="K9" s="24"/>
      <c r="L9" s="24"/>
      <c r="M9" s="24"/>
      <c r="N9" s="24"/>
      <c r="O9" s="25"/>
    </row>
    <row r="10" spans="1:16" ht="18" customHeight="1">
      <c r="A10" s="26" t="s">
        <v>12</v>
      </c>
      <c r="B10" s="27"/>
      <c r="C10" s="28" t="s">
        <v>13</v>
      </c>
      <c r="D10" s="29"/>
      <c r="E10" s="30">
        <v>0</v>
      </c>
      <c r="F10" s="30"/>
      <c r="G10" s="31">
        <v>60</v>
      </c>
      <c r="H10" s="31"/>
      <c r="I10" s="31">
        <v>132</v>
      </c>
      <c r="J10" s="31"/>
      <c r="K10" s="30">
        <v>222</v>
      </c>
      <c r="L10" s="30"/>
      <c r="M10" s="32">
        <v>294</v>
      </c>
      <c r="N10" s="32">
        <v>304</v>
      </c>
      <c r="O10" s="26" t="s">
        <v>12</v>
      </c>
      <c r="P10" s="147" t="s">
        <v>186</v>
      </c>
    </row>
    <row r="11" spans="1:16" ht="18" customHeight="1">
      <c r="A11" s="26" t="s">
        <v>14</v>
      </c>
      <c r="B11" s="27"/>
      <c r="C11" s="28" t="s">
        <v>15</v>
      </c>
      <c r="D11" s="29"/>
      <c r="E11" s="30">
        <v>60</v>
      </c>
      <c r="F11" s="30"/>
      <c r="G11" s="31">
        <v>82</v>
      </c>
      <c r="H11" s="31"/>
      <c r="I11" s="31">
        <v>116</v>
      </c>
      <c r="J11" s="31"/>
      <c r="K11" s="30">
        <v>116</v>
      </c>
      <c r="L11" s="30"/>
      <c r="M11" s="32">
        <v>116</v>
      </c>
      <c r="N11" s="32">
        <v>116</v>
      </c>
      <c r="O11" s="26" t="s">
        <v>14</v>
      </c>
      <c r="P11" s="143"/>
    </row>
    <row r="12" spans="1:16" ht="18" customHeight="1">
      <c r="A12" s="35" t="s">
        <v>16</v>
      </c>
      <c r="B12" s="27"/>
      <c r="C12" s="28" t="s">
        <v>17</v>
      </c>
      <c r="D12" s="29"/>
      <c r="E12" s="30">
        <v>8</v>
      </c>
      <c r="F12" s="30"/>
      <c r="G12" s="31">
        <v>8</v>
      </c>
      <c r="H12" s="31"/>
      <c r="I12" s="31">
        <v>8</v>
      </c>
      <c r="J12" s="31"/>
      <c r="K12" s="30">
        <v>8</v>
      </c>
      <c r="L12" s="30"/>
      <c r="M12" s="32">
        <v>8</v>
      </c>
      <c r="N12" s="32">
        <v>8</v>
      </c>
      <c r="O12" s="26" t="s">
        <v>16</v>
      </c>
      <c r="P12" s="34" t="s">
        <v>187</v>
      </c>
    </row>
    <row r="13" spans="1:16" ht="18" customHeight="1">
      <c r="A13" s="26" t="s">
        <v>18</v>
      </c>
      <c r="B13" s="27"/>
      <c r="C13" s="28" t="s">
        <v>19</v>
      </c>
      <c r="D13" s="29"/>
      <c r="E13" s="30">
        <v>5</v>
      </c>
      <c r="F13" s="30"/>
      <c r="G13" s="31">
        <v>8</v>
      </c>
      <c r="H13" s="31"/>
      <c r="I13" s="31">
        <v>8</v>
      </c>
      <c r="J13" s="31"/>
      <c r="K13" s="30">
        <v>8</v>
      </c>
      <c r="L13" s="30"/>
      <c r="M13" s="32">
        <v>8</v>
      </c>
      <c r="N13" s="32">
        <v>8</v>
      </c>
      <c r="O13" s="26" t="s">
        <v>18</v>
      </c>
      <c r="P13" s="34" t="s">
        <v>20</v>
      </c>
    </row>
    <row r="14" spans="1:16" ht="18" customHeight="1">
      <c r="A14" s="26" t="s">
        <v>21</v>
      </c>
      <c r="B14" s="27"/>
      <c r="C14" s="28" t="s">
        <v>22</v>
      </c>
      <c r="D14" s="29"/>
      <c r="E14" s="30">
        <v>0</v>
      </c>
      <c r="F14" s="30"/>
      <c r="G14" s="31">
        <v>7</v>
      </c>
      <c r="H14" s="31"/>
      <c r="I14" s="31">
        <v>17.25</v>
      </c>
      <c r="J14" s="31"/>
      <c r="K14" s="30">
        <v>26.5</v>
      </c>
      <c r="L14" s="30"/>
      <c r="M14" s="30">
        <v>34</v>
      </c>
      <c r="N14" s="30">
        <v>34</v>
      </c>
      <c r="O14" s="26" t="s">
        <v>21</v>
      </c>
      <c r="P14" s="34" t="s">
        <v>188</v>
      </c>
    </row>
    <row r="15" spans="1:16" ht="18" customHeight="1">
      <c r="A15" s="26"/>
      <c r="B15" s="27"/>
      <c r="C15" s="36" t="s">
        <v>23</v>
      </c>
      <c r="D15" s="37"/>
      <c r="E15" s="38"/>
      <c r="F15" s="38"/>
      <c r="G15" s="39"/>
      <c r="H15" s="39"/>
      <c r="I15" s="39"/>
      <c r="J15" s="39"/>
      <c r="K15" s="40"/>
      <c r="L15" s="40"/>
      <c r="M15" s="41"/>
      <c r="N15" s="41"/>
      <c r="O15" s="26"/>
      <c r="P15" s="34"/>
    </row>
    <row r="16" spans="1:16" ht="37.5" customHeight="1">
      <c r="A16" s="26" t="s">
        <v>24</v>
      </c>
      <c r="B16" s="27"/>
      <c r="C16" s="28" t="s">
        <v>25</v>
      </c>
      <c r="D16" s="29"/>
      <c r="E16" s="42">
        <v>14596</v>
      </c>
      <c r="F16" s="42"/>
      <c r="G16" s="42">
        <v>14742</v>
      </c>
      <c r="H16" s="42"/>
      <c r="I16" s="42">
        <v>15046</v>
      </c>
      <c r="J16" s="42"/>
      <c r="K16" s="42">
        <v>15481</v>
      </c>
      <c r="L16" s="42">
        <f t="shared" ref="L16" si="0">J16*1.01</f>
        <v>0</v>
      </c>
      <c r="M16" s="42">
        <v>16109</v>
      </c>
      <c r="N16" s="42">
        <v>16421</v>
      </c>
      <c r="O16" s="26" t="s">
        <v>24</v>
      </c>
      <c r="P16" s="34" t="s">
        <v>190</v>
      </c>
    </row>
    <row r="17" spans="1:16" ht="21.6" customHeight="1">
      <c r="A17" s="26" t="s">
        <v>26</v>
      </c>
      <c r="B17" s="27"/>
      <c r="C17" s="28" t="s">
        <v>27</v>
      </c>
      <c r="D17" s="29"/>
      <c r="E17" s="42">
        <v>50</v>
      </c>
      <c r="F17" s="42"/>
      <c r="G17" s="42">
        <v>50</v>
      </c>
      <c r="H17" s="42"/>
      <c r="I17" s="42">
        <v>50</v>
      </c>
      <c r="J17" s="42"/>
      <c r="K17" s="42">
        <v>50</v>
      </c>
      <c r="L17" s="42"/>
      <c r="M17" s="42">
        <v>50</v>
      </c>
      <c r="N17" s="42">
        <v>50</v>
      </c>
      <c r="O17" s="26" t="s">
        <v>26</v>
      </c>
      <c r="P17" s="43" t="s">
        <v>28</v>
      </c>
    </row>
    <row r="18" spans="1:16" ht="29.1" customHeight="1">
      <c r="A18" s="26" t="s">
        <v>29</v>
      </c>
      <c r="B18" s="27"/>
      <c r="C18" s="28" t="s">
        <v>30</v>
      </c>
      <c r="D18" s="29"/>
      <c r="E18" s="42">
        <v>500</v>
      </c>
      <c r="F18" s="42"/>
      <c r="G18" s="42">
        <v>500</v>
      </c>
      <c r="H18" s="42"/>
      <c r="I18" s="42">
        <v>500</v>
      </c>
      <c r="J18" s="42"/>
      <c r="K18" s="42">
        <v>500</v>
      </c>
      <c r="L18" s="42"/>
      <c r="M18" s="42">
        <v>500</v>
      </c>
      <c r="N18" s="42">
        <v>500</v>
      </c>
      <c r="O18" s="26" t="s">
        <v>29</v>
      </c>
      <c r="P18" s="43" t="s">
        <v>31</v>
      </c>
    </row>
    <row r="19" spans="1:16" ht="18" customHeight="1">
      <c r="A19" s="26"/>
      <c r="B19" s="27"/>
      <c r="C19" s="36" t="s">
        <v>32</v>
      </c>
      <c r="D19" s="37"/>
      <c r="E19" s="42"/>
      <c r="F19" s="42"/>
      <c r="G19" s="42"/>
      <c r="H19" s="42"/>
      <c r="I19" s="42"/>
      <c r="J19" s="42"/>
      <c r="K19" s="44"/>
      <c r="L19" s="44"/>
      <c r="M19" s="45"/>
      <c r="N19" s="45"/>
      <c r="O19" s="26"/>
      <c r="P19" s="34"/>
    </row>
    <row r="20" spans="1:16" ht="18" customHeight="1">
      <c r="A20" s="26" t="s">
        <v>33</v>
      </c>
      <c r="B20" s="27"/>
      <c r="C20" s="28" t="s">
        <v>34</v>
      </c>
      <c r="D20" s="29"/>
      <c r="E20" s="42">
        <v>54769</v>
      </c>
      <c r="F20" s="42"/>
      <c r="G20" s="42">
        <v>56412</v>
      </c>
      <c r="H20" s="42"/>
      <c r="I20" s="42">
        <v>58104</v>
      </c>
      <c r="J20" s="42"/>
      <c r="K20" s="44">
        <v>59848</v>
      </c>
      <c r="L20" s="44"/>
      <c r="M20" s="45">
        <v>61643</v>
      </c>
      <c r="N20" s="42">
        <v>63492</v>
      </c>
      <c r="O20" s="26" t="s">
        <v>33</v>
      </c>
      <c r="P20" s="33" t="s">
        <v>35</v>
      </c>
    </row>
    <row r="21" spans="1:16" ht="18" customHeight="1">
      <c r="A21" s="26" t="s">
        <v>36</v>
      </c>
      <c r="B21" s="27"/>
      <c r="C21" s="28" t="s">
        <v>37</v>
      </c>
      <c r="D21" s="29"/>
      <c r="E21" s="46"/>
      <c r="F21" s="46"/>
      <c r="G21" s="47">
        <v>1.4999999999999999E-2</v>
      </c>
      <c r="H21" s="47"/>
      <c r="I21" s="47">
        <v>1.4999999999999999E-2</v>
      </c>
      <c r="J21" s="47"/>
      <c r="K21" s="47">
        <v>0.05</v>
      </c>
      <c r="L21" s="47"/>
      <c r="M21" s="47">
        <v>1.4999999999999999E-2</v>
      </c>
      <c r="N21" s="47">
        <v>1.4999999999999999E-2</v>
      </c>
      <c r="O21" s="26" t="s">
        <v>36</v>
      </c>
      <c r="P21" s="34" t="s">
        <v>183</v>
      </c>
    </row>
    <row r="22" spans="1:16" ht="18" customHeight="1">
      <c r="A22" s="26" t="s">
        <v>38</v>
      </c>
      <c r="B22" s="27"/>
      <c r="C22" s="28" t="s">
        <v>39</v>
      </c>
      <c r="D22" s="29"/>
      <c r="E22" s="46">
        <v>0.15</v>
      </c>
      <c r="F22" s="46"/>
      <c r="G22" s="46">
        <v>0.15</v>
      </c>
      <c r="H22" s="46"/>
      <c r="I22" s="46">
        <v>0.15</v>
      </c>
      <c r="J22" s="46"/>
      <c r="K22" s="46">
        <v>0.15</v>
      </c>
      <c r="L22" s="46"/>
      <c r="M22" s="46">
        <v>0.15</v>
      </c>
      <c r="N22" s="46">
        <v>0.15</v>
      </c>
      <c r="O22" s="26" t="s">
        <v>38</v>
      </c>
      <c r="P22" s="43" t="s">
        <v>28</v>
      </c>
    </row>
    <row r="23" spans="1:16" ht="18" customHeight="1">
      <c r="A23" s="26" t="s">
        <v>40</v>
      </c>
      <c r="B23" s="27"/>
      <c r="C23" s="28" t="s">
        <v>41</v>
      </c>
      <c r="D23" s="29"/>
      <c r="E23" s="46"/>
      <c r="F23" s="46"/>
      <c r="G23" s="46"/>
      <c r="H23" s="46"/>
      <c r="I23" s="46">
        <v>0.1</v>
      </c>
      <c r="J23" s="46"/>
      <c r="K23" s="46">
        <v>0.1</v>
      </c>
      <c r="L23" s="46"/>
      <c r="M23" s="46">
        <v>0.1</v>
      </c>
      <c r="N23" s="46">
        <v>0.1</v>
      </c>
      <c r="O23" s="26" t="s">
        <v>40</v>
      </c>
      <c r="P23" s="43" t="s">
        <v>42</v>
      </c>
    </row>
    <row r="24" spans="1:16" ht="18" customHeight="1">
      <c r="A24" s="26" t="s">
        <v>43</v>
      </c>
      <c r="B24" s="27"/>
      <c r="C24" s="28" t="s">
        <v>44</v>
      </c>
      <c r="D24" s="29"/>
      <c r="E24" s="46"/>
      <c r="F24" s="46"/>
      <c r="G24" s="83">
        <v>35000</v>
      </c>
      <c r="H24" s="48"/>
      <c r="I24" s="48">
        <v>35000</v>
      </c>
      <c r="J24" s="48"/>
      <c r="K24" s="48">
        <v>35000</v>
      </c>
      <c r="L24" s="48"/>
      <c r="M24" s="48">
        <v>35000</v>
      </c>
      <c r="N24" s="48">
        <v>35000</v>
      </c>
      <c r="O24" s="26" t="s">
        <v>43</v>
      </c>
      <c r="P24" s="43" t="s">
        <v>191</v>
      </c>
    </row>
    <row r="25" spans="1:16" ht="18" customHeight="1">
      <c r="A25" s="26" t="s">
        <v>45</v>
      </c>
      <c r="B25" s="27"/>
      <c r="C25" s="28" t="s">
        <v>46</v>
      </c>
      <c r="D25" s="29"/>
      <c r="E25" s="42"/>
      <c r="F25" s="42"/>
      <c r="G25" s="42">
        <v>20</v>
      </c>
      <c r="H25" s="42"/>
      <c r="I25" s="42">
        <v>20.2</v>
      </c>
      <c r="J25" s="42"/>
      <c r="K25" s="42">
        <v>20</v>
      </c>
      <c r="L25" s="42"/>
      <c r="M25" s="42">
        <v>21</v>
      </c>
      <c r="N25" s="42">
        <v>21</v>
      </c>
      <c r="O25" s="26" t="s">
        <v>45</v>
      </c>
      <c r="P25" s="43" t="s">
        <v>192</v>
      </c>
    </row>
    <row r="26" spans="1:16" ht="18" customHeight="1">
      <c r="A26" s="26" t="s">
        <v>47</v>
      </c>
      <c r="B26" s="27"/>
      <c r="C26" s="28" t="s">
        <v>48</v>
      </c>
      <c r="D26" s="29"/>
      <c r="E26" s="46"/>
      <c r="F26" s="46"/>
      <c r="G26" s="46"/>
      <c r="H26" s="46"/>
      <c r="I26" s="46">
        <v>0.01</v>
      </c>
      <c r="J26" s="46"/>
      <c r="K26" s="46">
        <v>0.01</v>
      </c>
      <c r="L26" s="46"/>
      <c r="M26" s="46">
        <v>0.01</v>
      </c>
      <c r="N26" s="46">
        <v>0.01</v>
      </c>
      <c r="O26" s="26" t="s">
        <v>47</v>
      </c>
      <c r="P26" s="43"/>
    </row>
    <row r="27" spans="1:16" ht="18" customHeight="1">
      <c r="A27" s="26"/>
      <c r="B27" s="27"/>
      <c r="C27" s="36" t="s">
        <v>49</v>
      </c>
      <c r="D27" s="37"/>
      <c r="E27" s="42"/>
      <c r="F27" s="42"/>
      <c r="G27" s="42"/>
      <c r="H27" s="42"/>
      <c r="I27" s="42"/>
      <c r="J27" s="42"/>
      <c r="K27" s="44"/>
      <c r="L27" s="44"/>
      <c r="M27" s="45"/>
      <c r="N27" s="45"/>
      <c r="O27" s="26"/>
      <c r="P27" s="34"/>
    </row>
    <row r="28" spans="1:16" ht="18" customHeight="1">
      <c r="A28" s="26" t="s">
        <v>50</v>
      </c>
      <c r="B28" s="27"/>
      <c r="C28" s="28" t="s">
        <v>51</v>
      </c>
      <c r="D28" s="29"/>
      <c r="E28" s="42" t="s">
        <v>52</v>
      </c>
      <c r="F28" s="42"/>
      <c r="G28" s="42"/>
      <c r="H28" s="42"/>
      <c r="I28" s="42"/>
      <c r="J28" s="42"/>
      <c r="K28" s="44"/>
      <c r="L28" s="44"/>
      <c r="M28" s="45"/>
      <c r="N28" s="45"/>
      <c r="O28" s="26" t="s">
        <v>50</v>
      </c>
      <c r="P28" s="43" t="s">
        <v>53</v>
      </c>
    </row>
    <row r="29" spans="1:16" ht="18" customHeight="1">
      <c r="A29" s="26" t="s">
        <v>54</v>
      </c>
      <c r="B29" s="27"/>
      <c r="C29" s="28" t="s">
        <v>55</v>
      </c>
      <c r="D29" s="29"/>
      <c r="E29" s="42" t="s">
        <v>56</v>
      </c>
      <c r="F29" s="42"/>
      <c r="G29" s="42"/>
      <c r="H29" s="42"/>
      <c r="I29" s="42"/>
      <c r="J29" s="42"/>
      <c r="K29" s="44"/>
      <c r="L29" s="44"/>
      <c r="M29" s="45"/>
      <c r="N29" s="45"/>
      <c r="O29" s="26" t="s">
        <v>54</v>
      </c>
      <c r="P29" s="43" t="s">
        <v>53</v>
      </c>
    </row>
    <row r="30" spans="1:16" ht="18" customHeight="1">
      <c r="A30" s="26" t="s">
        <v>57</v>
      </c>
      <c r="B30" s="27"/>
      <c r="C30" s="28" t="s">
        <v>58</v>
      </c>
      <c r="D30" s="29"/>
      <c r="E30" s="42" t="s">
        <v>59</v>
      </c>
      <c r="F30" s="42"/>
      <c r="G30" s="42"/>
      <c r="H30" s="42"/>
      <c r="I30" s="42"/>
      <c r="J30" s="42"/>
      <c r="K30" s="44"/>
      <c r="L30" s="44"/>
      <c r="M30" s="45"/>
      <c r="N30" s="45"/>
      <c r="O30" s="26" t="s">
        <v>57</v>
      </c>
      <c r="P30" s="43" t="s">
        <v>53</v>
      </c>
    </row>
    <row r="31" spans="1:16" ht="18" customHeight="1">
      <c r="A31" s="26"/>
      <c r="B31" s="27"/>
      <c r="C31" s="36" t="s">
        <v>60</v>
      </c>
      <c r="D31" s="37"/>
      <c r="E31" s="42"/>
      <c r="F31" s="42"/>
      <c r="G31" s="42"/>
      <c r="H31" s="42"/>
      <c r="I31" s="42"/>
      <c r="J31" s="42"/>
      <c r="K31" s="44"/>
      <c r="L31" s="44"/>
      <c r="M31" s="45"/>
      <c r="N31" s="45"/>
      <c r="O31" s="26"/>
      <c r="P31" s="34"/>
    </row>
    <row r="32" spans="1:16" ht="18" customHeight="1">
      <c r="A32" s="26" t="s">
        <v>61</v>
      </c>
      <c r="B32" s="27"/>
      <c r="C32" s="28" t="s">
        <v>62</v>
      </c>
      <c r="D32" s="29"/>
      <c r="E32" s="29"/>
      <c r="F32" s="29"/>
      <c r="G32" s="49" t="s">
        <v>107</v>
      </c>
      <c r="H32" s="49"/>
      <c r="I32" s="49">
        <f>I24/(I10)</f>
        <v>265.15151515151513</v>
      </c>
      <c r="J32" s="49"/>
      <c r="K32" s="49">
        <f>K24/(K10)</f>
        <v>157.65765765765767</v>
      </c>
      <c r="L32" s="49" t="e">
        <f t="shared" ref="L32" si="1">L24/L10</f>
        <v>#DIV/0!</v>
      </c>
      <c r="M32" s="49">
        <f>M24/(M10)</f>
        <v>119.04761904761905</v>
      </c>
      <c r="N32" s="49">
        <f>N24/(N10)</f>
        <v>115.13157894736842</v>
      </c>
      <c r="O32" s="26" t="s">
        <v>61</v>
      </c>
      <c r="P32" s="43"/>
    </row>
    <row r="33" spans="1:16" ht="18" customHeight="1">
      <c r="A33" s="26"/>
      <c r="B33" s="27"/>
      <c r="C33" s="3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6"/>
      <c r="P33" s="34"/>
    </row>
    <row r="34" spans="1:16" ht="18" customHeight="1">
      <c r="A34" s="26"/>
      <c r="B34" s="27"/>
      <c r="C34" s="50" t="s">
        <v>63</v>
      </c>
      <c r="D34" s="51"/>
      <c r="E34" s="20" t="s">
        <v>106</v>
      </c>
      <c r="F34" s="21"/>
      <c r="G34" s="20" t="s">
        <v>6</v>
      </c>
      <c r="H34" s="20"/>
      <c r="I34" s="20" t="s">
        <v>7</v>
      </c>
      <c r="J34" s="20"/>
      <c r="K34" s="20" t="s">
        <v>8</v>
      </c>
      <c r="L34" s="20"/>
      <c r="M34" s="20" t="s">
        <v>9</v>
      </c>
      <c r="N34" s="20" t="s">
        <v>10</v>
      </c>
      <c r="O34" s="26"/>
      <c r="P34" s="50" t="s">
        <v>63</v>
      </c>
    </row>
    <row r="35" spans="1:16">
      <c r="A35" s="26">
        <v>1</v>
      </c>
      <c r="B35" s="27"/>
      <c r="C35" s="28" t="s">
        <v>64</v>
      </c>
      <c r="D35" s="29"/>
      <c r="E35" s="42">
        <f>E16*(E10+E11+E12)</f>
        <v>992528</v>
      </c>
      <c r="F35" s="42"/>
      <c r="G35" s="42">
        <f>G16*(G10+G11+G12)</f>
        <v>2211300</v>
      </c>
      <c r="H35" s="42"/>
      <c r="I35" s="42">
        <f t="shared" ref="I35:M35" si="2">I16*(I10+I11+I12)</f>
        <v>3851776</v>
      </c>
      <c r="J35" s="42">
        <f t="shared" si="2"/>
        <v>0</v>
      </c>
      <c r="K35" s="42">
        <f t="shared" si="2"/>
        <v>5356426</v>
      </c>
      <c r="L35" s="42">
        <f t="shared" si="2"/>
        <v>0</v>
      </c>
      <c r="M35" s="42">
        <f t="shared" si="2"/>
        <v>6733562</v>
      </c>
      <c r="N35" s="42">
        <f>N16*(N10+N11+N12)</f>
        <v>7028188</v>
      </c>
      <c r="O35" s="26">
        <v>1</v>
      </c>
      <c r="P35" s="34"/>
    </row>
    <row r="36" spans="1:16" ht="30">
      <c r="A36" s="26">
        <v>2</v>
      </c>
      <c r="B36" s="27"/>
      <c r="C36" s="28" t="s">
        <v>65</v>
      </c>
      <c r="D36" s="29"/>
      <c r="E36" s="42">
        <f>(E10+E11+E12)*1300</f>
        <v>88400</v>
      </c>
      <c r="F36" s="42"/>
      <c r="G36" s="42">
        <f>(G10+G11+G12)*1300</f>
        <v>195000</v>
      </c>
      <c r="H36" s="42"/>
      <c r="I36" s="42">
        <f t="shared" ref="I36:M36" si="3">(I10+I11+I12)*1300</f>
        <v>332800</v>
      </c>
      <c r="J36" s="42">
        <f t="shared" si="3"/>
        <v>0</v>
      </c>
      <c r="K36" s="42">
        <f t="shared" si="3"/>
        <v>449800</v>
      </c>
      <c r="L36" s="42">
        <f t="shared" si="3"/>
        <v>0</v>
      </c>
      <c r="M36" s="42">
        <f t="shared" si="3"/>
        <v>543400</v>
      </c>
      <c r="N36" s="42">
        <f>(N10+N11+N12)*1300</f>
        <v>556400</v>
      </c>
      <c r="O36" s="26">
        <v>2</v>
      </c>
      <c r="P36" s="34" t="s">
        <v>66</v>
      </c>
    </row>
    <row r="37" spans="1:16" ht="18" customHeight="1">
      <c r="A37" s="26">
        <v>3</v>
      </c>
      <c r="B37" s="27"/>
      <c r="C37" s="28" t="s">
        <v>67</v>
      </c>
      <c r="D37" s="29"/>
      <c r="E37" s="42">
        <f>(E10+E11+E12)*E17</f>
        <v>3400</v>
      </c>
      <c r="F37" s="42"/>
      <c r="G37" s="42">
        <f>(G10+G11+G12)*G17</f>
        <v>7500</v>
      </c>
      <c r="H37" s="42"/>
      <c r="I37" s="42">
        <f t="shared" ref="I37:N37" si="4">(I10+I11+I12)*I17</f>
        <v>12800</v>
      </c>
      <c r="J37" s="42">
        <f t="shared" si="4"/>
        <v>0</v>
      </c>
      <c r="K37" s="42">
        <f t="shared" si="4"/>
        <v>17300</v>
      </c>
      <c r="L37" s="42">
        <f t="shared" si="4"/>
        <v>0</v>
      </c>
      <c r="M37" s="42">
        <f t="shared" si="4"/>
        <v>20900</v>
      </c>
      <c r="N37" s="42">
        <f t="shared" si="4"/>
        <v>21400</v>
      </c>
      <c r="O37" s="26">
        <f>O36+1</f>
        <v>3</v>
      </c>
      <c r="P37" s="52" t="s">
        <v>68</v>
      </c>
    </row>
    <row r="38" spans="1:16" ht="18" customHeight="1">
      <c r="A38" s="26">
        <v>4</v>
      </c>
      <c r="B38" s="27"/>
      <c r="C38" s="28" t="s">
        <v>69</v>
      </c>
      <c r="D38" s="29"/>
      <c r="E38" s="42">
        <f>(E10+E11+E12)*500</f>
        <v>34000</v>
      </c>
      <c r="F38" s="42"/>
      <c r="G38" s="42">
        <f t="shared" ref="G38:N38" si="5">(G10+G11+G12)*500</f>
        <v>75000</v>
      </c>
      <c r="H38" s="42">
        <f t="shared" si="5"/>
        <v>0</v>
      </c>
      <c r="I38" s="42">
        <f t="shared" si="5"/>
        <v>128000</v>
      </c>
      <c r="J38" s="42">
        <f t="shared" si="5"/>
        <v>0</v>
      </c>
      <c r="K38" s="42">
        <f t="shared" si="5"/>
        <v>173000</v>
      </c>
      <c r="L38" s="42">
        <f t="shared" si="5"/>
        <v>0</v>
      </c>
      <c r="M38" s="42">
        <f t="shared" si="5"/>
        <v>209000</v>
      </c>
      <c r="N38" s="42">
        <f t="shared" si="5"/>
        <v>214000</v>
      </c>
      <c r="O38" s="26">
        <f t="shared" ref="O38:O40" si="6">O37+1</f>
        <v>4</v>
      </c>
      <c r="P38" s="52" t="s">
        <v>70</v>
      </c>
    </row>
    <row r="39" spans="1:16" ht="18" customHeight="1" thickBot="1">
      <c r="A39" s="26">
        <v>5</v>
      </c>
      <c r="B39" s="27"/>
      <c r="C39" s="28" t="s">
        <v>71</v>
      </c>
      <c r="D39" s="29"/>
      <c r="E39" s="53">
        <v>5000</v>
      </c>
      <c r="F39" s="53"/>
      <c r="G39" s="53">
        <v>5000</v>
      </c>
      <c r="H39" s="53"/>
      <c r="I39" s="53">
        <v>5000</v>
      </c>
      <c r="J39" s="53"/>
      <c r="K39" s="54">
        <v>5000</v>
      </c>
      <c r="L39" s="53"/>
      <c r="M39" s="54">
        <v>5000</v>
      </c>
      <c r="N39" s="54">
        <v>5000</v>
      </c>
      <c r="O39" s="26">
        <f t="shared" si="6"/>
        <v>5</v>
      </c>
      <c r="P39" s="34"/>
    </row>
    <row r="40" spans="1:16" ht="18" customHeight="1">
      <c r="A40" s="26">
        <v>6</v>
      </c>
      <c r="B40" s="27"/>
      <c r="C40" s="55" t="s">
        <v>72</v>
      </c>
      <c r="D40" s="56"/>
      <c r="E40" s="57">
        <f>SUM(E35:E39)</f>
        <v>1123328</v>
      </c>
      <c r="F40" s="57"/>
      <c r="G40" s="57">
        <f>SUM(G35:G39)</f>
        <v>2493800</v>
      </c>
      <c r="H40" s="57"/>
      <c r="I40" s="57">
        <f>SUM(I35:I39)</f>
        <v>4330376</v>
      </c>
      <c r="J40" s="57"/>
      <c r="K40" s="57">
        <f>SUM(K35:K39)</f>
        <v>6001526</v>
      </c>
      <c r="L40" s="57"/>
      <c r="M40" s="57">
        <f>SUM(M35:M39)</f>
        <v>7511862</v>
      </c>
      <c r="N40" s="57">
        <f>SUM(N35:N39)</f>
        <v>7824988</v>
      </c>
      <c r="O40" s="26">
        <f t="shared" si="6"/>
        <v>6</v>
      </c>
      <c r="P40" s="34"/>
    </row>
    <row r="41" spans="1:16">
      <c r="C41" s="4"/>
      <c r="D41" s="5"/>
      <c r="E41" s="5"/>
      <c r="F41" s="5"/>
      <c r="G41" s="58"/>
      <c r="H41" s="58"/>
      <c r="I41" s="58"/>
      <c r="J41" s="58"/>
      <c r="K41" s="59"/>
      <c r="L41" s="59"/>
      <c r="M41" s="60"/>
      <c r="N41" s="60"/>
    </row>
    <row r="42" spans="1:16" ht="15.75">
      <c r="C42" s="18" t="s">
        <v>73</v>
      </c>
      <c r="D42" s="19"/>
      <c r="E42" s="5"/>
      <c r="F42" s="5"/>
      <c r="G42" s="58"/>
      <c r="H42" s="58"/>
      <c r="I42" s="58"/>
      <c r="J42" s="58"/>
      <c r="K42" s="59"/>
      <c r="L42" s="59"/>
      <c r="M42" s="60"/>
      <c r="N42" s="60"/>
      <c r="P42" s="18" t="s">
        <v>73</v>
      </c>
    </row>
    <row r="43" spans="1:16" ht="15.75">
      <c r="C43" s="18"/>
      <c r="D43" s="19"/>
      <c r="E43" s="5"/>
      <c r="F43" s="5"/>
      <c r="G43" s="58"/>
      <c r="H43" s="58"/>
      <c r="I43" s="58"/>
      <c r="J43" s="58"/>
      <c r="K43" s="59"/>
      <c r="L43" s="59"/>
      <c r="M43" s="60"/>
      <c r="N43" s="60"/>
      <c r="P43" s="18"/>
    </row>
    <row r="44" spans="1:16" ht="30.75">
      <c r="A44" s="26">
        <v>7</v>
      </c>
      <c r="B44" s="27"/>
      <c r="C44" s="28" t="s">
        <v>74</v>
      </c>
      <c r="D44" s="51"/>
      <c r="E44" s="61"/>
      <c r="F44" s="27"/>
      <c r="G44" s="61"/>
      <c r="H44" s="27"/>
      <c r="I44" s="61">
        <f>[1]Payroll!G8</f>
        <v>35000</v>
      </c>
      <c r="J44" s="27"/>
      <c r="K44" s="61">
        <f>[1]Payroll!I8</f>
        <v>35525</v>
      </c>
      <c r="L44" s="27"/>
      <c r="M44" s="61">
        <f>[1]Payroll!K8</f>
        <v>36057.875</v>
      </c>
      <c r="N44" s="61">
        <f>'HS Staff'!M8</f>
        <v>37860.768750000003</v>
      </c>
      <c r="O44" s="26">
        <v>7</v>
      </c>
      <c r="P44" s="28" t="s">
        <v>75</v>
      </c>
    </row>
    <row r="45" spans="1:16" ht="18" customHeight="1">
      <c r="A45" s="26">
        <v>8</v>
      </c>
      <c r="B45" s="27"/>
      <c r="C45" s="28" t="s">
        <v>76</v>
      </c>
      <c r="D45" s="51"/>
      <c r="E45" s="62">
        <f>'MS staff'!D12</f>
        <v>249976</v>
      </c>
      <c r="F45" s="29"/>
      <c r="G45" s="62">
        <f>'MS staff'!E12</f>
        <v>398349.64</v>
      </c>
      <c r="H45" s="62">
        <f>'MS staff'!G12</f>
        <v>419403.36122999992</v>
      </c>
      <c r="I45" s="62">
        <f>'MS staff'!F12</f>
        <v>404324.88459999993</v>
      </c>
      <c r="J45" s="62">
        <f>'MS staff'!I12</f>
        <v>437372.88444888662</v>
      </c>
      <c r="K45" s="62">
        <f>'MS staff'!G12</f>
        <v>419403.36122999992</v>
      </c>
      <c r="L45" s="62">
        <f>'MS staff'!K12</f>
        <v>0</v>
      </c>
      <c r="M45" s="62">
        <f>'MS staff'!H12</f>
        <v>430909.24576244998</v>
      </c>
      <c r="N45" s="62">
        <f>'MS staff'!I12</f>
        <v>437372.88444888662</v>
      </c>
      <c r="O45" s="26">
        <f t="shared" ref="O45:O58" si="7">O44+1</f>
        <v>8</v>
      </c>
      <c r="P45" s="28"/>
    </row>
    <row r="46" spans="1:16" ht="32.450000000000003" customHeight="1">
      <c r="A46" s="26">
        <v>9</v>
      </c>
      <c r="B46" s="27"/>
      <c r="C46" s="28" t="s">
        <v>77</v>
      </c>
      <c r="D46" s="51"/>
      <c r="E46" s="62"/>
      <c r="F46" s="29"/>
      <c r="G46" s="62">
        <f>'HS Staff'!E47</f>
        <v>343472</v>
      </c>
      <c r="H46" s="42"/>
      <c r="I46" s="62">
        <f>'HS Staff'!G47</f>
        <v>730379.26</v>
      </c>
      <c r="J46" s="62">
        <f>'HS Staff'!H47</f>
        <v>20</v>
      </c>
      <c r="K46" s="62">
        <f>'HS Staff'!I47</f>
        <v>1192108.7289000002</v>
      </c>
      <c r="L46" s="62">
        <f>'HS Staff'!J47</f>
        <v>25</v>
      </c>
      <c r="M46" s="62">
        <f>'HS Staff'!K47</f>
        <v>1534136.4430799996</v>
      </c>
      <c r="N46" s="62">
        <f>'HS Staff'!M47</f>
        <v>1556923.4897261998</v>
      </c>
      <c r="O46" s="26">
        <f t="shared" si="7"/>
        <v>9</v>
      </c>
      <c r="P46" s="144"/>
    </row>
    <row r="47" spans="1:16" ht="32.1" customHeight="1">
      <c r="A47" s="26">
        <v>10</v>
      </c>
      <c r="B47" s="27"/>
      <c r="C47" s="28" t="s">
        <v>78</v>
      </c>
      <c r="D47" s="51"/>
      <c r="E47" s="62">
        <f>'HS Staff'!C63</f>
        <v>115000</v>
      </c>
      <c r="F47" s="29"/>
      <c r="G47" s="62">
        <f>'HS Staff'!E63</f>
        <v>423725</v>
      </c>
      <c r="H47" s="42"/>
      <c r="I47" s="62">
        <f>'HS Staff'!G63</f>
        <v>757767.87499999988</v>
      </c>
      <c r="J47" s="62">
        <f>'HS Staff'!H63</f>
        <v>14.5</v>
      </c>
      <c r="K47" s="62">
        <f>'HS Staff'!I63</f>
        <v>966423.72874999989</v>
      </c>
      <c r="L47" s="62">
        <f>'HS Staff'!J63</f>
        <v>19</v>
      </c>
      <c r="M47" s="62">
        <f>'HS Staff'!K63</f>
        <v>1212764.2945812498</v>
      </c>
      <c r="N47" s="62">
        <f>'HS Staff'!M63</f>
        <v>1251898.9098124686</v>
      </c>
      <c r="O47" s="26">
        <f t="shared" si="7"/>
        <v>10</v>
      </c>
      <c r="P47" s="144"/>
    </row>
    <row r="48" spans="1:16" ht="39.6" customHeight="1">
      <c r="A48" s="26">
        <v>11</v>
      </c>
      <c r="B48" s="27"/>
      <c r="C48" s="28" t="s">
        <v>79</v>
      </c>
      <c r="D48" s="51"/>
      <c r="E48" s="62"/>
      <c r="F48" s="29"/>
      <c r="G48" s="62">
        <f>'HS Staff'!E70</f>
        <v>52500</v>
      </c>
      <c r="H48" s="42"/>
      <c r="I48" s="62">
        <f>'HS Staff'!G70</f>
        <v>151575</v>
      </c>
      <c r="J48" s="62">
        <f>[2]payroll!H74</f>
        <v>4</v>
      </c>
      <c r="K48" s="62">
        <f>'HS Staff'!I70</f>
        <v>189905.75</v>
      </c>
      <c r="L48" s="62">
        <f>[2]payroll!J74</f>
        <v>4</v>
      </c>
      <c r="M48" s="62">
        <f>'HS Staff'!K70</f>
        <v>192754.33624999999</v>
      </c>
      <c r="N48" s="62">
        <f>'HS Staff'!M70</f>
        <v>197500.05629374995</v>
      </c>
      <c r="O48" s="26">
        <f t="shared" si="7"/>
        <v>11</v>
      </c>
      <c r="P48" s="28" t="s">
        <v>80</v>
      </c>
    </row>
    <row r="49" spans="1:23" ht="18" customHeight="1">
      <c r="A49" s="26">
        <v>12</v>
      </c>
      <c r="B49" s="27"/>
      <c r="C49" s="28" t="s">
        <v>81</v>
      </c>
      <c r="D49" s="51"/>
      <c r="E49" s="42">
        <f>(E44+E45+E46+E47+E48)*0.15</f>
        <v>54746.400000000001</v>
      </c>
      <c r="F49" s="42"/>
      <c r="G49" s="42">
        <f>(G44+G45+G46+G47+G48)*0.15</f>
        <v>182706.99600000001</v>
      </c>
      <c r="H49" s="42">
        <f>(H44+H46+H47+H48)*0.15</f>
        <v>0</v>
      </c>
      <c r="I49" s="42">
        <f t="shared" ref="I49:N49" si="8">(I44+I45+I46+I47+I48)*0.15</f>
        <v>311857.05293999997</v>
      </c>
      <c r="J49" s="42">
        <f t="shared" si="8"/>
        <v>65611.707667332987</v>
      </c>
      <c r="K49" s="42">
        <f t="shared" si="8"/>
        <v>420504.98533200001</v>
      </c>
      <c r="L49" s="42">
        <f t="shared" si="8"/>
        <v>7.1999999999999993</v>
      </c>
      <c r="M49" s="42">
        <f t="shared" si="8"/>
        <v>510993.32920105493</v>
      </c>
      <c r="N49" s="42">
        <f t="shared" si="8"/>
        <v>522233.41635469568</v>
      </c>
      <c r="O49" s="26">
        <f t="shared" si="7"/>
        <v>12</v>
      </c>
      <c r="P49" s="28" t="s">
        <v>82</v>
      </c>
    </row>
    <row r="50" spans="1:23" ht="18" customHeight="1">
      <c r="A50" s="26">
        <v>13</v>
      </c>
      <c r="B50" s="27"/>
      <c r="C50" s="28" t="s">
        <v>83</v>
      </c>
      <c r="D50" s="51"/>
      <c r="E50" s="42">
        <v>5000</v>
      </c>
      <c r="F50" s="42"/>
      <c r="G50" s="42">
        <v>55000</v>
      </c>
      <c r="H50" s="42"/>
      <c r="I50" s="42">
        <v>75000</v>
      </c>
      <c r="J50" s="42"/>
      <c r="K50" s="44">
        <v>95000</v>
      </c>
      <c r="L50" s="44"/>
      <c r="M50" s="44">
        <v>115000</v>
      </c>
      <c r="N50" s="44">
        <v>135000</v>
      </c>
      <c r="O50" s="26">
        <f t="shared" si="7"/>
        <v>13</v>
      </c>
      <c r="P50" s="28" t="s">
        <v>84</v>
      </c>
    </row>
    <row r="51" spans="1:23" ht="18" customHeight="1">
      <c r="A51" s="26">
        <v>14</v>
      </c>
      <c r="B51" s="27"/>
      <c r="C51" s="28" t="s">
        <v>85</v>
      </c>
      <c r="D51" s="29"/>
      <c r="E51" s="42">
        <v>15000</v>
      </c>
      <c r="F51" s="42"/>
      <c r="G51" s="42">
        <v>80000</v>
      </c>
      <c r="H51" s="42"/>
      <c r="I51" s="42">
        <v>80000</v>
      </c>
      <c r="J51" s="42"/>
      <c r="K51" s="44">
        <v>80000</v>
      </c>
      <c r="L51" s="44"/>
      <c r="M51" s="44">
        <v>80000</v>
      </c>
      <c r="N51" s="44">
        <v>80000</v>
      </c>
      <c r="O51" s="26">
        <f t="shared" si="7"/>
        <v>14</v>
      </c>
      <c r="P51" s="34" t="s">
        <v>86</v>
      </c>
    </row>
    <row r="52" spans="1:23" ht="32.1" customHeight="1">
      <c r="A52" s="26">
        <v>15</v>
      </c>
      <c r="B52" s="27"/>
      <c r="C52" s="63" t="s">
        <v>87</v>
      </c>
      <c r="D52" s="64"/>
      <c r="E52" s="42">
        <f>(E10+E11+E12)*1500</f>
        <v>102000</v>
      </c>
      <c r="F52" s="42"/>
      <c r="G52" s="42">
        <f t="shared" ref="G52:I52" si="9">(G10+G11+G12)*1500</f>
        <v>225000</v>
      </c>
      <c r="H52" s="42">
        <f t="shared" si="9"/>
        <v>0</v>
      </c>
      <c r="I52" s="42">
        <f t="shared" si="9"/>
        <v>384000</v>
      </c>
      <c r="J52" s="42">
        <f>(J10+J11)*1500</f>
        <v>0</v>
      </c>
      <c r="K52" s="42">
        <f>((K10+K11+K12)*1500)+15000</f>
        <v>534000</v>
      </c>
      <c r="L52" s="42">
        <f>(L10+L11)*1500</f>
        <v>0</v>
      </c>
      <c r="M52" s="42">
        <f>((M10+M11+M12)*1500)+25000</f>
        <v>652000</v>
      </c>
      <c r="N52" s="42">
        <f>((N10+N11+N12)*1500)+35000</f>
        <v>677000</v>
      </c>
      <c r="O52" s="26">
        <f t="shared" si="7"/>
        <v>15</v>
      </c>
      <c r="P52" s="52" t="s">
        <v>88</v>
      </c>
    </row>
    <row r="53" spans="1:23" ht="18" customHeight="1">
      <c r="A53" s="26">
        <v>16</v>
      </c>
      <c r="B53" s="27"/>
      <c r="C53" s="28" t="s">
        <v>89</v>
      </c>
      <c r="D53" s="29"/>
      <c r="E53" s="42">
        <v>25000</v>
      </c>
      <c r="F53" s="42"/>
      <c r="G53" s="42">
        <v>225000</v>
      </c>
      <c r="H53" s="42"/>
      <c r="I53" s="42">
        <v>250000</v>
      </c>
      <c r="J53" s="42"/>
      <c r="K53" s="44">
        <v>275000</v>
      </c>
      <c r="L53" s="44"/>
      <c r="M53" s="44">
        <v>300000</v>
      </c>
      <c r="N53" s="44">
        <v>325000</v>
      </c>
      <c r="O53" s="26">
        <f t="shared" si="7"/>
        <v>16</v>
      </c>
      <c r="P53" s="52" t="s">
        <v>90</v>
      </c>
      <c r="R53" s="60"/>
      <c r="S53" s="60"/>
    </row>
    <row r="54" spans="1:23" ht="35.1" customHeight="1">
      <c r="A54" s="26">
        <v>17</v>
      </c>
      <c r="B54" s="27"/>
      <c r="C54" s="28" t="s">
        <v>91</v>
      </c>
      <c r="D54" s="29"/>
      <c r="E54" s="42">
        <v>30000</v>
      </c>
      <c r="F54" s="42"/>
      <c r="G54" s="42">
        <v>250000</v>
      </c>
      <c r="H54" s="42"/>
      <c r="I54" s="42">
        <v>275000</v>
      </c>
      <c r="J54" s="42"/>
      <c r="K54" s="42">
        <v>299500</v>
      </c>
      <c r="L54" s="44"/>
      <c r="M54" s="42">
        <v>326450</v>
      </c>
      <c r="N54" s="42">
        <v>356095</v>
      </c>
      <c r="O54" s="26">
        <f t="shared" si="7"/>
        <v>17</v>
      </c>
      <c r="P54" s="52" t="s">
        <v>189</v>
      </c>
      <c r="R54" s="60"/>
    </row>
    <row r="55" spans="1:23" ht="36.950000000000003" customHeight="1">
      <c r="A55" s="26">
        <v>18</v>
      </c>
      <c r="B55" s="27"/>
      <c r="C55" s="28" t="s">
        <v>92</v>
      </c>
      <c r="D55" s="29"/>
      <c r="E55" s="42">
        <v>0</v>
      </c>
      <c r="F55" s="42"/>
      <c r="G55" s="42">
        <v>700000</v>
      </c>
      <c r="H55" s="42"/>
      <c r="I55" s="42">
        <f>G55*1.01</f>
        <v>707000</v>
      </c>
      <c r="J55" s="42"/>
      <c r="K55" s="42">
        <f t="shared" ref="K55:M55" si="10">I55*1.01</f>
        <v>714070</v>
      </c>
      <c r="L55" s="42">
        <f t="shared" si="10"/>
        <v>0</v>
      </c>
      <c r="M55" s="42">
        <f t="shared" si="10"/>
        <v>721210.7</v>
      </c>
      <c r="N55" s="42">
        <f>M55*1.01</f>
        <v>728422.80699999991</v>
      </c>
      <c r="O55" s="26">
        <f t="shared" si="7"/>
        <v>18</v>
      </c>
      <c r="P55" s="52" t="s">
        <v>184</v>
      </c>
      <c r="R55" s="60"/>
      <c r="S55" s="65"/>
      <c r="T55" s="65"/>
      <c r="U55" s="65"/>
      <c r="V55" s="65"/>
      <c r="W55" s="65"/>
    </row>
    <row r="56" spans="1:23" ht="18" customHeight="1">
      <c r="A56" s="26">
        <v>19</v>
      </c>
      <c r="B56" s="27"/>
      <c r="C56" s="28" t="s">
        <v>181</v>
      </c>
      <c r="D56" s="29"/>
      <c r="E56" s="42"/>
      <c r="F56" s="42"/>
      <c r="G56" s="44">
        <v>100000</v>
      </c>
      <c r="H56" s="42"/>
      <c r="I56" s="44">
        <v>100000</v>
      </c>
      <c r="J56" s="42"/>
      <c r="K56" s="44">
        <v>100000</v>
      </c>
      <c r="L56" s="44"/>
      <c r="M56" s="44">
        <v>100000</v>
      </c>
      <c r="N56" s="44">
        <v>100000</v>
      </c>
      <c r="O56" s="26">
        <f t="shared" si="7"/>
        <v>19</v>
      </c>
      <c r="P56" s="34" t="s">
        <v>182</v>
      </c>
    </row>
    <row r="57" spans="1:23" ht="18" customHeight="1">
      <c r="A57" s="26">
        <v>20</v>
      </c>
      <c r="B57" s="27"/>
      <c r="C57" s="63" t="s">
        <v>93</v>
      </c>
      <c r="D57" s="64"/>
      <c r="E57" s="42">
        <f>Depreciation!D22</f>
        <v>184522</v>
      </c>
      <c r="F57" s="42"/>
      <c r="G57" s="42">
        <f>Depreciation!E22</f>
        <v>210593</v>
      </c>
      <c r="H57" s="42"/>
      <c r="I57" s="42">
        <f>Depreciation!F22</f>
        <v>231700</v>
      </c>
      <c r="J57" s="42"/>
      <c r="K57" s="42">
        <f>Depreciation!G22</f>
        <v>251318</v>
      </c>
      <c r="L57" s="44"/>
      <c r="M57" s="42">
        <f>Depreciation!H22</f>
        <v>255462</v>
      </c>
      <c r="N57" s="42">
        <f>Depreciation!I22</f>
        <v>224606</v>
      </c>
      <c r="O57" s="26">
        <f t="shared" si="7"/>
        <v>20</v>
      </c>
      <c r="P57" s="52" t="s">
        <v>94</v>
      </c>
    </row>
    <row r="58" spans="1:23" ht="18" customHeight="1" thickBot="1">
      <c r="A58" s="26">
        <v>21</v>
      </c>
      <c r="B58" s="27"/>
      <c r="C58" s="55" t="s">
        <v>95</v>
      </c>
      <c r="D58" s="56"/>
      <c r="E58" s="53">
        <f>SUM(E44:E57)</f>
        <v>781244.4</v>
      </c>
      <c r="F58" s="53"/>
      <c r="G58" s="53">
        <f>SUM(G44:G57)</f>
        <v>3246346.6359999999</v>
      </c>
      <c r="H58" s="53"/>
      <c r="I58" s="53">
        <f>SUM(I44:I57)</f>
        <v>4493604.0725400001</v>
      </c>
      <c r="J58" s="53"/>
      <c r="K58" s="53">
        <f>SUM(K44:K57)</f>
        <v>5572759.5542120002</v>
      </c>
      <c r="L58" s="53"/>
      <c r="M58" s="53">
        <f>SUM(M44:M57)</f>
        <v>6467738.2238747543</v>
      </c>
      <c r="N58" s="53">
        <f>SUM(N44:N57)</f>
        <v>6629913.3323860001</v>
      </c>
      <c r="O58" s="26">
        <f t="shared" si="7"/>
        <v>21</v>
      </c>
      <c r="P58" s="52"/>
      <c r="R58" s="60"/>
    </row>
    <row r="59" spans="1:23">
      <c r="A59" s="26"/>
      <c r="B59" s="27"/>
      <c r="C59" s="28"/>
      <c r="D59" s="29"/>
      <c r="E59" s="66"/>
      <c r="F59" s="66"/>
      <c r="G59" s="57"/>
      <c r="H59" s="57"/>
      <c r="I59" s="57"/>
      <c r="J59" s="57"/>
      <c r="K59" s="67"/>
      <c r="L59" s="67"/>
      <c r="M59" s="68"/>
      <c r="N59" s="68"/>
      <c r="O59" s="26"/>
      <c r="P59" s="52"/>
      <c r="R59" s="60"/>
    </row>
    <row r="60" spans="1:23" ht="15.75">
      <c r="A60" s="26">
        <v>22</v>
      </c>
      <c r="B60" s="27"/>
      <c r="C60" s="55" t="s">
        <v>96</v>
      </c>
      <c r="D60" s="56"/>
      <c r="E60" s="42">
        <f>E40-E58</f>
        <v>342083.6</v>
      </c>
      <c r="F60" s="29"/>
      <c r="G60" s="42">
        <f>G40-G58</f>
        <v>-752546.63599999994</v>
      </c>
      <c r="H60" s="42"/>
      <c r="I60" s="42">
        <f>I40-I58</f>
        <v>-163228.07254000008</v>
      </c>
      <c r="J60" s="42"/>
      <c r="K60" s="42">
        <f>K40-K58</f>
        <v>428766.44578799978</v>
      </c>
      <c r="L60" s="42"/>
      <c r="M60" s="42">
        <f>M40-M58</f>
        <v>1044123.7761252457</v>
      </c>
      <c r="N60" s="42">
        <f>N40-N58</f>
        <v>1195074.6676139999</v>
      </c>
      <c r="O60" s="26">
        <v>22</v>
      </c>
      <c r="P60" s="69"/>
      <c r="R60" s="60"/>
    </row>
    <row r="61" spans="1:23" ht="15.75">
      <c r="C61" s="11"/>
      <c r="D61" s="6"/>
      <c r="E61" s="58"/>
      <c r="F61" s="5"/>
      <c r="G61" s="58"/>
      <c r="H61" s="58"/>
      <c r="I61" s="58"/>
      <c r="J61" s="58"/>
      <c r="K61" s="58"/>
      <c r="L61" s="58"/>
      <c r="M61" s="58"/>
      <c r="N61" s="58"/>
    </row>
    <row r="62" spans="1:23" ht="15.75">
      <c r="C62" s="18" t="s">
        <v>97</v>
      </c>
      <c r="D62" s="19"/>
      <c r="E62" s="5"/>
      <c r="F62" s="5"/>
      <c r="G62" s="58"/>
      <c r="H62" s="58"/>
      <c r="I62" s="58"/>
      <c r="J62" s="58"/>
      <c r="K62" s="70"/>
      <c r="L62" s="70"/>
      <c r="M62" s="60"/>
      <c r="N62" s="60"/>
    </row>
    <row r="63" spans="1:23" ht="18" customHeight="1">
      <c r="C63" s="4" t="s">
        <v>98</v>
      </c>
      <c r="D63" s="5"/>
      <c r="E63" s="5"/>
      <c r="F63" s="5"/>
      <c r="G63" s="58"/>
      <c r="H63" s="58"/>
      <c r="I63" s="58"/>
      <c r="J63" s="58"/>
      <c r="K63" s="70"/>
      <c r="L63" s="70"/>
      <c r="M63" s="60"/>
      <c r="N63" s="60"/>
    </row>
    <row r="64" spans="1:23" ht="18" customHeight="1">
      <c r="C64" s="4" t="s">
        <v>99</v>
      </c>
      <c r="D64" s="5"/>
      <c r="E64" s="5"/>
      <c r="F64" s="5"/>
      <c r="G64" s="58"/>
      <c r="H64" s="58"/>
      <c r="I64" s="58"/>
      <c r="J64" s="58"/>
      <c r="K64" s="70"/>
      <c r="L64" s="70"/>
      <c r="M64" s="60"/>
      <c r="N64" s="60"/>
    </row>
    <row r="65" spans="1:23" ht="18" customHeight="1">
      <c r="A65" s="1">
        <v>23</v>
      </c>
      <c r="C65" s="4" t="s">
        <v>96</v>
      </c>
      <c r="D65" s="5"/>
      <c r="E65" s="5">
        <f>E60</f>
        <v>342083.6</v>
      </c>
      <c r="F65" s="5"/>
      <c r="G65" s="5">
        <f>G60</f>
        <v>-752546.63599999994</v>
      </c>
      <c r="H65" s="58"/>
      <c r="I65" s="5">
        <f>I60</f>
        <v>-163228.07254000008</v>
      </c>
      <c r="J65" s="58"/>
      <c r="K65" s="5">
        <f>K60</f>
        <v>428766.44578799978</v>
      </c>
      <c r="L65" s="70"/>
      <c r="M65" s="5">
        <f>M60</f>
        <v>1044123.7761252457</v>
      </c>
      <c r="N65" s="5">
        <f>N60</f>
        <v>1195074.6676139999</v>
      </c>
      <c r="O65" s="1">
        <f>O60+1</f>
        <v>23</v>
      </c>
    </row>
    <row r="66" spans="1:23" ht="18" customHeight="1" thickBot="1">
      <c r="A66" s="1">
        <v>24</v>
      </c>
      <c r="C66" s="4" t="s">
        <v>100</v>
      </c>
      <c r="D66" s="5"/>
      <c r="E66" s="77">
        <v>184522</v>
      </c>
      <c r="F66" s="77"/>
      <c r="G66" s="142">
        <f>G57</f>
        <v>210593</v>
      </c>
      <c r="H66" s="142"/>
      <c r="I66" s="142">
        <f>I57</f>
        <v>231700</v>
      </c>
      <c r="J66" s="142"/>
      <c r="K66" s="142">
        <f>K57</f>
        <v>251318</v>
      </c>
      <c r="L66" s="78"/>
      <c r="M66" s="142">
        <f>M57</f>
        <v>255462</v>
      </c>
      <c r="N66" s="142">
        <f>N57</f>
        <v>224606</v>
      </c>
      <c r="O66" s="1">
        <v>24</v>
      </c>
      <c r="S66" s="71"/>
      <c r="T66" s="71"/>
      <c r="U66" s="71"/>
      <c r="V66" s="71"/>
    </row>
    <row r="67" spans="1:23" ht="18" customHeight="1">
      <c r="A67" s="1">
        <v>25</v>
      </c>
      <c r="C67" s="4" t="s">
        <v>101</v>
      </c>
      <c r="D67" s="5"/>
      <c r="E67" s="5">
        <f>SUM(E65:E66)</f>
        <v>526605.6</v>
      </c>
      <c r="F67" s="5"/>
      <c r="G67" s="5">
        <f>SUM(G65:G66)</f>
        <v>-541953.63599999994</v>
      </c>
      <c r="H67" s="5"/>
      <c r="I67" s="5">
        <f>SUM(I65:I66)</f>
        <v>68471.927459999919</v>
      </c>
      <c r="J67" s="5"/>
      <c r="K67" s="5">
        <f>SUM(K65:K66)</f>
        <v>680084.44578799978</v>
      </c>
      <c r="L67" s="5"/>
      <c r="M67" s="5">
        <f>SUM(M65:M66)</f>
        <v>1299585.7761252457</v>
      </c>
      <c r="N67" s="5">
        <f>SUM(N65:N66)</f>
        <v>1419680.6676139999</v>
      </c>
      <c r="O67" s="1">
        <v>25</v>
      </c>
      <c r="S67" s="71"/>
      <c r="T67" s="71"/>
      <c r="U67" s="71"/>
      <c r="V67" s="71"/>
    </row>
    <row r="68" spans="1:23" ht="18" customHeight="1">
      <c r="C68" s="4"/>
      <c r="D68" s="5"/>
      <c r="E68" s="5"/>
      <c r="F68" s="5"/>
      <c r="G68" s="58"/>
      <c r="H68" s="58"/>
      <c r="I68" s="58"/>
      <c r="J68" s="58"/>
      <c r="K68" s="70"/>
      <c r="L68" s="70"/>
      <c r="M68" s="60"/>
      <c r="N68" s="60"/>
      <c r="S68" s="60"/>
    </row>
    <row r="69" spans="1:23" ht="18" customHeight="1">
      <c r="C69" s="72" t="s">
        <v>49</v>
      </c>
      <c r="D69" s="73"/>
      <c r="E69" s="5"/>
      <c r="F69" s="5"/>
      <c r="G69" s="58"/>
      <c r="H69" s="58"/>
      <c r="I69" s="58"/>
      <c r="J69" s="58"/>
      <c r="K69" s="70"/>
      <c r="L69" s="70"/>
      <c r="M69" s="60"/>
      <c r="N69" s="60"/>
      <c r="P69" s="74"/>
      <c r="S69" s="60"/>
      <c r="T69" s="60"/>
      <c r="U69" s="60"/>
      <c r="V69" s="60"/>
      <c r="W69" s="60"/>
    </row>
    <row r="70" spans="1:23" ht="18" customHeight="1">
      <c r="A70" s="1">
        <v>26</v>
      </c>
      <c r="C70" s="4" t="s">
        <v>102</v>
      </c>
      <c r="D70" s="5"/>
      <c r="E70" s="5">
        <v>-700000</v>
      </c>
      <c r="F70" s="5"/>
      <c r="G70" s="58">
        <v>-50000</v>
      </c>
      <c r="H70" s="58"/>
      <c r="I70" s="58">
        <v>-25000</v>
      </c>
      <c r="J70" s="58"/>
      <c r="K70" s="70">
        <v>-25000</v>
      </c>
      <c r="L70" s="70"/>
      <c r="M70" s="60">
        <v>-25000</v>
      </c>
      <c r="N70" s="60">
        <v>-25000</v>
      </c>
      <c r="O70" s="1">
        <v>26</v>
      </c>
      <c r="P70" s="74"/>
      <c r="S70" s="71"/>
      <c r="T70" s="71"/>
      <c r="U70" s="71"/>
      <c r="V70" s="71"/>
    </row>
    <row r="71" spans="1:23" ht="18" customHeight="1">
      <c r="A71" s="1">
        <v>27</v>
      </c>
      <c r="C71" s="4" t="s">
        <v>103</v>
      </c>
      <c r="D71" s="5"/>
      <c r="E71" s="5">
        <v>-175000</v>
      </c>
      <c r="F71" s="5"/>
      <c r="G71" s="58">
        <v>-75000</v>
      </c>
      <c r="H71" s="58"/>
      <c r="I71" s="58">
        <v>-60000</v>
      </c>
      <c r="J71" s="58"/>
      <c r="K71" s="70">
        <v>-35000</v>
      </c>
      <c r="L71" s="70"/>
      <c r="M71" s="60">
        <v>-35000</v>
      </c>
      <c r="N71" s="60">
        <v>-25000</v>
      </c>
      <c r="O71" s="1">
        <v>27</v>
      </c>
      <c r="P71" s="74"/>
      <c r="R71" s="75"/>
      <c r="S71" s="71"/>
      <c r="T71" s="71"/>
      <c r="U71" s="71"/>
      <c r="V71" s="71"/>
      <c r="W71" s="60"/>
    </row>
    <row r="72" spans="1:23" ht="18" customHeight="1" thickBot="1">
      <c r="A72" s="1">
        <v>28</v>
      </c>
      <c r="C72" s="4" t="s">
        <v>104</v>
      </c>
      <c r="D72" s="5"/>
      <c r="E72" s="77">
        <v>-125000</v>
      </c>
      <c r="F72" s="77"/>
      <c r="G72" s="142">
        <v>-60000</v>
      </c>
      <c r="H72" s="142"/>
      <c r="I72" s="142">
        <v>-55000</v>
      </c>
      <c r="J72" s="142"/>
      <c r="K72" s="78">
        <v>-30000</v>
      </c>
      <c r="L72" s="78"/>
      <c r="M72" s="79">
        <v>-25000</v>
      </c>
      <c r="N72" s="79">
        <v>-15000</v>
      </c>
      <c r="O72" s="1">
        <v>28</v>
      </c>
      <c r="P72" s="74"/>
      <c r="S72" s="76"/>
      <c r="T72" s="76"/>
      <c r="U72" s="76"/>
      <c r="V72" s="76"/>
      <c r="W72" s="60"/>
    </row>
    <row r="73" spans="1:23" ht="18" customHeight="1">
      <c r="A73" s="1">
        <v>29</v>
      </c>
      <c r="C73" s="4" t="s">
        <v>105</v>
      </c>
      <c r="D73" s="5"/>
      <c r="E73" s="58">
        <f>SUM(E67:E72)</f>
        <v>-473394.4</v>
      </c>
      <c r="F73" s="5"/>
      <c r="G73" s="58">
        <f>SUM(G67:G72)</f>
        <v>-726953.63599999994</v>
      </c>
      <c r="H73" s="58"/>
      <c r="I73" s="58">
        <f>SUM(I67:I72)</f>
        <v>-71528.072540000081</v>
      </c>
      <c r="J73" s="58"/>
      <c r="K73" s="58">
        <f>SUM(K67:K72)</f>
        <v>590084.44578799978</v>
      </c>
      <c r="L73" s="58"/>
      <c r="M73" s="58">
        <f>SUM(M67:M72)</f>
        <v>1214585.7761252457</v>
      </c>
      <c r="N73" s="58">
        <f>SUM(N67:N72)</f>
        <v>1354680.6676139999</v>
      </c>
      <c r="O73" s="1">
        <v>29</v>
      </c>
    </row>
    <row r="74" spans="1:23">
      <c r="G74" s="60"/>
      <c r="H74" s="60"/>
      <c r="I74" s="60"/>
      <c r="J74" s="60"/>
      <c r="K74" s="60"/>
      <c r="L74" s="60"/>
      <c r="M74" s="60"/>
      <c r="N74" s="60"/>
    </row>
    <row r="75" spans="1:23" ht="15.75">
      <c r="C75" s="145" t="s">
        <v>185</v>
      </c>
      <c r="D75" s="60"/>
      <c r="E75" s="146">
        <f>SUM(E73:I73)</f>
        <v>-1271876.1085399999</v>
      </c>
      <c r="G75" s="60"/>
      <c r="H75" s="60"/>
      <c r="I75" s="60"/>
      <c r="J75" s="60"/>
      <c r="K75" s="60"/>
      <c r="L75" s="60"/>
      <c r="M75" s="60"/>
      <c r="N75" s="60"/>
      <c r="O75" s="80"/>
    </row>
    <row r="76" spans="1:23">
      <c r="G76" s="60"/>
      <c r="H76" s="60"/>
      <c r="I76" s="60"/>
      <c r="J76" s="60"/>
      <c r="K76" s="60"/>
      <c r="L76" s="60"/>
      <c r="M76" s="60"/>
      <c r="N76" s="60"/>
    </row>
    <row r="78" spans="1:23">
      <c r="C78" s="3"/>
    </row>
    <row r="79" spans="1:23">
      <c r="C79" s="3"/>
    </row>
    <row r="80" spans="1:23">
      <c r="C80" s="3"/>
    </row>
    <row r="81" spans="1:16">
      <c r="A81" s="3"/>
      <c r="C81" s="3"/>
      <c r="O81" s="3"/>
      <c r="P81" s="3"/>
    </row>
    <row r="82" spans="1:16">
      <c r="A82" s="3"/>
      <c r="C82" s="3"/>
      <c r="O82" s="3"/>
      <c r="P82" s="3"/>
    </row>
    <row r="83" spans="1:16">
      <c r="A83" s="3"/>
      <c r="C83" s="3"/>
      <c r="E83" s="81"/>
      <c r="O83" s="3"/>
      <c r="P83" s="3"/>
    </row>
    <row r="84" spans="1:16">
      <c r="A84" s="3"/>
      <c r="C84" s="3"/>
      <c r="E84" s="81"/>
      <c r="O84" s="3"/>
      <c r="P84" s="3"/>
    </row>
    <row r="85" spans="1:16">
      <c r="A85" s="3"/>
      <c r="C85" s="3"/>
      <c r="O85" s="3"/>
      <c r="P85" s="3"/>
    </row>
    <row r="86" spans="1:16">
      <c r="A86" s="3"/>
      <c r="O86" s="3"/>
      <c r="P86" s="3"/>
    </row>
    <row r="87" spans="1:16">
      <c r="A87" s="3"/>
      <c r="O87" s="3"/>
      <c r="P87" s="3"/>
    </row>
    <row r="88" spans="1:16">
      <c r="A88" s="3"/>
      <c r="O88" s="3"/>
      <c r="P88" s="3"/>
    </row>
  </sheetData>
  <mergeCells count="1">
    <mergeCell ref="A1:M1"/>
  </mergeCells>
  <pageMargins left="0.7" right="0.7" top="0.75" bottom="0.75" header="0.3" footer="0.3"/>
  <pageSetup paperSize="5" scale="67" orientation="landscape" horizontalDpi="4294967295" verticalDpi="4294967295" r:id="rId1"/>
  <rowBreaks count="1" manualBreakCount="1"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/>
  </sheetViews>
  <sheetFormatPr defaultColWidth="8.85546875" defaultRowHeight="15"/>
  <sheetData>
    <row r="2" spans="1:9" ht="15.75" thickBot="1">
      <c r="D2" s="84" t="s">
        <v>106</v>
      </c>
      <c r="E2" s="84" t="s">
        <v>6</v>
      </c>
      <c r="F2" s="84" t="s">
        <v>7</v>
      </c>
      <c r="G2" s="84" t="s">
        <v>8</v>
      </c>
      <c r="H2" s="84" t="s">
        <v>9</v>
      </c>
      <c r="I2" s="131" t="s">
        <v>10</v>
      </c>
    </row>
    <row r="3" spans="1:9">
      <c r="A3" s="85" t="s">
        <v>108</v>
      </c>
      <c r="B3" s="86"/>
      <c r="C3" s="87"/>
      <c r="D3" s="86"/>
      <c r="E3" s="88"/>
      <c r="F3" s="87"/>
      <c r="G3" s="87"/>
      <c r="H3" s="87"/>
      <c r="I3" s="132"/>
    </row>
    <row r="4" spans="1:9">
      <c r="A4" s="89" t="s">
        <v>109</v>
      </c>
      <c r="B4" s="86"/>
      <c r="C4" s="87"/>
      <c r="D4" s="90">
        <f>'[3]revenue and expenses'!F18</f>
        <v>54769</v>
      </c>
      <c r="E4" s="91">
        <f>D4*1.015</f>
        <v>55590.534999999996</v>
      </c>
      <c r="F4" s="92">
        <f>E4*1.015</f>
        <v>56424.39302499999</v>
      </c>
      <c r="G4" s="92">
        <f>F4*1.05</f>
        <v>59245.612676249992</v>
      </c>
      <c r="H4" s="92">
        <f>G4*1.015</f>
        <v>60134.296866393735</v>
      </c>
      <c r="I4" s="133">
        <f>H4*1.015</f>
        <v>61036.311319389635</v>
      </c>
    </row>
    <row r="5" spans="1:9">
      <c r="A5" s="89" t="s">
        <v>110</v>
      </c>
      <c r="B5" s="93"/>
      <c r="C5" s="87"/>
      <c r="D5" s="90">
        <f>'[3]revenue and expenses'!F18</f>
        <v>54769</v>
      </c>
      <c r="E5" s="91">
        <f t="shared" ref="E5:F8" si="0">D5*1.015</f>
        <v>55590.534999999996</v>
      </c>
      <c r="F5" s="92">
        <f t="shared" si="0"/>
        <v>56424.39302499999</v>
      </c>
      <c r="G5" s="92">
        <f t="shared" ref="G5:G8" si="1">F5*1.05</f>
        <v>59245.612676249992</v>
      </c>
      <c r="H5" s="92">
        <f>G5*1.015</f>
        <v>60134.296866393735</v>
      </c>
      <c r="I5" s="133">
        <f t="shared" ref="I5:I11" si="2">H5*1.015</f>
        <v>61036.311319389635</v>
      </c>
    </row>
    <row r="6" spans="1:9">
      <c r="A6" s="89" t="s">
        <v>111</v>
      </c>
      <c r="B6" s="93"/>
      <c r="C6" s="87"/>
      <c r="D6" s="90">
        <f>'[3]revenue and expenses'!F18</f>
        <v>54769</v>
      </c>
      <c r="E6" s="91">
        <f t="shared" si="0"/>
        <v>55590.534999999996</v>
      </c>
      <c r="F6" s="92">
        <f t="shared" si="0"/>
        <v>56424.39302499999</v>
      </c>
      <c r="G6" s="92">
        <f t="shared" si="1"/>
        <v>59245.612676249992</v>
      </c>
      <c r="H6" s="92">
        <f>G6*1.015</f>
        <v>60134.296866393735</v>
      </c>
      <c r="I6" s="133">
        <f t="shared" si="2"/>
        <v>61036.311319389635</v>
      </c>
    </row>
    <row r="7" spans="1:9">
      <c r="A7" s="89" t="s">
        <v>112</v>
      </c>
      <c r="B7" s="93"/>
      <c r="C7" s="87"/>
      <c r="D7" s="90">
        <f>'[3]revenue and expenses'!F18</f>
        <v>54769</v>
      </c>
      <c r="E7" s="91">
        <f t="shared" si="0"/>
        <v>55590.534999999996</v>
      </c>
      <c r="F7" s="92">
        <f t="shared" si="0"/>
        <v>56424.39302499999</v>
      </c>
      <c r="G7" s="92">
        <f t="shared" si="1"/>
        <v>59245.612676249992</v>
      </c>
      <c r="H7" s="92">
        <f>G7*1.015</f>
        <v>60134.296866393735</v>
      </c>
      <c r="I7" s="133">
        <f t="shared" si="2"/>
        <v>61036.311319389635</v>
      </c>
    </row>
    <row r="8" spans="1:9">
      <c r="A8" s="94" t="s">
        <v>113</v>
      </c>
      <c r="B8" s="93"/>
      <c r="C8" s="87"/>
      <c r="D8" s="90">
        <v>30900</v>
      </c>
      <c r="E8" s="91">
        <f t="shared" si="0"/>
        <v>31363.499999999996</v>
      </c>
      <c r="F8" s="92">
        <f t="shared" si="0"/>
        <v>31833.952499999992</v>
      </c>
      <c r="G8" s="92">
        <f t="shared" si="1"/>
        <v>33425.650124999993</v>
      </c>
      <c r="H8" s="92">
        <f>G8*1.015</f>
        <v>33927.03487687499</v>
      </c>
      <c r="I8" s="133">
        <f t="shared" si="2"/>
        <v>34435.940400028114</v>
      </c>
    </row>
    <row r="9" spans="1:9">
      <c r="A9" s="89" t="s">
        <v>114</v>
      </c>
      <c r="B9" s="86"/>
      <c r="C9" s="95"/>
      <c r="D9" s="96"/>
      <c r="E9" s="96">
        <f>'[3]revenue and expenses'!H18</f>
        <v>56412</v>
      </c>
      <c r="F9" s="96">
        <f>E9*1.015</f>
        <v>57258.179999999993</v>
      </c>
      <c r="G9" s="96">
        <f>F9*1.015</f>
        <v>58117.052699999986</v>
      </c>
      <c r="H9" s="97">
        <f>G9*1.05</f>
        <v>61022.905334999989</v>
      </c>
      <c r="I9" s="133">
        <f t="shared" si="2"/>
        <v>61938.248915024982</v>
      </c>
    </row>
    <row r="10" spans="1:9">
      <c r="A10" s="89" t="s">
        <v>115</v>
      </c>
      <c r="B10" s="86"/>
      <c r="C10" s="95"/>
      <c r="D10" s="96"/>
      <c r="E10" s="96">
        <f>'[3]revenue and expenses'!H18</f>
        <v>56412</v>
      </c>
      <c r="F10" s="96">
        <f t="shared" ref="F10:G11" si="3">E10*1.015</f>
        <v>57258.179999999993</v>
      </c>
      <c r="G10" s="96">
        <f t="shared" si="3"/>
        <v>58117.052699999986</v>
      </c>
      <c r="H10" s="97">
        <f>G10*1.05</f>
        <v>61022.905334999989</v>
      </c>
      <c r="I10" s="133">
        <f t="shared" si="2"/>
        <v>61938.248915024982</v>
      </c>
    </row>
    <row r="11" spans="1:9" ht="15.75" thickBot="1">
      <c r="A11" s="94" t="s">
        <v>116</v>
      </c>
      <c r="B11" s="86"/>
      <c r="C11" s="87"/>
      <c r="D11" s="98"/>
      <c r="E11" s="98">
        <v>31800</v>
      </c>
      <c r="F11" s="98">
        <f t="shared" si="3"/>
        <v>32276.999999999996</v>
      </c>
      <c r="G11" s="98">
        <f t="shared" si="3"/>
        <v>32761.154999999992</v>
      </c>
      <c r="H11" s="99">
        <f>G11*1.05</f>
        <v>34399.212749999992</v>
      </c>
      <c r="I11" s="134">
        <f t="shared" si="2"/>
        <v>34915.20094124999</v>
      </c>
    </row>
    <row r="12" spans="1:9">
      <c r="A12" s="89" t="s">
        <v>117</v>
      </c>
      <c r="B12" s="86"/>
      <c r="C12" s="87"/>
      <c r="D12" s="100">
        <f>SUM(D4:D11)</f>
        <v>249976</v>
      </c>
      <c r="E12" s="100">
        <f t="shared" ref="E12:I12" si="4">SUM(E4:E11)</f>
        <v>398349.64</v>
      </c>
      <c r="F12" s="100">
        <f t="shared" si="4"/>
        <v>404324.88459999993</v>
      </c>
      <c r="G12" s="100">
        <f t="shared" si="4"/>
        <v>419403.36122999992</v>
      </c>
      <c r="H12" s="100">
        <f t="shared" si="4"/>
        <v>430909.24576244998</v>
      </c>
      <c r="I12" s="100">
        <f t="shared" si="4"/>
        <v>437372.88444888662</v>
      </c>
    </row>
  </sheetData>
  <pageMargins left="0.7" right="0.7" top="0.75" bottom="0.75" header="0.3" footer="0.3"/>
  <pageSetup paperSize="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Normal="100" zoomScaleSheetLayoutView="100" workbookViewId="0"/>
  </sheetViews>
  <sheetFormatPr defaultColWidth="8.85546875" defaultRowHeight="15"/>
  <cols>
    <col min="1" max="1" width="33" customWidth="1"/>
    <col min="2" max="2" width="5.42578125" customWidth="1"/>
    <col min="3" max="3" width="8.85546875" customWidth="1"/>
    <col min="4" max="4" width="5.140625" customWidth="1"/>
    <col min="5" max="5" width="10.42578125" customWidth="1"/>
    <col min="6" max="6" width="4.42578125" customWidth="1"/>
    <col min="7" max="7" width="9.85546875" customWidth="1"/>
    <col min="8" max="8" width="5.42578125" customWidth="1"/>
    <col min="9" max="9" width="9.85546875" customWidth="1"/>
    <col min="10" max="10" width="5.42578125" customWidth="1"/>
    <col min="11" max="11" width="10" customWidth="1"/>
    <col min="12" max="12" width="5.42578125" customWidth="1"/>
    <col min="13" max="13" width="10" customWidth="1"/>
  </cols>
  <sheetData>
    <row r="1" spans="1:13" ht="31.5">
      <c r="A1" s="11" t="s">
        <v>194</v>
      </c>
      <c r="B1" s="101"/>
      <c r="C1" s="102" t="s">
        <v>118</v>
      </c>
      <c r="D1" s="70"/>
      <c r="E1" s="103">
        <v>42384</v>
      </c>
      <c r="F1" s="104"/>
      <c r="G1" s="104"/>
      <c r="H1" s="104"/>
      <c r="I1" s="104"/>
      <c r="J1" s="104"/>
      <c r="K1" s="104"/>
      <c r="L1" s="104"/>
      <c r="M1" s="104"/>
    </row>
    <row r="2" spans="1:13">
      <c r="B2" s="271" t="s">
        <v>106</v>
      </c>
      <c r="C2" s="272"/>
      <c r="D2" s="271" t="s">
        <v>6</v>
      </c>
      <c r="E2" s="272"/>
      <c r="F2" s="271" t="s">
        <v>7</v>
      </c>
      <c r="G2" s="272"/>
      <c r="H2" s="271" t="s">
        <v>8</v>
      </c>
      <c r="I2" s="272"/>
      <c r="J2" s="271" t="s">
        <v>9</v>
      </c>
      <c r="K2" s="272"/>
      <c r="L2" s="271" t="s">
        <v>10</v>
      </c>
      <c r="M2" s="272"/>
    </row>
    <row r="3" spans="1:13">
      <c r="B3" s="105" t="s">
        <v>119</v>
      </c>
      <c r="C3" s="106" t="s">
        <v>120</v>
      </c>
      <c r="D3" s="105" t="s">
        <v>119</v>
      </c>
      <c r="E3" s="106" t="s">
        <v>120</v>
      </c>
      <c r="F3" s="105" t="s">
        <v>119</v>
      </c>
      <c r="G3" s="106" t="s">
        <v>120</v>
      </c>
      <c r="H3" s="105" t="s">
        <v>119</v>
      </c>
      <c r="I3" s="106" t="s">
        <v>120</v>
      </c>
      <c r="J3" s="105" t="s">
        <v>119</v>
      </c>
      <c r="K3" s="106" t="s">
        <v>120</v>
      </c>
      <c r="L3" s="105" t="s">
        <v>119</v>
      </c>
      <c r="M3" s="106" t="s">
        <v>120</v>
      </c>
    </row>
    <row r="4" spans="1:13">
      <c r="A4" s="107" t="s">
        <v>121</v>
      </c>
      <c r="B4" s="108"/>
      <c r="C4" s="109"/>
      <c r="D4" s="108"/>
      <c r="E4" s="109"/>
      <c r="F4" s="108"/>
      <c r="G4" s="109"/>
      <c r="H4" s="108"/>
      <c r="I4" s="109"/>
      <c r="J4" s="108"/>
      <c r="K4" s="109"/>
      <c r="L4" s="108"/>
      <c r="M4" s="109"/>
    </row>
    <row r="5" spans="1:13">
      <c r="B5" s="108"/>
      <c r="C5" s="109"/>
      <c r="D5" s="108"/>
      <c r="E5" s="109"/>
      <c r="F5" s="108"/>
      <c r="G5" s="109"/>
      <c r="H5" s="108"/>
      <c r="I5" s="109"/>
      <c r="J5" s="108"/>
      <c r="K5" s="109"/>
      <c r="L5" s="108"/>
      <c r="M5" s="109"/>
    </row>
    <row r="6" spans="1:13">
      <c r="A6" t="s">
        <v>122</v>
      </c>
      <c r="B6" s="108"/>
      <c r="C6" s="109"/>
      <c r="D6" s="108"/>
      <c r="E6" s="109">
        <v>0</v>
      </c>
      <c r="F6" s="108">
        <v>0.5</v>
      </c>
      <c r="G6" s="109">
        <v>35000</v>
      </c>
      <c r="H6" s="108">
        <v>0.5</v>
      </c>
      <c r="I6" s="109">
        <f>G6*1.015</f>
        <v>35525</v>
      </c>
      <c r="J6" s="108">
        <v>0.5</v>
      </c>
      <c r="K6" s="109">
        <f>I6*1.015</f>
        <v>36057.875</v>
      </c>
      <c r="L6" s="108">
        <v>0.5</v>
      </c>
      <c r="M6" s="109">
        <f>K6*1.05</f>
        <v>37860.768750000003</v>
      </c>
    </row>
    <row r="7" spans="1:13">
      <c r="A7" s="110"/>
      <c r="B7" s="108"/>
      <c r="C7" s="109"/>
      <c r="D7" s="108"/>
      <c r="E7" s="109"/>
      <c r="F7" s="108"/>
      <c r="G7" s="109"/>
      <c r="H7" s="108"/>
      <c r="I7" s="109"/>
      <c r="J7" s="108"/>
      <c r="K7" s="109"/>
      <c r="L7" s="108"/>
      <c r="M7" s="109"/>
    </row>
    <row r="8" spans="1:13">
      <c r="A8" s="111" t="s">
        <v>123</v>
      </c>
      <c r="B8" s="111"/>
      <c r="C8" s="112"/>
      <c r="D8" s="111"/>
      <c r="E8" s="112"/>
      <c r="F8" s="111">
        <f t="shared" ref="F8:K8" si="0">SUM(F6:F7)</f>
        <v>0.5</v>
      </c>
      <c r="G8" s="112">
        <f t="shared" si="0"/>
        <v>35000</v>
      </c>
      <c r="H8" s="111">
        <f t="shared" si="0"/>
        <v>0.5</v>
      </c>
      <c r="I8" s="112">
        <f t="shared" si="0"/>
        <v>35525</v>
      </c>
      <c r="J8" s="111">
        <f t="shared" si="0"/>
        <v>0.5</v>
      </c>
      <c r="K8" s="112">
        <f t="shared" si="0"/>
        <v>36057.875</v>
      </c>
      <c r="L8" s="111">
        <f t="shared" ref="L8:M8" si="1">SUM(L6:L7)</f>
        <v>0.5</v>
      </c>
      <c r="M8" s="112">
        <f t="shared" si="1"/>
        <v>37860.768750000003</v>
      </c>
    </row>
    <row r="9" spans="1:13">
      <c r="A9" s="93"/>
      <c r="B9" s="86"/>
      <c r="C9" s="87"/>
      <c r="D9" s="86"/>
      <c r="E9" s="87"/>
      <c r="F9" s="86"/>
      <c r="G9" s="87"/>
      <c r="H9" s="86"/>
      <c r="I9" s="87"/>
      <c r="J9" s="86"/>
      <c r="K9" s="87"/>
      <c r="L9" s="86"/>
      <c r="M9" s="87"/>
    </row>
    <row r="10" spans="1:13">
      <c r="A10" s="107" t="s">
        <v>124</v>
      </c>
      <c r="B10" s="108"/>
      <c r="C10" s="109"/>
      <c r="D10" s="108"/>
      <c r="E10" s="109"/>
      <c r="F10" s="108"/>
      <c r="G10" s="109"/>
      <c r="H10" s="108"/>
      <c r="I10" s="109"/>
      <c r="J10" s="108"/>
      <c r="K10" s="109"/>
      <c r="L10" s="108"/>
      <c r="M10" s="109"/>
    </row>
    <row r="11" spans="1:13">
      <c r="A11" s="107" t="s">
        <v>125</v>
      </c>
      <c r="B11" s="108"/>
      <c r="C11" s="113"/>
      <c r="D11" s="108"/>
      <c r="E11" s="113"/>
      <c r="F11" s="108"/>
      <c r="G11" s="113"/>
      <c r="H11" s="108"/>
      <c r="I11" s="113"/>
      <c r="J11" s="108"/>
      <c r="K11" s="113"/>
      <c r="L11" s="108"/>
      <c r="M11" s="113"/>
    </row>
    <row r="12" spans="1:13">
      <c r="A12" t="s">
        <v>126</v>
      </c>
      <c r="B12" s="108"/>
      <c r="C12" s="113"/>
      <c r="D12" s="108">
        <v>1</v>
      </c>
      <c r="E12" s="114">
        <v>56412</v>
      </c>
      <c r="F12" s="108">
        <v>1</v>
      </c>
      <c r="G12" s="114">
        <f>E16*1.015</f>
        <v>57258.179999999993</v>
      </c>
      <c r="H12" s="108">
        <v>1</v>
      </c>
      <c r="I12" s="114">
        <f>G12*1.015</f>
        <v>58117.052699999986</v>
      </c>
      <c r="J12" s="108">
        <v>1</v>
      </c>
      <c r="K12" s="114">
        <f>I12*1.05</f>
        <v>61022.905334999989</v>
      </c>
      <c r="L12" s="108">
        <v>1</v>
      </c>
      <c r="M12" s="114">
        <f>K12*1.015</f>
        <v>61938.248915024982</v>
      </c>
    </row>
    <row r="13" spans="1:13">
      <c r="A13" t="s">
        <v>127</v>
      </c>
      <c r="B13" s="108"/>
      <c r="C13" s="113"/>
      <c r="D13" s="108">
        <v>1</v>
      </c>
      <c r="E13" s="114">
        <v>56412</v>
      </c>
      <c r="F13" s="108">
        <v>1</v>
      </c>
      <c r="G13" s="114">
        <f t="shared" ref="G13:G15" si="2">E13*1.015</f>
        <v>57258.179999999993</v>
      </c>
      <c r="H13" s="108">
        <v>1</v>
      </c>
      <c r="I13" s="114">
        <f t="shared" ref="I13:I18" si="3">G13*1.015</f>
        <v>58117.052699999986</v>
      </c>
      <c r="J13" s="108">
        <v>1</v>
      </c>
      <c r="K13" s="114">
        <f t="shared" ref="K13:K17" si="4">I13*1.05</f>
        <v>61022.905334999989</v>
      </c>
      <c r="L13" s="108">
        <v>1</v>
      </c>
      <c r="M13" s="114">
        <f t="shared" ref="M13:M18" si="5">K13*1.015</f>
        <v>61938.248915024982</v>
      </c>
    </row>
    <row r="14" spans="1:13">
      <c r="A14" t="s">
        <v>128</v>
      </c>
      <c r="B14" s="108"/>
      <c r="C14" s="109"/>
      <c r="D14" s="108">
        <v>1</v>
      </c>
      <c r="E14" s="114">
        <v>56412</v>
      </c>
      <c r="F14" s="108">
        <v>1</v>
      </c>
      <c r="G14" s="114">
        <f t="shared" si="2"/>
        <v>57258.179999999993</v>
      </c>
      <c r="H14" s="108">
        <v>1</v>
      </c>
      <c r="I14" s="114">
        <f t="shared" si="3"/>
        <v>58117.052699999986</v>
      </c>
      <c r="J14" s="108">
        <v>1</v>
      </c>
      <c r="K14" s="114">
        <f t="shared" si="4"/>
        <v>61022.905334999989</v>
      </c>
      <c r="L14" s="108">
        <v>1</v>
      </c>
      <c r="M14" s="114">
        <f t="shared" si="5"/>
        <v>61938.248915024982</v>
      </c>
    </row>
    <row r="15" spans="1:13">
      <c r="A15" t="s">
        <v>129</v>
      </c>
      <c r="B15" s="108"/>
      <c r="C15" s="109"/>
      <c r="D15" s="108">
        <v>1</v>
      </c>
      <c r="E15" s="114">
        <v>56412</v>
      </c>
      <c r="F15" s="108">
        <v>1</v>
      </c>
      <c r="G15" s="114">
        <f t="shared" si="2"/>
        <v>57258.179999999993</v>
      </c>
      <c r="H15" s="108">
        <v>1</v>
      </c>
      <c r="I15" s="114">
        <f t="shared" si="3"/>
        <v>58117.052699999986</v>
      </c>
      <c r="J15" s="108">
        <v>1</v>
      </c>
      <c r="K15" s="114">
        <f t="shared" si="4"/>
        <v>61022.905334999989</v>
      </c>
      <c r="L15" s="108">
        <v>1</v>
      </c>
      <c r="M15" s="114">
        <f t="shared" si="5"/>
        <v>61938.248915024982</v>
      </c>
    </row>
    <row r="16" spans="1:13">
      <c r="A16" t="s">
        <v>130</v>
      </c>
      <c r="B16" s="108"/>
      <c r="C16" s="109"/>
      <c r="D16" s="108">
        <v>1</v>
      </c>
      <c r="E16" s="114">
        <v>56412</v>
      </c>
      <c r="F16" s="108">
        <v>1</v>
      </c>
      <c r="G16" s="114">
        <f>E16*1.015</f>
        <v>57258.179999999993</v>
      </c>
      <c r="H16" s="108">
        <v>1</v>
      </c>
      <c r="I16" s="114">
        <f t="shared" si="3"/>
        <v>58117.052699999986</v>
      </c>
      <c r="J16" s="108">
        <v>1</v>
      </c>
      <c r="K16" s="114">
        <f t="shared" si="4"/>
        <v>61022.905334999989</v>
      </c>
      <c r="L16" s="108">
        <v>1</v>
      </c>
      <c r="M16" s="114">
        <f t="shared" si="5"/>
        <v>61938.248915024982</v>
      </c>
    </row>
    <row r="17" spans="1:13">
      <c r="A17" t="s">
        <v>131</v>
      </c>
      <c r="B17" s="108"/>
      <c r="C17" s="109"/>
      <c r="D17" s="108">
        <v>0.5</v>
      </c>
      <c r="E17" s="114">
        <f>E16*0.5</f>
        <v>28206</v>
      </c>
      <c r="F17" s="108">
        <v>1</v>
      </c>
      <c r="G17" s="114">
        <f>(E17*2)*1.015</f>
        <v>57258.179999999993</v>
      </c>
      <c r="H17" s="108">
        <v>1</v>
      </c>
      <c r="I17" s="114">
        <f t="shared" si="3"/>
        <v>58117.052699999986</v>
      </c>
      <c r="J17" s="108">
        <v>1</v>
      </c>
      <c r="K17" s="114">
        <f t="shared" si="4"/>
        <v>61022.905334999989</v>
      </c>
      <c r="L17" s="108">
        <v>1</v>
      </c>
      <c r="M17" s="114">
        <f t="shared" si="5"/>
        <v>61938.248915024982</v>
      </c>
    </row>
    <row r="18" spans="1:13">
      <c r="A18" t="s">
        <v>132</v>
      </c>
      <c r="B18" s="108"/>
      <c r="C18" s="109"/>
      <c r="D18" s="108">
        <v>0.5</v>
      </c>
      <c r="E18" s="114">
        <f>E16*0.5</f>
        <v>28206</v>
      </c>
      <c r="F18" s="108">
        <v>1</v>
      </c>
      <c r="G18" s="114">
        <f>(E18*2)*1.015</f>
        <v>57258.179999999993</v>
      </c>
      <c r="H18" s="108">
        <v>1</v>
      </c>
      <c r="I18" s="114">
        <f t="shared" si="3"/>
        <v>58117.052699999986</v>
      </c>
      <c r="J18" s="108">
        <v>2</v>
      </c>
      <c r="K18" s="114">
        <f>I18*1.05*2</f>
        <v>122045.81066999998</v>
      </c>
      <c r="L18" s="108">
        <v>2</v>
      </c>
      <c r="M18" s="114">
        <f t="shared" si="5"/>
        <v>123876.49783004996</v>
      </c>
    </row>
    <row r="19" spans="1:13">
      <c r="B19" s="108"/>
      <c r="C19" s="109"/>
      <c r="D19" s="108"/>
      <c r="E19" s="109"/>
      <c r="F19" s="108"/>
      <c r="G19" s="109"/>
      <c r="H19" s="108"/>
      <c r="I19" s="109"/>
      <c r="J19" s="108"/>
      <c r="K19" s="109"/>
      <c r="L19" s="108"/>
      <c r="M19" s="109"/>
    </row>
    <row r="20" spans="1:13">
      <c r="A20" s="107" t="s">
        <v>133</v>
      </c>
      <c r="B20" s="108"/>
      <c r="C20" s="109"/>
      <c r="D20" s="108"/>
      <c r="E20" s="109"/>
      <c r="F20" s="108"/>
      <c r="G20" s="109"/>
      <c r="H20" s="108"/>
      <c r="I20" s="109"/>
      <c r="J20" s="108"/>
      <c r="K20" s="109"/>
      <c r="L20" s="108"/>
      <c r="M20" s="109"/>
    </row>
    <row r="21" spans="1:13">
      <c r="A21" t="s">
        <v>126</v>
      </c>
      <c r="B21" s="108"/>
      <c r="C21" s="109"/>
      <c r="D21" s="108"/>
      <c r="E21" s="109"/>
      <c r="F21" s="108">
        <v>1</v>
      </c>
      <c r="G21" s="109">
        <v>58104</v>
      </c>
      <c r="H21" s="108">
        <v>1</v>
      </c>
      <c r="I21" s="114">
        <f t="shared" ref="I21:K26" si="6">G21*1.015</f>
        <v>58975.56</v>
      </c>
      <c r="J21" s="108">
        <v>1</v>
      </c>
      <c r="K21" s="114">
        <f t="shared" si="6"/>
        <v>59860.193399999989</v>
      </c>
      <c r="L21" s="108">
        <v>1</v>
      </c>
      <c r="M21" s="114">
        <f>K21*1.015</f>
        <v>60758.096300999983</v>
      </c>
    </row>
    <row r="22" spans="1:13">
      <c r="A22" t="s">
        <v>127</v>
      </c>
      <c r="B22" s="108"/>
      <c r="C22" s="109"/>
      <c r="D22" s="108"/>
      <c r="E22" s="109"/>
      <c r="F22" s="108">
        <v>1</v>
      </c>
      <c r="G22" s="109">
        <v>58104</v>
      </c>
      <c r="H22" s="108">
        <v>1</v>
      </c>
      <c r="I22" s="114">
        <f t="shared" si="6"/>
        <v>58975.56</v>
      </c>
      <c r="J22" s="108">
        <v>1</v>
      </c>
      <c r="K22" s="114">
        <f t="shared" si="6"/>
        <v>59860.193399999989</v>
      </c>
      <c r="L22" s="108">
        <v>1</v>
      </c>
      <c r="M22" s="114">
        <f t="shared" ref="M22:M26" si="7">K22*1.015</f>
        <v>60758.096300999983</v>
      </c>
    </row>
    <row r="23" spans="1:13">
      <c r="A23" t="s">
        <v>128</v>
      </c>
      <c r="B23" s="108"/>
      <c r="C23" s="109"/>
      <c r="D23" s="108"/>
      <c r="E23" s="109"/>
      <c r="F23" s="108">
        <v>1</v>
      </c>
      <c r="G23" s="109">
        <v>58104</v>
      </c>
      <c r="H23" s="108">
        <v>1</v>
      </c>
      <c r="I23" s="114">
        <f t="shared" si="6"/>
        <v>58975.56</v>
      </c>
      <c r="J23" s="108">
        <v>1</v>
      </c>
      <c r="K23" s="114">
        <f t="shared" si="6"/>
        <v>59860.193399999989</v>
      </c>
      <c r="L23" s="108">
        <v>1</v>
      </c>
      <c r="M23" s="114">
        <f t="shared" si="7"/>
        <v>60758.096300999983</v>
      </c>
    </row>
    <row r="24" spans="1:13">
      <c r="A24" t="s">
        <v>129</v>
      </c>
      <c r="B24" s="108"/>
      <c r="C24" s="109"/>
      <c r="D24" s="108"/>
      <c r="E24" s="109"/>
      <c r="F24" s="108">
        <v>1</v>
      </c>
      <c r="G24" s="109">
        <v>58104</v>
      </c>
      <c r="H24" s="108">
        <v>1</v>
      </c>
      <c r="I24" s="114">
        <f t="shared" si="6"/>
        <v>58975.56</v>
      </c>
      <c r="J24" s="108">
        <v>1</v>
      </c>
      <c r="K24" s="114">
        <f t="shared" si="6"/>
        <v>59860.193399999989</v>
      </c>
      <c r="L24" s="108">
        <v>1</v>
      </c>
      <c r="M24" s="114">
        <f t="shared" si="7"/>
        <v>60758.096300999983</v>
      </c>
    </row>
    <row r="25" spans="1:13">
      <c r="A25" t="s">
        <v>130</v>
      </c>
      <c r="B25" s="108"/>
      <c r="C25" s="109"/>
      <c r="D25" s="108"/>
      <c r="E25" s="109"/>
      <c r="F25" s="108">
        <v>1</v>
      </c>
      <c r="G25" s="109">
        <v>58104</v>
      </c>
      <c r="H25" s="108">
        <v>1</v>
      </c>
      <c r="I25" s="114">
        <f t="shared" si="6"/>
        <v>58975.56</v>
      </c>
      <c r="J25" s="108">
        <v>1</v>
      </c>
      <c r="K25" s="114">
        <f t="shared" si="6"/>
        <v>59860.193399999989</v>
      </c>
      <c r="L25" s="108">
        <v>1</v>
      </c>
      <c r="M25" s="114">
        <f t="shared" si="7"/>
        <v>60758.096300999983</v>
      </c>
    </row>
    <row r="26" spans="1:13">
      <c r="A26" t="s">
        <v>134</v>
      </c>
      <c r="B26" s="108"/>
      <c r="C26" s="109"/>
      <c r="D26" s="108"/>
      <c r="E26" s="109"/>
      <c r="F26" s="108">
        <v>0.5</v>
      </c>
      <c r="G26" s="109">
        <f>G25*0.5</f>
        <v>29052</v>
      </c>
      <c r="H26" s="108">
        <v>1</v>
      </c>
      <c r="I26" s="114">
        <f>(G26*2)*1.015</f>
        <v>58975.56</v>
      </c>
      <c r="J26" s="108">
        <v>1</v>
      </c>
      <c r="K26" s="114">
        <f t="shared" si="6"/>
        <v>59860.193399999989</v>
      </c>
      <c r="L26" s="108">
        <v>1</v>
      </c>
      <c r="M26" s="114">
        <f t="shared" si="7"/>
        <v>60758.096300999983</v>
      </c>
    </row>
    <row r="27" spans="1:13">
      <c r="B27" s="108"/>
      <c r="C27" s="109"/>
      <c r="D27" s="108"/>
      <c r="E27" s="109"/>
      <c r="F27" s="108"/>
      <c r="G27" s="109"/>
      <c r="H27" s="108"/>
      <c r="I27" s="109"/>
      <c r="J27" s="108"/>
      <c r="K27" s="109"/>
      <c r="L27" s="108"/>
      <c r="M27" s="109"/>
    </row>
    <row r="28" spans="1:13">
      <c r="A28" s="107" t="s">
        <v>135</v>
      </c>
      <c r="B28" s="108"/>
      <c r="C28" s="109"/>
      <c r="D28" s="108"/>
      <c r="E28" s="109"/>
      <c r="F28" s="108"/>
      <c r="G28" s="109"/>
      <c r="H28" s="108"/>
      <c r="I28" s="109"/>
      <c r="J28" s="108"/>
      <c r="K28" s="109"/>
      <c r="L28" s="108"/>
      <c r="M28" s="109"/>
    </row>
    <row r="29" spans="1:13">
      <c r="A29" t="s">
        <v>126</v>
      </c>
      <c r="B29" s="108"/>
      <c r="C29" s="109"/>
      <c r="D29" s="108"/>
      <c r="E29" s="109"/>
      <c r="F29" s="108"/>
      <c r="G29" s="109"/>
      <c r="H29" s="108">
        <v>1</v>
      </c>
      <c r="I29" s="115">
        <v>59848</v>
      </c>
      <c r="J29" s="108">
        <v>1</v>
      </c>
      <c r="K29" s="114">
        <f>I33*1.015</f>
        <v>60745.719999999994</v>
      </c>
      <c r="L29" s="108">
        <v>1</v>
      </c>
      <c r="M29" s="114">
        <f>K33*1.015</f>
        <v>61656.905799999986</v>
      </c>
    </row>
    <row r="30" spans="1:13">
      <c r="A30" t="s">
        <v>127</v>
      </c>
      <c r="B30" s="108"/>
      <c r="C30" s="109"/>
      <c r="D30" s="108"/>
      <c r="E30" s="109"/>
      <c r="F30" s="108"/>
      <c r="G30" s="109"/>
      <c r="H30" s="108">
        <v>1</v>
      </c>
      <c r="I30" s="115">
        <v>59848</v>
      </c>
      <c r="J30" s="108">
        <v>1</v>
      </c>
      <c r="K30" s="114">
        <f t="shared" ref="K30:K32" si="8">I30*1.015</f>
        <v>60745.719999999994</v>
      </c>
      <c r="L30" s="108">
        <v>1</v>
      </c>
      <c r="M30" s="114">
        <f t="shared" ref="M30:M32" si="9">K30*1.015</f>
        <v>61656.905799999986</v>
      </c>
    </row>
    <row r="31" spans="1:13">
      <c r="A31" t="s">
        <v>129</v>
      </c>
      <c r="B31" s="108"/>
      <c r="C31" s="109"/>
      <c r="D31" s="108"/>
      <c r="E31" s="109"/>
      <c r="F31" s="108"/>
      <c r="G31" s="109"/>
      <c r="H31" s="108">
        <v>1</v>
      </c>
      <c r="I31" s="115">
        <v>59848</v>
      </c>
      <c r="J31" s="108">
        <v>1</v>
      </c>
      <c r="K31" s="114">
        <f t="shared" si="8"/>
        <v>60745.719999999994</v>
      </c>
      <c r="L31" s="108">
        <v>1</v>
      </c>
      <c r="M31" s="114">
        <f t="shared" si="9"/>
        <v>61656.905799999986</v>
      </c>
    </row>
    <row r="32" spans="1:13">
      <c r="A32" t="s">
        <v>130</v>
      </c>
      <c r="B32" s="108"/>
      <c r="C32" s="109"/>
      <c r="D32" s="108"/>
      <c r="E32" s="109"/>
      <c r="F32" s="108"/>
      <c r="G32" s="109"/>
      <c r="H32" s="108">
        <v>1</v>
      </c>
      <c r="I32" s="115">
        <v>59848</v>
      </c>
      <c r="J32" s="108">
        <v>1</v>
      </c>
      <c r="K32" s="114">
        <f t="shared" si="8"/>
        <v>60745.719999999994</v>
      </c>
      <c r="L32" s="108">
        <v>1</v>
      </c>
      <c r="M32" s="114">
        <f t="shared" si="9"/>
        <v>61656.905799999986</v>
      </c>
    </row>
    <row r="33" spans="1:13">
      <c r="A33" t="s">
        <v>136</v>
      </c>
      <c r="H33" s="116">
        <v>1</v>
      </c>
      <c r="I33" s="115">
        <v>59848</v>
      </c>
      <c r="J33" s="116">
        <v>1</v>
      </c>
      <c r="K33" s="117">
        <f>I33*1.015</f>
        <v>60745.719999999994</v>
      </c>
      <c r="L33" s="116">
        <v>1</v>
      </c>
      <c r="M33" s="117">
        <f>K33*1.015</f>
        <v>61656.905799999986</v>
      </c>
    </row>
    <row r="34" spans="1:13">
      <c r="A34" t="s">
        <v>137</v>
      </c>
      <c r="H34" s="116">
        <v>2</v>
      </c>
      <c r="I34" s="115">
        <f>I33*2</f>
        <v>119696</v>
      </c>
      <c r="J34" s="116">
        <v>2</v>
      </c>
      <c r="K34" s="117">
        <f>I34*1.015</f>
        <v>121491.43999999999</v>
      </c>
      <c r="L34" s="116">
        <v>2</v>
      </c>
      <c r="M34" s="117">
        <f>K34*1.015</f>
        <v>123313.81159999997</v>
      </c>
    </row>
    <row r="35" spans="1:13">
      <c r="H35" s="116"/>
      <c r="J35" s="116"/>
      <c r="K35" s="117"/>
      <c r="L35" s="116"/>
      <c r="M35" s="117"/>
    </row>
    <row r="36" spans="1:13">
      <c r="B36" s="108"/>
      <c r="C36" s="109"/>
      <c r="D36" s="108"/>
      <c r="E36" s="109"/>
      <c r="F36" s="108"/>
      <c r="G36" s="109"/>
      <c r="H36" s="108"/>
      <c r="I36" s="109"/>
      <c r="J36" s="108"/>
      <c r="K36" s="109"/>
      <c r="L36" s="108"/>
      <c r="M36" s="109"/>
    </row>
    <row r="37" spans="1:13">
      <c r="A37" s="107" t="s">
        <v>138</v>
      </c>
      <c r="B37" s="108"/>
      <c r="C37" s="109"/>
      <c r="D37" s="108"/>
      <c r="E37" s="109"/>
      <c r="F37" s="108"/>
      <c r="G37" s="109"/>
      <c r="H37" s="108"/>
      <c r="I37" s="109"/>
      <c r="J37" s="108"/>
      <c r="K37" s="109"/>
      <c r="L37" s="108"/>
      <c r="M37" s="109"/>
    </row>
    <row r="38" spans="1:13">
      <c r="A38" t="s">
        <v>126</v>
      </c>
      <c r="B38" s="108"/>
      <c r="C38" s="109"/>
      <c r="D38" s="108"/>
      <c r="E38" s="109"/>
      <c r="F38" s="108"/>
      <c r="G38" s="109"/>
      <c r="H38" s="108"/>
      <c r="I38" s="109"/>
      <c r="J38" s="108">
        <v>1</v>
      </c>
      <c r="K38" s="109">
        <v>61643</v>
      </c>
      <c r="L38" s="108">
        <v>1</v>
      </c>
      <c r="M38" s="117">
        <f t="shared" ref="M38:M41" si="10">K38*1.015</f>
        <v>62567.644999999997</v>
      </c>
    </row>
    <row r="39" spans="1:13">
      <c r="A39" t="s">
        <v>127</v>
      </c>
      <c r="B39" s="108"/>
      <c r="C39" s="109"/>
      <c r="D39" s="108"/>
      <c r="E39" s="109"/>
      <c r="F39" s="108"/>
      <c r="G39" s="109"/>
      <c r="H39" s="108"/>
      <c r="I39" s="109"/>
      <c r="J39" s="108">
        <v>1</v>
      </c>
      <c r="K39" s="109">
        <v>61643</v>
      </c>
      <c r="L39" s="108">
        <v>1</v>
      </c>
      <c r="M39" s="117">
        <f t="shared" si="10"/>
        <v>62567.644999999997</v>
      </c>
    </row>
    <row r="40" spans="1:13">
      <c r="A40" t="s">
        <v>129</v>
      </c>
      <c r="B40" s="108"/>
      <c r="C40" s="109"/>
      <c r="D40" s="108"/>
      <c r="E40" s="109"/>
      <c r="F40" s="108"/>
      <c r="G40" s="109"/>
      <c r="H40" s="108"/>
      <c r="I40" s="109"/>
      <c r="J40" s="108">
        <v>1</v>
      </c>
      <c r="K40" s="109">
        <v>61643</v>
      </c>
      <c r="L40" s="108">
        <v>1</v>
      </c>
      <c r="M40" s="117">
        <f t="shared" si="10"/>
        <v>62567.644999999997</v>
      </c>
    </row>
    <row r="41" spans="1:13">
      <c r="A41" t="s">
        <v>130</v>
      </c>
      <c r="B41" s="108"/>
      <c r="C41" s="109"/>
      <c r="D41" s="108"/>
      <c r="E41" s="109"/>
      <c r="F41" s="108"/>
      <c r="G41" s="109"/>
      <c r="H41" s="108"/>
      <c r="I41" s="109"/>
      <c r="J41" s="108">
        <v>1</v>
      </c>
      <c r="K41" s="109">
        <v>61643</v>
      </c>
      <c r="L41" s="108">
        <v>1</v>
      </c>
      <c r="M41" s="117">
        <f t="shared" si="10"/>
        <v>62567.644999999997</v>
      </c>
    </row>
    <row r="42" spans="1:13">
      <c r="B42" s="108"/>
      <c r="C42" s="109"/>
      <c r="D42" s="108"/>
      <c r="E42" s="109"/>
      <c r="F42" s="108"/>
      <c r="G42" s="109"/>
      <c r="H42" s="108"/>
      <c r="I42" s="109"/>
      <c r="J42" s="108"/>
      <c r="K42" s="109"/>
      <c r="L42" s="108"/>
      <c r="M42" s="109"/>
    </row>
    <row r="43" spans="1:13">
      <c r="B43" s="108"/>
      <c r="C43" s="109"/>
      <c r="D43" s="108"/>
      <c r="E43" s="109"/>
      <c r="F43" s="108"/>
      <c r="G43" s="109"/>
      <c r="H43" s="108"/>
      <c r="I43" s="109"/>
      <c r="J43" s="108"/>
      <c r="K43" s="109"/>
      <c r="L43" s="108"/>
      <c r="M43" s="109"/>
    </row>
    <row r="44" spans="1:13">
      <c r="A44" s="107" t="s">
        <v>139</v>
      </c>
      <c r="B44" s="108"/>
      <c r="C44" s="109"/>
      <c r="D44" s="108"/>
      <c r="E44" s="109"/>
      <c r="F44" s="108"/>
      <c r="G44" s="109"/>
      <c r="H44" s="108"/>
      <c r="I44" s="109"/>
      <c r="J44" s="108"/>
      <c r="K44" s="109"/>
      <c r="L44" s="108"/>
      <c r="M44" s="109"/>
    </row>
    <row r="45" spans="1:13">
      <c r="A45" s="118" t="s">
        <v>140</v>
      </c>
      <c r="B45" s="119"/>
      <c r="C45" s="120"/>
      <c r="D45" s="119"/>
      <c r="E45" s="120">
        <v>5000</v>
      </c>
      <c r="F45" s="119"/>
      <c r="G45" s="120">
        <v>10000</v>
      </c>
      <c r="H45" s="119"/>
      <c r="I45" s="120">
        <v>12500</v>
      </c>
      <c r="J45" s="119"/>
      <c r="K45" s="120">
        <v>15000</v>
      </c>
      <c r="L45" s="119"/>
      <c r="M45" s="120">
        <v>15000</v>
      </c>
    </row>
    <row r="46" spans="1:13">
      <c r="A46" s="118"/>
      <c r="B46" s="119"/>
      <c r="C46" s="120"/>
      <c r="D46" s="119"/>
      <c r="E46" s="120"/>
      <c r="F46" s="119"/>
      <c r="G46" s="120"/>
      <c r="H46" s="119"/>
      <c r="I46" s="120"/>
      <c r="J46" s="119"/>
      <c r="K46" s="120"/>
      <c r="L46" s="119"/>
      <c r="M46" s="120"/>
    </row>
    <row r="47" spans="1:13">
      <c r="A47" s="111" t="s">
        <v>141</v>
      </c>
      <c r="B47" s="121"/>
      <c r="C47" s="122"/>
      <c r="D47" s="111">
        <f>SUM(D12:D44)</f>
        <v>6</v>
      </c>
      <c r="E47" s="112">
        <f t="shared" ref="E47:K47" si="11">SUM(E12:E46)</f>
        <v>343472</v>
      </c>
      <c r="F47" s="111">
        <f t="shared" si="11"/>
        <v>12.5</v>
      </c>
      <c r="G47" s="112">
        <f t="shared" si="11"/>
        <v>730379.26</v>
      </c>
      <c r="H47" s="111">
        <f t="shared" si="11"/>
        <v>20</v>
      </c>
      <c r="I47" s="112">
        <f t="shared" si="11"/>
        <v>1192108.7289000002</v>
      </c>
      <c r="J47" s="111">
        <f t="shared" si="11"/>
        <v>25</v>
      </c>
      <c r="K47" s="112">
        <f t="shared" si="11"/>
        <v>1534136.4430799996</v>
      </c>
      <c r="L47" s="111">
        <f t="shared" ref="L47:M47" si="12">SUM(L12:L46)</f>
        <v>25</v>
      </c>
      <c r="M47" s="112">
        <f t="shared" si="12"/>
        <v>1556923.4897261998</v>
      </c>
    </row>
    <row r="48" spans="1:13">
      <c r="B48" s="108"/>
      <c r="C48" s="109"/>
      <c r="D48" s="108"/>
      <c r="E48" s="109"/>
      <c r="F48" s="108"/>
      <c r="G48" s="109"/>
      <c r="H48" s="108"/>
      <c r="I48" s="109"/>
      <c r="J48" s="108"/>
      <c r="K48" s="109"/>
      <c r="L48" s="108"/>
      <c r="M48" s="109"/>
    </row>
    <row r="49" spans="1:13">
      <c r="A49" s="107" t="s">
        <v>142</v>
      </c>
      <c r="B49" s="108"/>
      <c r="C49" s="109"/>
      <c r="D49" s="108"/>
      <c r="E49" s="109"/>
      <c r="F49" s="108"/>
      <c r="G49" s="109"/>
      <c r="H49" s="108"/>
      <c r="I49" s="109"/>
      <c r="J49" s="108"/>
      <c r="K49" s="109"/>
      <c r="L49" s="108"/>
      <c r="M49" s="109"/>
    </row>
    <row r="50" spans="1:13">
      <c r="A50" t="s">
        <v>143</v>
      </c>
      <c r="B50" s="108">
        <v>1</v>
      </c>
      <c r="C50" s="120">
        <v>115000</v>
      </c>
      <c r="D50" s="108">
        <v>1</v>
      </c>
      <c r="E50" s="109">
        <f>C50*1.015</f>
        <v>116724.99999999999</v>
      </c>
      <c r="F50" s="108">
        <v>1</v>
      </c>
      <c r="G50" s="109">
        <f>E50*1.015</f>
        <v>118475.87499999997</v>
      </c>
      <c r="H50" s="108">
        <v>1</v>
      </c>
      <c r="I50" s="109">
        <f>G50*1.05</f>
        <v>124399.66874999997</v>
      </c>
      <c r="J50" s="108">
        <v>1</v>
      </c>
      <c r="K50" s="109">
        <f>I50*1.015</f>
        <v>126265.66378124995</v>
      </c>
      <c r="L50" s="108">
        <v>1</v>
      </c>
      <c r="M50" s="109">
        <f>K50*1.015</f>
        <v>128159.64873796869</v>
      </c>
    </row>
    <row r="51" spans="1:13">
      <c r="A51" t="s">
        <v>144</v>
      </c>
      <c r="B51" s="108"/>
      <c r="C51" s="109"/>
      <c r="D51" s="123">
        <v>1</v>
      </c>
      <c r="E51" s="120">
        <v>110000</v>
      </c>
      <c r="F51" s="108">
        <v>1</v>
      </c>
      <c r="G51" s="109">
        <f>E51*1.015</f>
        <v>111649.99999999999</v>
      </c>
      <c r="H51" s="108">
        <v>1</v>
      </c>
      <c r="I51" s="109">
        <f>G51*1.015</f>
        <v>113324.74999999997</v>
      </c>
      <c r="J51" s="108">
        <v>1</v>
      </c>
      <c r="K51" s="120">
        <f>I51*1.05</f>
        <v>118990.98749999997</v>
      </c>
      <c r="L51" s="108">
        <v>1</v>
      </c>
      <c r="M51" s="120">
        <f>K51*1.015</f>
        <v>120775.85231249996</v>
      </c>
    </row>
    <row r="52" spans="1:13">
      <c r="A52" t="s">
        <v>145</v>
      </c>
      <c r="B52" s="108"/>
      <c r="C52" s="109"/>
      <c r="D52" s="108"/>
      <c r="E52" s="124"/>
      <c r="F52" s="108">
        <v>1</v>
      </c>
      <c r="G52" s="120">
        <v>85000</v>
      </c>
      <c r="H52" s="108">
        <v>1</v>
      </c>
      <c r="I52" s="109">
        <f>G52*1.015</f>
        <v>86274.999999999985</v>
      </c>
      <c r="J52" s="108">
        <v>1</v>
      </c>
      <c r="K52" s="120">
        <f>I52*1.015</f>
        <v>87569.124999999971</v>
      </c>
      <c r="L52" s="108">
        <v>1</v>
      </c>
      <c r="M52" s="120">
        <f>K52*1.05</f>
        <v>91947.581249999974</v>
      </c>
    </row>
    <row r="53" spans="1:13">
      <c r="A53" t="s">
        <v>146</v>
      </c>
      <c r="B53" s="108"/>
      <c r="C53" s="109"/>
      <c r="D53" s="108"/>
      <c r="E53" s="109"/>
      <c r="F53" s="123">
        <v>1</v>
      </c>
      <c r="G53" s="109">
        <v>65000</v>
      </c>
      <c r="H53" s="108">
        <v>1</v>
      </c>
      <c r="I53" s="109">
        <f>G53*1.015</f>
        <v>65975</v>
      </c>
      <c r="J53" s="108">
        <v>1</v>
      </c>
      <c r="K53" s="109">
        <f>I53*1.015</f>
        <v>66964.625</v>
      </c>
      <c r="L53" s="108">
        <v>1</v>
      </c>
      <c r="M53" s="120">
        <f t="shared" ref="M53:M54" si="13">K53*1.05</f>
        <v>70312.856249999997</v>
      </c>
    </row>
    <row r="54" spans="1:13">
      <c r="A54" s="125" t="s">
        <v>147</v>
      </c>
      <c r="B54" s="108"/>
      <c r="C54" s="109"/>
      <c r="D54" s="108"/>
      <c r="E54" s="109"/>
      <c r="F54" s="123">
        <v>1</v>
      </c>
      <c r="G54" s="126">
        <v>60000</v>
      </c>
      <c r="H54" s="123">
        <v>1</v>
      </c>
      <c r="I54" s="109">
        <f>G54*1.015</f>
        <v>60899.999999999993</v>
      </c>
      <c r="J54" s="108">
        <v>2</v>
      </c>
      <c r="K54" s="109">
        <f>I54+60000</f>
        <v>120900</v>
      </c>
      <c r="L54" s="108">
        <v>2</v>
      </c>
      <c r="M54" s="120">
        <f t="shared" si="13"/>
        <v>126945</v>
      </c>
    </row>
    <row r="55" spans="1:13">
      <c r="A55" t="s">
        <v>148</v>
      </c>
      <c r="B55" s="108"/>
      <c r="C55" s="109"/>
      <c r="D55" s="108"/>
      <c r="E55" s="109"/>
      <c r="F55" s="108"/>
      <c r="G55" s="109"/>
      <c r="H55" s="108">
        <v>1</v>
      </c>
      <c r="I55" s="109">
        <v>52000</v>
      </c>
      <c r="J55" s="108">
        <v>1</v>
      </c>
      <c r="K55" s="109">
        <f>I55*1.015</f>
        <v>52779.999999999993</v>
      </c>
      <c r="L55" s="108">
        <v>1</v>
      </c>
      <c r="M55" s="109">
        <f>K55*1.015</f>
        <v>53571.69999999999</v>
      </c>
    </row>
    <row r="56" spans="1:13">
      <c r="A56" t="s">
        <v>149</v>
      </c>
      <c r="B56" s="108"/>
      <c r="C56" s="109"/>
      <c r="D56" s="108"/>
      <c r="E56" s="109"/>
      <c r="F56" s="108"/>
      <c r="G56" s="109"/>
      <c r="H56" s="108">
        <v>0.5</v>
      </c>
      <c r="I56" s="109">
        <v>24000</v>
      </c>
      <c r="J56" s="108">
        <v>1</v>
      </c>
      <c r="K56" s="109">
        <v>48720</v>
      </c>
      <c r="L56" s="108">
        <v>1</v>
      </c>
      <c r="M56" s="109">
        <f>K56*1.015</f>
        <v>49450.799999999996</v>
      </c>
    </row>
    <row r="57" spans="1:13">
      <c r="A57" s="125" t="s">
        <v>150</v>
      </c>
      <c r="B57" s="108"/>
      <c r="C57" s="109"/>
      <c r="D57" s="108"/>
      <c r="E57" s="120"/>
      <c r="F57" s="127">
        <v>0.25</v>
      </c>
      <c r="G57" s="126">
        <v>16250</v>
      </c>
      <c r="H57" s="123">
        <v>0.5</v>
      </c>
      <c r="I57" s="126">
        <v>32500</v>
      </c>
      <c r="J57" s="108">
        <v>1</v>
      </c>
      <c r="K57" s="109">
        <v>65975</v>
      </c>
      <c r="L57" s="108">
        <v>1</v>
      </c>
      <c r="M57" s="109">
        <f>K57*1.015</f>
        <v>66964.625</v>
      </c>
    </row>
    <row r="58" spans="1:13">
      <c r="A58" t="s">
        <v>151</v>
      </c>
      <c r="B58" s="108"/>
      <c r="C58" s="109"/>
      <c r="D58" s="108">
        <v>1</v>
      </c>
      <c r="E58" s="120">
        <v>110000</v>
      </c>
      <c r="F58" s="108">
        <v>1</v>
      </c>
      <c r="G58" s="109">
        <f>E58*1.015</f>
        <v>111649.99999999999</v>
      </c>
      <c r="H58" s="108">
        <v>1</v>
      </c>
      <c r="I58" s="109">
        <f>G58*1.015</f>
        <v>113324.74999999997</v>
      </c>
      <c r="J58" s="108">
        <v>1</v>
      </c>
      <c r="K58" s="109">
        <f>I58*1.05</f>
        <v>118990.98749999997</v>
      </c>
      <c r="L58" s="108">
        <v>1</v>
      </c>
      <c r="M58" s="109">
        <f>K58*1.05</f>
        <v>124940.53687499998</v>
      </c>
    </row>
    <row r="59" spans="1:13">
      <c r="A59" s="125" t="s">
        <v>152</v>
      </c>
      <c r="B59" s="108"/>
      <c r="C59" s="109"/>
      <c r="D59" s="108">
        <v>1</v>
      </c>
      <c r="E59" s="109">
        <v>52000</v>
      </c>
      <c r="F59" s="123">
        <v>2</v>
      </c>
      <c r="G59" s="126">
        <f>(E59*1.015)+52000</f>
        <v>104780</v>
      </c>
      <c r="H59" s="123">
        <v>3</v>
      </c>
      <c r="I59" s="126">
        <f>(G59*1.015)+52000</f>
        <v>158351.69999999998</v>
      </c>
      <c r="J59" s="108">
        <v>4</v>
      </c>
      <c r="K59" s="109">
        <v>203951</v>
      </c>
      <c r="L59" s="108">
        <v>4</v>
      </c>
      <c r="M59" s="109">
        <f>K59*1.05</f>
        <v>214148.55000000002</v>
      </c>
    </row>
    <row r="60" spans="1:13">
      <c r="A60" s="125" t="s">
        <v>153</v>
      </c>
      <c r="B60" s="108"/>
      <c r="C60" s="109"/>
      <c r="D60" s="108"/>
      <c r="E60" s="109"/>
      <c r="F60" s="127">
        <v>0.25</v>
      </c>
      <c r="G60" s="109">
        <v>14962</v>
      </c>
      <c r="H60" s="123">
        <v>0.5</v>
      </c>
      <c r="I60" s="109">
        <f>(G60*1.015)*2</f>
        <v>30372.859999999997</v>
      </c>
      <c r="J60" s="108">
        <v>1</v>
      </c>
      <c r="K60" s="109">
        <f>(I60*1.015)*2</f>
        <v>61656.905799999986</v>
      </c>
      <c r="L60" s="108">
        <v>1</v>
      </c>
      <c r="M60" s="109">
        <f>(K60*1.015)</f>
        <v>62581.759386999976</v>
      </c>
    </row>
    <row r="61" spans="1:13">
      <c r="A61" t="s">
        <v>154</v>
      </c>
      <c r="B61" s="108"/>
      <c r="C61" s="109"/>
      <c r="D61" s="108">
        <v>1</v>
      </c>
      <c r="E61" s="109">
        <v>35000</v>
      </c>
      <c r="F61" s="108">
        <v>2</v>
      </c>
      <c r="G61" s="109">
        <v>70000</v>
      </c>
      <c r="H61" s="108">
        <v>3</v>
      </c>
      <c r="I61" s="109">
        <v>105000</v>
      </c>
      <c r="J61" s="108">
        <v>4</v>
      </c>
      <c r="K61" s="109">
        <v>140000</v>
      </c>
      <c r="L61" s="108">
        <v>4</v>
      </c>
      <c r="M61" s="109">
        <f>K61*1.015</f>
        <v>142100</v>
      </c>
    </row>
    <row r="62" spans="1:13">
      <c r="A62" s="128"/>
      <c r="B62" s="108"/>
      <c r="C62" s="109"/>
      <c r="D62" s="108"/>
      <c r="E62" s="109"/>
      <c r="F62" s="108"/>
      <c r="G62" s="109"/>
      <c r="H62" s="108"/>
      <c r="I62" s="109"/>
      <c r="J62" s="108"/>
      <c r="K62" s="109"/>
      <c r="L62" s="108"/>
      <c r="M62" s="109"/>
    </row>
    <row r="63" spans="1:13">
      <c r="A63" s="111" t="s">
        <v>155</v>
      </c>
      <c r="B63" s="111">
        <f t="shared" ref="B63:I63" si="14">SUM(B50:B61)</f>
        <v>1</v>
      </c>
      <c r="C63" s="112">
        <f t="shared" si="14"/>
        <v>115000</v>
      </c>
      <c r="D63" s="111">
        <f t="shared" si="14"/>
        <v>5</v>
      </c>
      <c r="E63" s="112">
        <f t="shared" si="14"/>
        <v>423725</v>
      </c>
      <c r="F63" s="111">
        <f t="shared" si="14"/>
        <v>10.5</v>
      </c>
      <c r="G63" s="112">
        <f t="shared" si="14"/>
        <v>757767.87499999988</v>
      </c>
      <c r="H63" s="111">
        <f t="shared" si="14"/>
        <v>14.5</v>
      </c>
      <c r="I63" s="112">
        <f t="shared" si="14"/>
        <v>966423.72874999989</v>
      </c>
      <c r="J63" s="111">
        <f>SUM(J50:J62)</f>
        <v>19</v>
      </c>
      <c r="K63" s="112">
        <f>SUM(K50:K62)</f>
        <v>1212764.2945812498</v>
      </c>
      <c r="L63" s="111">
        <f>SUM(L50:L62)</f>
        <v>19</v>
      </c>
      <c r="M63" s="112">
        <f>SUM(M50:M62)</f>
        <v>1251898.9098124686</v>
      </c>
    </row>
    <row r="64" spans="1:13">
      <c r="B64" s="108"/>
      <c r="C64" s="109"/>
      <c r="D64" s="108"/>
      <c r="E64" s="109"/>
      <c r="F64" s="108"/>
      <c r="G64" s="109"/>
      <c r="H64" s="108"/>
      <c r="I64" s="109"/>
      <c r="J64" s="108"/>
      <c r="K64" s="109"/>
      <c r="L64" s="108"/>
      <c r="M64" s="109"/>
    </row>
    <row r="65" spans="1:13">
      <c r="A65" s="107" t="s">
        <v>156</v>
      </c>
      <c r="B65" s="108"/>
      <c r="C65" s="109"/>
      <c r="D65" s="108"/>
      <c r="E65" s="109"/>
      <c r="F65" s="108"/>
      <c r="G65" s="109"/>
      <c r="H65" s="108"/>
      <c r="I65" s="109"/>
      <c r="J65" s="108"/>
      <c r="K65" s="109"/>
      <c r="L65" s="108"/>
      <c r="M65" s="109"/>
    </row>
    <row r="66" spans="1:13">
      <c r="A66" t="s">
        <v>157</v>
      </c>
      <c r="B66" s="108"/>
      <c r="C66" s="109"/>
      <c r="D66" s="108">
        <v>0.25</v>
      </c>
      <c r="E66" s="109">
        <v>17500</v>
      </c>
      <c r="F66" s="108">
        <v>1</v>
      </c>
      <c r="G66" s="109">
        <v>71050</v>
      </c>
      <c r="H66" s="108">
        <v>1</v>
      </c>
      <c r="I66" s="109">
        <f>G66*1.015</f>
        <v>72115.75</v>
      </c>
      <c r="J66" s="108">
        <v>1</v>
      </c>
      <c r="K66" s="109">
        <f>I66*1.015</f>
        <v>73197.486249999987</v>
      </c>
      <c r="L66" s="108">
        <v>1</v>
      </c>
      <c r="M66" s="109">
        <f>K66*1.015</f>
        <v>74295.448543749982</v>
      </c>
    </row>
    <row r="67" spans="1:13">
      <c r="A67" t="s">
        <v>158</v>
      </c>
      <c r="B67" s="108"/>
      <c r="C67" s="109"/>
      <c r="D67" s="108">
        <v>0.5</v>
      </c>
      <c r="E67" s="109">
        <v>35000</v>
      </c>
      <c r="F67" s="108">
        <v>0.5</v>
      </c>
      <c r="G67" s="109">
        <f>E67*1.015</f>
        <v>35525</v>
      </c>
      <c r="H67" s="108">
        <v>1</v>
      </c>
      <c r="I67" s="109">
        <v>72115</v>
      </c>
      <c r="J67" s="108">
        <v>1</v>
      </c>
      <c r="K67" s="109">
        <f>I67*1.015</f>
        <v>73196.724999999991</v>
      </c>
      <c r="L67" s="108">
        <v>1</v>
      </c>
      <c r="M67" s="109">
        <f>K67*1.015</f>
        <v>74294.675874999986</v>
      </c>
    </row>
    <row r="68" spans="1:13">
      <c r="A68" t="s">
        <v>159</v>
      </c>
      <c r="B68" s="108"/>
      <c r="C68" s="109"/>
      <c r="D68" s="123"/>
      <c r="E68" s="126"/>
      <c r="F68" s="108">
        <v>1</v>
      </c>
      <c r="G68" s="109">
        <f>E68*1.015</f>
        <v>0</v>
      </c>
      <c r="H68" s="108">
        <v>1</v>
      </c>
      <c r="I68" s="109">
        <f>G68*1.015</f>
        <v>0</v>
      </c>
      <c r="J68" s="108">
        <v>1</v>
      </c>
      <c r="K68" s="109">
        <f>I68*1.05</f>
        <v>0</v>
      </c>
      <c r="L68" s="108">
        <v>1</v>
      </c>
      <c r="M68" s="109">
        <f>K68*1.05</f>
        <v>0</v>
      </c>
    </row>
    <row r="69" spans="1:13">
      <c r="A69" t="s">
        <v>160</v>
      </c>
      <c r="B69" s="108"/>
      <c r="C69" s="109"/>
      <c r="D69" s="108"/>
      <c r="E69" s="109"/>
      <c r="F69" s="108">
        <v>1</v>
      </c>
      <c r="G69" s="109">
        <v>45000</v>
      </c>
      <c r="H69" s="108">
        <v>1</v>
      </c>
      <c r="I69" s="109">
        <f>G69*1.015</f>
        <v>45674.999999999993</v>
      </c>
      <c r="J69" s="108">
        <v>1</v>
      </c>
      <c r="K69" s="109">
        <f>I69*1.015</f>
        <v>46360.124999999985</v>
      </c>
      <c r="L69" s="108">
        <v>1</v>
      </c>
      <c r="M69" s="109">
        <f>K69*1.055</f>
        <v>48909.93187499998</v>
      </c>
    </row>
    <row r="70" spans="1:13">
      <c r="A70" s="111" t="s">
        <v>123</v>
      </c>
      <c r="B70" s="111"/>
      <c r="C70" s="112"/>
      <c r="D70" s="111">
        <f t="shared" ref="D70:K70" si="15">SUM(D66:D69)</f>
        <v>0.75</v>
      </c>
      <c r="E70" s="112">
        <f t="shared" si="15"/>
        <v>52500</v>
      </c>
      <c r="F70" s="111">
        <f t="shared" si="15"/>
        <v>3.5</v>
      </c>
      <c r="G70" s="112">
        <f t="shared" si="15"/>
        <v>151575</v>
      </c>
      <c r="H70" s="111">
        <f t="shared" si="15"/>
        <v>4</v>
      </c>
      <c r="I70" s="112">
        <f t="shared" si="15"/>
        <v>189905.75</v>
      </c>
      <c r="J70" s="111">
        <f t="shared" si="15"/>
        <v>4</v>
      </c>
      <c r="K70" s="112">
        <f t="shared" si="15"/>
        <v>192754.33624999999</v>
      </c>
      <c r="L70" s="111">
        <f t="shared" ref="L70:M70" si="16">SUM(L66:L69)</f>
        <v>4</v>
      </c>
      <c r="M70" s="112">
        <f t="shared" si="16"/>
        <v>197500.05629374995</v>
      </c>
    </row>
    <row r="71" spans="1:13">
      <c r="A71" s="107" t="s">
        <v>161</v>
      </c>
      <c r="B71" s="129">
        <f>B47+B63+B70</f>
        <v>1</v>
      </c>
      <c r="C71" s="130">
        <f t="shared" ref="C71:K71" si="17">C8+C47+C63+C70</f>
        <v>115000</v>
      </c>
      <c r="D71" s="129">
        <f t="shared" si="17"/>
        <v>11.75</v>
      </c>
      <c r="E71" s="130">
        <f t="shared" si="17"/>
        <v>819697</v>
      </c>
      <c r="F71" s="129">
        <f t="shared" si="17"/>
        <v>27</v>
      </c>
      <c r="G71" s="130">
        <f t="shared" si="17"/>
        <v>1674722.1349999998</v>
      </c>
      <c r="H71" s="129">
        <f t="shared" si="17"/>
        <v>39</v>
      </c>
      <c r="I71" s="130">
        <f t="shared" si="17"/>
        <v>2383963.2076500002</v>
      </c>
      <c r="J71" s="129">
        <f t="shared" si="17"/>
        <v>48.5</v>
      </c>
      <c r="K71" s="130">
        <f t="shared" si="17"/>
        <v>2975712.9489112496</v>
      </c>
      <c r="L71" s="129">
        <f t="shared" ref="L71:M71" si="18">L8+L47+L63+L70</f>
        <v>48.5</v>
      </c>
      <c r="M71" s="130">
        <f t="shared" si="18"/>
        <v>3044183.2245824188</v>
      </c>
    </row>
  </sheetData>
  <mergeCells count="6"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5" scale="91" fitToHeight="2" orientation="landscape" horizontalDpi="4294967295" verticalDpi="4294967295" r:id="rId1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Normal="100" zoomScaleSheetLayoutView="100" workbookViewId="0"/>
  </sheetViews>
  <sheetFormatPr defaultColWidth="8.85546875" defaultRowHeight="15"/>
  <cols>
    <col min="1" max="1" width="23.85546875" customWidth="1"/>
    <col min="4" max="4" width="9.42578125" bestFit="1" customWidth="1"/>
  </cols>
  <sheetData>
    <row r="1" spans="1:9">
      <c r="C1" s="135" t="s">
        <v>162</v>
      </c>
      <c r="D1" s="107"/>
    </row>
    <row r="3" spans="1:9">
      <c r="A3" s="107" t="s">
        <v>169</v>
      </c>
    </row>
    <row r="4" spans="1:9" ht="30">
      <c r="A4" s="107" t="s">
        <v>163</v>
      </c>
      <c r="B4" s="107" t="s">
        <v>164</v>
      </c>
      <c r="C4" s="136" t="s">
        <v>165</v>
      </c>
      <c r="D4" s="137" t="s">
        <v>106</v>
      </c>
      <c r="E4" s="137" t="s">
        <v>6</v>
      </c>
      <c r="F4" s="137" t="s">
        <v>7</v>
      </c>
      <c r="G4" s="137" t="s">
        <v>8</v>
      </c>
      <c r="H4" s="137" t="s">
        <v>9</v>
      </c>
      <c r="I4" s="137" t="s">
        <v>10</v>
      </c>
    </row>
    <row r="6" spans="1:9">
      <c r="A6" t="s">
        <v>166</v>
      </c>
      <c r="B6" s="138">
        <v>700000</v>
      </c>
      <c r="C6" s="138">
        <v>6</v>
      </c>
      <c r="D6" s="138">
        <v>116666</v>
      </c>
      <c r="E6" s="138">
        <v>116666</v>
      </c>
      <c r="F6" s="138">
        <v>116666</v>
      </c>
      <c r="G6" s="138">
        <v>116666</v>
      </c>
      <c r="H6" s="138">
        <v>116666</v>
      </c>
      <c r="I6" s="138">
        <v>116666</v>
      </c>
    </row>
    <row r="7" spans="1:9">
      <c r="A7" t="s">
        <v>166</v>
      </c>
      <c r="B7" s="138">
        <v>50000</v>
      </c>
      <c r="C7" s="138">
        <v>4</v>
      </c>
      <c r="D7" s="138"/>
      <c r="E7" s="138">
        <v>12500</v>
      </c>
      <c r="F7" s="138">
        <v>12500</v>
      </c>
      <c r="G7" s="138">
        <v>12500</v>
      </c>
      <c r="H7" s="138">
        <v>12500</v>
      </c>
      <c r="I7" s="138">
        <v>12500</v>
      </c>
    </row>
    <row r="8" spans="1:9">
      <c r="A8" t="s">
        <v>166</v>
      </c>
      <c r="B8" s="138">
        <v>25000</v>
      </c>
      <c r="C8" s="138">
        <v>4</v>
      </c>
      <c r="D8" s="138"/>
      <c r="E8" s="138"/>
      <c r="F8" s="138">
        <v>6250</v>
      </c>
      <c r="G8" s="138">
        <v>6250</v>
      </c>
      <c r="H8" s="138">
        <v>6250</v>
      </c>
      <c r="I8" s="138">
        <v>6250</v>
      </c>
    </row>
    <row r="9" spans="1:9">
      <c r="A9" t="s">
        <v>166</v>
      </c>
      <c r="B9" s="138">
        <v>25000</v>
      </c>
      <c r="C9" s="138">
        <v>3</v>
      </c>
      <c r="D9" s="138"/>
      <c r="E9" s="138"/>
      <c r="F9" s="138"/>
      <c r="G9" s="138">
        <v>8333</v>
      </c>
      <c r="H9" s="138">
        <v>8333</v>
      </c>
      <c r="I9" s="138">
        <v>8333</v>
      </c>
    </row>
    <row r="10" spans="1:9">
      <c r="A10" t="s">
        <v>167</v>
      </c>
      <c r="B10" s="138">
        <v>100000</v>
      </c>
      <c r="C10" s="138">
        <v>5</v>
      </c>
      <c r="D10" s="138">
        <v>20000</v>
      </c>
      <c r="E10" s="138">
        <v>20000</v>
      </c>
      <c r="F10" s="138">
        <v>20000</v>
      </c>
      <c r="G10" s="138">
        <v>20000</v>
      </c>
      <c r="H10" s="138">
        <v>20000</v>
      </c>
      <c r="I10" s="138"/>
    </row>
    <row r="11" spans="1:9">
      <c r="A11" t="s">
        <v>167</v>
      </c>
      <c r="B11" s="138">
        <v>50000</v>
      </c>
      <c r="C11" s="138">
        <v>5</v>
      </c>
      <c r="D11" s="138">
        <v>10000</v>
      </c>
      <c r="E11" s="138">
        <v>10000</v>
      </c>
      <c r="F11" s="138">
        <v>10000</v>
      </c>
      <c r="G11" s="138">
        <v>10000</v>
      </c>
      <c r="H11" s="138">
        <v>10000</v>
      </c>
      <c r="I11" s="138"/>
    </row>
    <row r="12" spans="1:9">
      <c r="A12" t="s">
        <v>167</v>
      </c>
      <c r="B12" s="138">
        <v>25000</v>
      </c>
      <c r="C12" s="138">
        <v>5</v>
      </c>
      <c r="D12" s="138">
        <v>5000</v>
      </c>
      <c r="E12" s="138">
        <v>5000</v>
      </c>
      <c r="F12" s="138">
        <v>5000</v>
      </c>
      <c r="G12" s="138">
        <v>5000</v>
      </c>
      <c r="H12" s="138">
        <v>5000</v>
      </c>
      <c r="I12" s="138"/>
    </row>
    <row r="13" spans="1:9">
      <c r="A13" t="s">
        <v>167</v>
      </c>
      <c r="B13" s="138">
        <v>25000</v>
      </c>
      <c r="C13" s="138">
        <v>5</v>
      </c>
      <c r="D13" s="138"/>
      <c r="E13" s="138"/>
      <c r="F13" s="138"/>
      <c r="G13" s="138">
        <v>5000</v>
      </c>
      <c r="H13" s="138">
        <v>5000</v>
      </c>
      <c r="I13" s="138">
        <v>5000</v>
      </c>
    </row>
    <row r="14" spans="1:9">
      <c r="A14" t="s">
        <v>168</v>
      </c>
      <c r="B14" s="138">
        <v>100000</v>
      </c>
      <c r="C14" s="138">
        <v>7</v>
      </c>
      <c r="D14" s="138">
        <v>14285</v>
      </c>
      <c r="E14" s="138">
        <v>14285</v>
      </c>
      <c r="F14" s="138">
        <v>14285</v>
      </c>
      <c r="G14" s="138">
        <v>14285</v>
      </c>
      <c r="H14" s="138">
        <v>14285</v>
      </c>
      <c r="I14" s="138">
        <v>14285</v>
      </c>
    </row>
    <row r="15" spans="1:9">
      <c r="A15" t="s">
        <v>168</v>
      </c>
      <c r="B15" s="138">
        <v>50000</v>
      </c>
      <c r="C15" s="138">
        <v>7</v>
      </c>
      <c r="D15" s="138"/>
      <c r="E15" s="138">
        <v>7143</v>
      </c>
      <c r="F15" s="138">
        <v>7143</v>
      </c>
      <c r="G15" s="138">
        <v>7143</v>
      </c>
      <c r="H15" s="138">
        <v>7143</v>
      </c>
      <c r="I15" s="138">
        <v>7143</v>
      </c>
    </row>
    <row r="16" spans="1:9">
      <c r="A16" t="s">
        <v>168</v>
      </c>
      <c r="B16" s="138">
        <v>50000</v>
      </c>
      <c r="C16" s="138">
        <v>7</v>
      </c>
      <c r="D16" s="138"/>
      <c r="E16" s="138"/>
      <c r="F16" s="138">
        <v>7143</v>
      </c>
      <c r="G16" s="138">
        <v>7143</v>
      </c>
      <c r="H16" s="138">
        <v>7143</v>
      </c>
      <c r="I16" s="138">
        <v>7143</v>
      </c>
    </row>
    <row r="17" spans="1:18">
      <c r="A17" t="s">
        <v>168</v>
      </c>
      <c r="B17" s="138">
        <v>25000</v>
      </c>
      <c r="C17" s="138">
        <v>7</v>
      </c>
      <c r="D17" s="138"/>
      <c r="E17" s="138"/>
      <c r="F17" s="138"/>
      <c r="G17" s="138">
        <v>3571</v>
      </c>
      <c r="H17" s="138">
        <v>3571</v>
      </c>
      <c r="I17" s="138">
        <v>3571</v>
      </c>
    </row>
    <row r="18" spans="1:18">
      <c r="A18" t="s">
        <v>168</v>
      </c>
      <c r="B18" s="138">
        <v>10000</v>
      </c>
      <c r="C18" s="138">
        <v>7</v>
      </c>
      <c r="D18" s="138"/>
      <c r="E18" s="138"/>
      <c r="F18" s="138"/>
      <c r="G18" s="138"/>
      <c r="H18" s="138">
        <v>1430</v>
      </c>
      <c r="I18" s="138">
        <v>1430</v>
      </c>
    </row>
    <row r="19" spans="1:18">
      <c r="A19" t="s">
        <v>168</v>
      </c>
      <c r="B19" s="138">
        <v>10000</v>
      </c>
      <c r="C19" s="138">
        <v>7</v>
      </c>
      <c r="D19" s="138"/>
      <c r="E19" s="138"/>
      <c r="F19" s="138"/>
      <c r="G19" s="138"/>
      <c r="H19" s="138"/>
      <c r="I19" s="138">
        <v>1430</v>
      </c>
    </row>
    <row r="20" spans="1:18">
      <c r="A20" s="107" t="s">
        <v>170</v>
      </c>
      <c r="B20" s="138"/>
      <c r="C20" s="138"/>
      <c r="D20" s="138">
        <f>SUM(D6:D17)</f>
        <v>165951</v>
      </c>
      <c r="E20" s="138">
        <f t="shared" ref="E20:G20" si="0">SUM(E6:E17)</f>
        <v>185594</v>
      </c>
      <c r="F20" s="138">
        <f t="shared" si="0"/>
        <v>198987</v>
      </c>
      <c r="G20" s="138">
        <f t="shared" si="0"/>
        <v>215891</v>
      </c>
      <c r="H20" s="138">
        <f>SUM(H6:H19)</f>
        <v>217321</v>
      </c>
      <c r="I20" s="138">
        <f>SUM(I6:I19)</f>
        <v>183751</v>
      </c>
    </row>
    <row r="21" spans="1:18">
      <c r="A21" t="s">
        <v>179</v>
      </c>
      <c r="B21" s="138"/>
      <c r="C21" s="138"/>
      <c r="D21" s="138">
        <f>H40</f>
        <v>18571</v>
      </c>
      <c r="E21" s="138">
        <f>J40</f>
        <v>24999</v>
      </c>
      <c r="F21" s="138">
        <f>L40</f>
        <v>32713</v>
      </c>
      <c r="G21" s="138">
        <f>N40</f>
        <v>35427</v>
      </c>
      <c r="H21" s="138">
        <f>P40</f>
        <v>38141</v>
      </c>
      <c r="I21" s="138">
        <f>R40</f>
        <v>40855</v>
      </c>
    </row>
    <row r="22" spans="1:18">
      <c r="A22" t="s">
        <v>180</v>
      </c>
      <c r="B22" s="138"/>
      <c r="C22" s="138"/>
      <c r="D22" s="138">
        <f>SUM(D20:D21)</f>
        <v>184522</v>
      </c>
      <c r="E22" s="138">
        <f t="shared" ref="E22:I22" si="1">SUM(E20:E21)</f>
        <v>210593</v>
      </c>
      <c r="F22" s="138">
        <f t="shared" si="1"/>
        <v>231700</v>
      </c>
      <c r="G22" s="138">
        <f t="shared" si="1"/>
        <v>251318</v>
      </c>
      <c r="H22" s="138">
        <f t="shared" si="1"/>
        <v>255462</v>
      </c>
      <c r="I22" s="138">
        <f t="shared" si="1"/>
        <v>224606</v>
      </c>
    </row>
    <row r="23" spans="1:18" ht="45.75" thickBot="1">
      <c r="A23" s="139" t="s">
        <v>93</v>
      </c>
      <c r="B23" s="140"/>
      <c r="C23" s="140"/>
      <c r="D23" s="139" t="s">
        <v>172</v>
      </c>
      <c r="E23" s="140"/>
      <c r="F23" s="141" t="s">
        <v>173</v>
      </c>
      <c r="G23" s="140"/>
      <c r="H23" s="141" t="s">
        <v>177</v>
      </c>
      <c r="I23" s="140"/>
      <c r="J23" s="141" t="s">
        <v>178</v>
      </c>
      <c r="K23" s="140"/>
      <c r="L23" s="141" t="s">
        <v>174</v>
      </c>
      <c r="M23" s="140"/>
      <c r="N23" s="141" t="s">
        <v>175</v>
      </c>
      <c r="P23">
        <v>21</v>
      </c>
      <c r="R23">
        <v>22</v>
      </c>
    </row>
    <row r="24" spans="1:18">
      <c r="A24" s="107" t="s">
        <v>171</v>
      </c>
    </row>
    <row r="25" spans="1:18">
      <c r="D25" s="115"/>
      <c r="E25" s="115"/>
      <c r="F25" s="115"/>
      <c r="G25" s="115"/>
      <c r="H25" s="115"/>
    </row>
    <row r="26" spans="1:18">
      <c r="A26" t="s">
        <v>168</v>
      </c>
      <c r="D26" s="115">
        <v>25000</v>
      </c>
      <c r="E26" s="115"/>
      <c r="F26" s="115">
        <v>7</v>
      </c>
      <c r="G26" s="115"/>
      <c r="H26" s="115">
        <v>3571</v>
      </c>
      <c r="J26">
        <v>3571</v>
      </c>
      <c r="L26">
        <v>3571</v>
      </c>
      <c r="N26">
        <v>3571</v>
      </c>
      <c r="P26">
        <v>3571</v>
      </c>
      <c r="R26">
        <v>3571</v>
      </c>
    </row>
    <row r="27" spans="1:18">
      <c r="D27" s="115">
        <v>10000</v>
      </c>
      <c r="E27" s="115"/>
      <c r="F27" s="115"/>
      <c r="G27" s="115"/>
      <c r="H27" s="115"/>
      <c r="J27">
        <v>1428</v>
      </c>
      <c r="L27">
        <v>1428</v>
      </c>
      <c r="N27">
        <v>1428</v>
      </c>
      <c r="P27">
        <v>1428</v>
      </c>
      <c r="R27">
        <v>1428</v>
      </c>
    </row>
    <row r="28" spans="1:18">
      <c r="D28" s="115">
        <v>5000</v>
      </c>
      <c r="E28" s="115"/>
      <c r="F28" s="115"/>
      <c r="G28" s="115"/>
      <c r="H28" s="115"/>
      <c r="L28">
        <v>714</v>
      </c>
      <c r="N28">
        <v>714</v>
      </c>
      <c r="P28">
        <v>714</v>
      </c>
      <c r="R28">
        <v>714</v>
      </c>
    </row>
    <row r="29" spans="1:18">
      <c r="D29" s="115">
        <v>5000</v>
      </c>
      <c r="E29" s="115"/>
      <c r="F29" s="115"/>
      <c r="G29" s="115"/>
      <c r="H29" s="115"/>
      <c r="N29">
        <v>714</v>
      </c>
      <c r="P29">
        <v>714</v>
      </c>
      <c r="R29">
        <v>714</v>
      </c>
    </row>
    <row r="30" spans="1:18">
      <c r="D30" s="115">
        <v>5000</v>
      </c>
      <c r="E30" s="115"/>
      <c r="F30" s="115"/>
      <c r="G30" s="115"/>
      <c r="H30" s="115"/>
      <c r="P30">
        <v>714</v>
      </c>
      <c r="R30">
        <v>714</v>
      </c>
    </row>
    <row r="31" spans="1:18">
      <c r="D31" s="115">
        <v>5000</v>
      </c>
      <c r="E31" s="115"/>
      <c r="F31" s="115"/>
      <c r="G31" s="115"/>
      <c r="H31" s="115"/>
      <c r="R31">
        <v>714</v>
      </c>
    </row>
    <row r="32" spans="1:18">
      <c r="D32" s="115"/>
      <c r="E32" s="115"/>
      <c r="F32" s="115"/>
      <c r="G32" s="115"/>
      <c r="H32" s="115"/>
    </row>
    <row r="33" spans="1:18">
      <c r="B33" t="s">
        <v>106</v>
      </c>
      <c r="D33" s="115">
        <v>75000</v>
      </c>
      <c r="E33" s="115"/>
      <c r="F33" s="115"/>
      <c r="G33" s="115"/>
      <c r="H33" s="115">
        <v>15000</v>
      </c>
      <c r="J33">
        <v>15000</v>
      </c>
      <c r="L33">
        <v>15000</v>
      </c>
      <c r="N33">
        <v>15000</v>
      </c>
      <c r="P33">
        <v>15000</v>
      </c>
      <c r="R33">
        <v>15000</v>
      </c>
    </row>
    <row r="34" spans="1:18">
      <c r="B34" t="s">
        <v>6</v>
      </c>
      <c r="D34" s="115">
        <v>25000</v>
      </c>
      <c r="E34" s="115"/>
      <c r="F34" s="115"/>
      <c r="G34" s="115"/>
      <c r="H34" s="115"/>
      <c r="J34">
        <v>5000</v>
      </c>
      <c r="L34">
        <v>5000</v>
      </c>
      <c r="N34">
        <v>5000</v>
      </c>
      <c r="P34">
        <v>5000</v>
      </c>
      <c r="R34">
        <v>5000</v>
      </c>
    </row>
    <row r="35" spans="1:18">
      <c r="A35" t="s">
        <v>167</v>
      </c>
      <c r="B35" t="s">
        <v>7</v>
      </c>
      <c r="D35" s="115">
        <v>35000</v>
      </c>
      <c r="E35" s="115"/>
      <c r="F35" s="115">
        <v>5</v>
      </c>
      <c r="G35" s="115"/>
      <c r="H35" s="115"/>
      <c r="L35">
        <v>7000</v>
      </c>
      <c r="N35">
        <v>7000</v>
      </c>
      <c r="P35">
        <v>7000</v>
      </c>
      <c r="R35">
        <v>7000</v>
      </c>
    </row>
    <row r="36" spans="1:18">
      <c r="B36" t="s">
        <v>8</v>
      </c>
      <c r="D36" s="115">
        <v>10000</v>
      </c>
      <c r="E36" s="115"/>
      <c r="F36" s="115"/>
      <c r="G36" s="115"/>
      <c r="H36" s="115"/>
      <c r="N36">
        <v>2000</v>
      </c>
      <c r="P36">
        <v>2000</v>
      </c>
      <c r="R36">
        <v>2000</v>
      </c>
    </row>
    <row r="37" spans="1:18">
      <c r="B37" t="s">
        <v>9</v>
      </c>
      <c r="D37" s="115">
        <v>10000</v>
      </c>
      <c r="E37" s="115"/>
      <c r="F37" s="115"/>
      <c r="G37" s="115"/>
      <c r="H37" s="115"/>
      <c r="P37">
        <v>2000</v>
      </c>
      <c r="R37">
        <v>2000</v>
      </c>
    </row>
    <row r="38" spans="1:18">
      <c r="B38" t="s">
        <v>10</v>
      </c>
      <c r="D38" s="115">
        <v>10000</v>
      </c>
      <c r="E38" s="115"/>
      <c r="F38" s="115"/>
      <c r="G38" s="115"/>
      <c r="H38" s="115"/>
      <c r="R38">
        <v>2000</v>
      </c>
    </row>
    <row r="39" spans="1:18">
      <c r="D39" s="115"/>
      <c r="E39" s="115"/>
      <c r="F39" s="115"/>
      <c r="G39" s="115"/>
      <c r="H39" s="115"/>
    </row>
    <row r="40" spans="1:18">
      <c r="A40" t="s">
        <v>176</v>
      </c>
      <c r="D40" s="115"/>
      <c r="E40" s="115"/>
      <c r="F40" s="115"/>
      <c r="G40" s="115"/>
      <c r="H40" s="115">
        <f>SUM(H25:H39)</f>
        <v>18571</v>
      </c>
      <c r="J40" s="115">
        <f>SUM(J25:J39)</f>
        <v>24999</v>
      </c>
      <c r="L40" s="115">
        <f>SUM(L25:L39)</f>
        <v>32713</v>
      </c>
      <c r="N40" s="115">
        <f>SUM(N25:N39)</f>
        <v>35427</v>
      </c>
      <c r="P40" s="115">
        <f>SUM(P25:P39)</f>
        <v>38141</v>
      </c>
      <c r="R40" s="115">
        <f>SUM(R25:R39)</f>
        <v>40855</v>
      </c>
    </row>
  </sheetData>
  <pageMargins left="0.7" right="0.7" top="0.75" bottom="0.75" header="0.3" footer="0.3"/>
  <pageSetup paperSize="5" scale="80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Normal="100" workbookViewId="0">
      <selection activeCell="A36" sqref="A36"/>
    </sheetView>
  </sheetViews>
  <sheetFormatPr defaultRowHeight="15"/>
  <cols>
    <col min="1" max="1" width="12.5703125" customWidth="1"/>
    <col min="2" max="2" width="83.85546875" customWidth="1"/>
    <col min="3" max="3" width="36.140625" customWidth="1"/>
    <col min="4" max="4" width="15.140625" style="180" customWidth="1"/>
    <col min="5" max="5" width="19.5703125" customWidth="1"/>
  </cols>
  <sheetData>
    <row r="1" spans="1:5" s="150" customFormat="1" ht="33" customHeight="1" thickTop="1" thickBot="1">
      <c r="A1" s="181" t="s">
        <v>196</v>
      </c>
      <c r="B1" s="148" t="s">
        <v>197</v>
      </c>
      <c r="C1" s="148" t="s">
        <v>198</v>
      </c>
      <c r="D1" s="148" t="s">
        <v>199</v>
      </c>
      <c r="E1" s="149" t="s">
        <v>200</v>
      </c>
    </row>
    <row r="2" spans="1:5" s="153" customFormat="1" ht="14.45" customHeight="1" thickTop="1">
      <c r="A2" s="273" t="s">
        <v>201</v>
      </c>
      <c r="B2" s="151" t="s">
        <v>202</v>
      </c>
      <c r="C2" s="151" t="s">
        <v>203</v>
      </c>
      <c r="D2" s="152" t="s">
        <v>204</v>
      </c>
      <c r="E2" s="276" t="s">
        <v>205</v>
      </c>
    </row>
    <row r="3" spans="1:5" s="153" customFormat="1" ht="14.45" customHeight="1">
      <c r="A3" s="274"/>
      <c r="B3" s="154" t="s">
        <v>206</v>
      </c>
      <c r="C3" s="154" t="s">
        <v>203</v>
      </c>
      <c r="D3" s="155" t="s">
        <v>204</v>
      </c>
      <c r="E3" s="277"/>
    </row>
    <row r="4" spans="1:5" s="153" customFormat="1" ht="14.45" customHeight="1">
      <c r="A4" s="274"/>
      <c r="B4" s="154" t="s">
        <v>207</v>
      </c>
      <c r="C4" s="154" t="s">
        <v>203</v>
      </c>
      <c r="D4" s="155" t="s">
        <v>204</v>
      </c>
      <c r="E4" s="277"/>
    </row>
    <row r="5" spans="1:5" s="153" customFormat="1" ht="14.45" customHeight="1">
      <c r="A5" s="274"/>
      <c r="B5" s="154" t="s">
        <v>208</v>
      </c>
      <c r="C5" s="154" t="s">
        <v>209</v>
      </c>
      <c r="D5" s="155" t="s">
        <v>210</v>
      </c>
      <c r="E5" s="277"/>
    </row>
    <row r="6" spans="1:5" s="153" customFormat="1" ht="14.45" customHeight="1">
      <c r="A6" s="274"/>
      <c r="B6" s="154" t="s">
        <v>211</v>
      </c>
      <c r="C6" s="154" t="s">
        <v>212</v>
      </c>
      <c r="D6" s="155" t="s">
        <v>213</v>
      </c>
      <c r="E6" s="277"/>
    </row>
    <row r="7" spans="1:5" s="153" customFormat="1" ht="14.45" customHeight="1">
      <c r="A7" s="274"/>
      <c r="B7" s="154" t="s">
        <v>214</v>
      </c>
      <c r="C7" s="154" t="s">
        <v>212</v>
      </c>
      <c r="D7" s="155" t="s">
        <v>213</v>
      </c>
      <c r="E7" s="277"/>
    </row>
    <row r="8" spans="1:5" s="153" customFormat="1" ht="14.45" customHeight="1">
      <c r="A8" s="274"/>
      <c r="B8" s="154" t="s">
        <v>215</v>
      </c>
      <c r="C8" s="154" t="s">
        <v>216</v>
      </c>
      <c r="D8" s="155" t="s">
        <v>213</v>
      </c>
      <c r="E8" s="277"/>
    </row>
    <row r="9" spans="1:5" s="153" customFormat="1" ht="14.45" customHeight="1">
      <c r="A9" s="274"/>
      <c r="B9" s="154" t="s">
        <v>217</v>
      </c>
      <c r="C9" s="154" t="s">
        <v>218</v>
      </c>
      <c r="D9" s="155" t="s">
        <v>213</v>
      </c>
      <c r="E9" s="277"/>
    </row>
    <row r="10" spans="1:5" s="153" customFormat="1" ht="14.45" customHeight="1">
      <c r="A10" s="274"/>
      <c r="B10" s="154" t="s">
        <v>219</v>
      </c>
      <c r="C10" s="154" t="s">
        <v>203</v>
      </c>
      <c r="D10" s="155" t="s">
        <v>220</v>
      </c>
      <c r="E10" s="277"/>
    </row>
    <row r="11" spans="1:5" s="153" customFormat="1" ht="14.45" customHeight="1">
      <c r="A11" s="274"/>
      <c r="B11" s="154" t="s">
        <v>221</v>
      </c>
      <c r="C11" s="154" t="s">
        <v>222</v>
      </c>
      <c r="D11" s="155" t="s">
        <v>220</v>
      </c>
      <c r="E11" s="277"/>
    </row>
    <row r="12" spans="1:5" s="153" customFormat="1" ht="14.45" customHeight="1">
      <c r="A12" s="274"/>
      <c r="B12" s="154" t="s">
        <v>223</v>
      </c>
      <c r="C12" s="154" t="s">
        <v>222</v>
      </c>
      <c r="D12" s="155" t="s">
        <v>220</v>
      </c>
      <c r="E12" s="277"/>
    </row>
    <row r="13" spans="1:5" s="153" customFormat="1" ht="14.45" customHeight="1">
      <c r="A13" s="274"/>
      <c r="B13" s="154" t="s">
        <v>224</v>
      </c>
      <c r="C13" s="154" t="s">
        <v>225</v>
      </c>
      <c r="D13" s="155" t="s">
        <v>226</v>
      </c>
      <c r="E13" s="277"/>
    </row>
    <row r="14" spans="1:5" s="153" customFormat="1" ht="14.45" customHeight="1">
      <c r="A14" s="274"/>
      <c r="B14" s="154" t="s">
        <v>227</v>
      </c>
      <c r="C14" s="154" t="s">
        <v>209</v>
      </c>
      <c r="D14" s="155" t="s">
        <v>226</v>
      </c>
      <c r="E14" s="277"/>
    </row>
    <row r="15" spans="1:5" s="153" customFormat="1" ht="14.45" customHeight="1">
      <c r="A15" s="274"/>
      <c r="B15" s="154" t="s">
        <v>228</v>
      </c>
      <c r="C15" s="154" t="s">
        <v>218</v>
      </c>
      <c r="D15" s="155" t="s">
        <v>229</v>
      </c>
      <c r="E15" s="277"/>
    </row>
    <row r="16" spans="1:5" s="153" customFormat="1" ht="14.45" customHeight="1">
      <c r="A16" s="274"/>
      <c r="B16" s="154" t="s">
        <v>230</v>
      </c>
      <c r="C16" s="154" t="s">
        <v>231</v>
      </c>
      <c r="D16" s="155" t="s">
        <v>229</v>
      </c>
      <c r="E16" s="277"/>
    </row>
    <row r="17" spans="1:5" s="153" customFormat="1" ht="14.45" customHeight="1">
      <c r="A17" s="274"/>
      <c r="B17" s="154" t="s">
        <v>232</v>
      </c>
      <c r="C17" s="154" t="s">
        <v>231</v>
      </c>
      <c r="D17" s="155" t="s">
        <v>229</v>
      </c>
      <c r="E17" s="277"/>
    </row>
    <row r="18" spans="1:5" ht="14.45" customHeight="1">
      <c r="A18" s="274"/>
      <c r="B18" s="154" t="s">
        <v>233</v>
      </c>
      <c r="C18" s="156" t="s">
        <v>231</v>
      </c>
      <c r="D18" s="157" t="s">
        <v>229</v>
      </c>
      <c r="E18" s="277"/>
    </row>
    <row r="19" spans="1:5" ht="14.45" customHeight="1">
      <c r="A19" s="274"/>
      <c r="B19" s="154" t="s">
        <v>234</v>
      </c>
      <c r="C19" s="156" t="s">
        <v>218</v>
      </c>
      <c r="D19" s="157" t="s">
        <v>229</v>
      </c>
      <c r="E19" s="277"/>
    </row>
    <row r="20" spans="1:5" ht="14.45" customHeight="1">
      <c r="A20" s="274"/>
      <c r="B20" s="154" t="s">
        <v>235</v>
      </c>
      <c r="C20" s="156" t="s">
        <v>236</v>
      </c>
      <c r="D20" s="157" t="s">
        <v>229</v>
      </c>
      <c r="E20" s="277"/>
    </row>
    <row r="21" spans="1:5" ht="14.45" customHeight="1">
      <c r="A21" s="274"/>
      <c r="B21" s="154" t="s">
        <v>237</v>
      </c>
      <c r="C21" s="156" t="s">
        <v>218</v>
      </c>
      <c r="D21" s="157" t="s">
        <v>229</v>
      </c>
      <c r="E21" s="277"/>
    </row>
    <row r="22" spans="1:5" ht="14.45" customHeight="1">
      <c r="A22" s="274"/>
      <c r="B22" s="154" t="s">
        <v>238</v>
      </c>
      <c r="C22" s="156" t="s">
        <v>231</v>
      </c>
      <c r="D22" s="157" t="s">
        <v>229</v>
      </c>
      <c r="E22" s="277"/>
    </row>
    <row r="23" spans="1:5" ht="14.45" customHeight="1">
      <c r="A23" s="274"/>
      <c r="B23" s="154" t="s">
        <v>239</v>
      </c>
      <c r="C23" s="156" t="s">
        <v>218</v>
      </c>
      <c r="D23" s="157" t="s">
        <v>229</v>
      </c>
      <c r="E23" s="277"/>
    </row>
    <row r="24" spans="1:5" ht="14.45" customHeight="1">
      <c r="A24" s="274"/>
      <c r="B24" s="154" t="s">
        <v>240</v>
      </c>
      <c r="C24" s="156" t="s">
        <v>231</v>
      </c>
      <c r="D24" s="157" t="s">
        <v>229</v>
      </c>
      <c r="E24" s="277"/>
    </row>
    <row r="25" spans="1:5" ht="14.45" customHeight="1">
      <c r="A25" s="274"/>
      <c r="B25" s="154" t="s">
        <v>241</v>
      </c>
      <c r="C25" s="156" t="s">
        <v>231</v>
      </c>
      <c r="D25" s="157" t="s">
        <v>242</v>
      </c>
      <c r="E25" s="277"/>
    </row>
    <row r="26" spans="1:5" ht="14.45" customHeight="1">
      <c r="A26" s="274"/>
      <c r="B26" s="154" t="s">
        <v>243</v>
      </c>
      <c r="C26" s="156" t="s">
        <v>218</v>
      </c>
      <c r="D26" s="157" t="s">
        <v>242</v>
      </c>
      <c r="E26" s="277"/>
    </row>
    <row r="27" spans="1:5" ht="14.45" customHeight="1">
      <c r="A27" s="274"/>
      <c r="B27" s="154" t="s">
        <v>244</v>
      </c>
      <c r="C27" s="156" t="s">
        <v>218</v>
      </c>
      <c r="D27" s="157" t="s">
        <v>242</v>
      </c>
      <c r="E27" s="277"/>
    </row>
    <row r="28" spans="1:5" ht="14.45" customHeight="1">
      <c r="A28" s="274"/>
      <c r="B28" s="154" t="s">
        <v>245</v>
      </c>
      <c r="C28" s="156" t="s">
        <v>231</v>
      </c>
      <c r="D28" s="157" t="s">
        <v>246</v>
      </c>
      <c r="E28" s="277"/>
    </row>
    <row r="29" spans="1:5" ht="14.45" customHeight="1">
      <c r="A29" s="274"/>
      <c r="B29" s="154" t="s">
        <v>247</v>
      </c>
      <c r="C29" s="156" t="s">
        <v>231</v>
      </c>
      <c r="D29" s="157" t="s">
        <v>246</v>
      </c>
      <c r="E29" s="277"/>
    </row>
    <row r="30" spans="1:5" ht="14.45" customHeight="1">
      <c r="A30" s="274"/>
      <c r="B30" s="154" t="s">
        <v>248</v>
      </c>
      <c r="C30" s="156" t="s">
        <v>209</v>
      </c>
      <c r="D30" s="157" t="s">
        <v>249</v>
      </c>
      <c r="E30" s="277"/>
    </row>
    <row r="31" spans="1:5" ht="14.45" customHeight="1">
      <c r="A31" s="274"/>
      <c r="B31" s="154" t="s">
        <v>250</v>
      </c>
      <c r="C31" s="156" t="s">
        <v>225</v>
      </c>
      <c r="D31" s="157" t="s">
        <v>251</v>
      </c>
      <c r="E31" s="277"/>
    </row>
    <row r="32" spans="1:5" ht="14.45" customHeight="1">
      <c r="A32" s="274"/>
      <c r="B32" s="154" t="s">
        <v>252</v>
      </c>
      <c r="C32" s="156" t="s">
        <v>218</v>
      </c>
      <c r="D32" s="157" t="s">
        <v>251</v>
      </c>
      <c r="E32" s="277"/>
    </row>
    <row r="33" spans="1:5" ht="14.45" customHeight="1">
      <c r="A33" s="274"/>
      <c r="B33" s="154" t="s">
        <v>253</v>
      </c>
      <c r="C33" s="156" t="s">
        <v>254</v>
      </c>
      <c r="D33" s="157" t="s">
        <v>251</v>
      </c>
      <c r="E33" s="277"/>
    </row>
    <row r="34" spans="1:5" ht="14.45" customHeight="1">
      <c r="A34" s="274"/>
      <c r="B34" s="154" t="s">
        <v>255</v>
      </c>
      <c r="C34" s="156" t="s">
        <v>225</v>
      </c>
      <c r="D34" s="157" t="s">
        <v>256</v>
      </c>
      <c r="E34" s="277"/>
    </row>
    <row r="35" spans="1:5" ht="14.45" customHeight="1" thickBot="1">
      <c r="A35" s="275"/>
      <c r="B35" s="158" t="s">
        <v>257</v>
      </c>
      <c r="C35" s="159" t="s">
        <v>225</v>
      </c>
      <c r="D35" s="160" t="s">
        <v>258</v>
      </c>
      <c r="E35" s="278"/>
    </row>
    <row r="36" spans="1:5" ht="33" customHeight="1" thickTop="1" thickBot="1">
      <c r="A36" s="181" t="s">
        <v>196</v>
      </c>
      <c r="B36" s="148" t="s">
        <v>197</v>
      </c>
      <c r="C36" s="148" t="s">
        <v>198</v>
      </c>
      <c r="D36" s="148" t="s">
        <v>199</v>
      </c>
      <c r="E36" s="149" t="s">
        <v>200</v>
      </c>
    </row>
    <row r="37" spans="1:5" ht="14.45" customHeight="1" thickTop="1">
      <c r="A37" s="279" t="s">
        <v>157</v>
      </c>
      <c r="B37" s="161" t="s">
        <v>259</v>
      </c>
      <c r="C37" s="162" t="s">
        <v>203</v>
      </c>
      <c r="D37" s="163" t="s">
        <v>260</v>
      </c>
      <c r="E37" s="282" t="s">
        <v>261</v>
      </c>
    </row>
    <row r="38" spans="1:5">
      <c r="A38" s="280"/>
      <c r="B38" s="164" t="s">
        <v>262</v>
      </c>
      <c r="C38" s="165" t="s">
        <v>263</v>
      </c>
      <c r="D38" s="166" t="s">
        <v>264</v>
      </c>
      <c r="E38" s="283"/>
    </row>
    <row r="39" spans="1:5">
      <c r="A39" s="280"/>
      <c r="B39" s="164" t="s">
        <v>265</v>
      </c>
      <c r="C39" s="165" t="s">
        <v>203</v>
      </c>
      <c r="D39" s="157" t="s">
        <v>266</v>
      </c>
      <c r="E39" s="283"/>
    </row>
    <row r="40" spans="1:5">
      <c r="A40" s="280"/>
      <c r="B40" s="164" t="s">
        <v>267</v>
      </c>
      <c r="C40" s="165" t="s">
        <v>263</v>
      </c>
      <c r="D40" s="157" t="s">
        <v>268</v>
      </c>
      <c r="E40" s="283"/>
    </row>
    <row r="41" spans="1:5">
      <c r="A41" s="280"/>
      <c r="B41" s="164" t="s">
        <v>269</v>
      </c>
      <c r="C41" s="165" t="s">
        <v>263</v>
      </c>
      <c r="D41" s="157" t="s">
        <v>220</v>
      </c>
      <c r="E41" s="283"/>
    </row>
    <row r="42" spans="1:5">
      <c r="A42" s="280"/>
      <c r="B42" s="164" t="s">
        <v>270</v>
      </c>
      <c r="C42" s="165" t="s">
        <v>263</v>
      </c>
      <c r="D42" s="157" t="s">
        <v>271</v>
      </c>
      <c r="E42" s="283"/>
    </row>
    <row r="43" spans="1:5">
      <c r="A43" s="280"/>
      <c r="B43" s="164" t="s">
        <v>272</v>
      </c>
      <c r="C43" s="165" t="s">
        <v>263</v>
      </c>
      <c r="D43" s="157" t="s">
        <v>229</v>
      </c>
      <c r="E43" s="283"/>
    </row>
    <row r="44" spans="1:5">
      <c r="A44" s="280"/>
      <c r="B44" s="164" t="s">
        <v>273</v>
      </c>
      <c r="C44" s="165" t="s">
        <v>263</v>
      </c>
      <c r="D44" s="157" t="s">
        <v>242</v>
      </c>
      <c r="E44" s="283"/>
    </row>
    <row r="45" spans="1:5">
      <c r="A45" s="280"/>
      <c r="B45" s="164" t="s">
        <v>274</v>
      </c>
      <c r="C45" s="165" t="s">
        <v>263</v>
      </c>
      <c r="D45" s="157" t="s">
        <v>246</v>
      </c>
      <c r="E45" s="283"/>
    </row>
    <row r="46" spans="1:5">
      <c r="A46" s="280"/>
      <c r="B46" s="164" t="s">
        <v>275</v>
      </c>
      <c r="C46" s="165" t="s">
        <v>263</v>
      </c>
      <c r="D46" s="157" t="s">
        <v>276</v>
      </c>
      <c r="E46" s="283"/>
    </row>
    <row r="47" spans="1:5">
      <c r="A47" s="280"/>
      <c r="B47" s="164" t="s">
        <v>277</v>
      </c>
      <c r="C47" s="165" t="s">
        <v>263</v>
      </c>
      <c r="D47" s="157" t="s">
        <v>276</v>
      </c>
      <c r="E47" s="283"/>
    </row>
    <row r="48" spans="1:5">
      <c r="A48" s="280"/>
      <c r="B48" s="164" t="s">
        <v>278</v>
      </c>
      <c r="C48" s="165" t="s">
        <v>263</v>
      </c>
      <c r="D48" s="157" t="s">
        <v>279</v>
      </c>
      <c r="E48" s="283"/>
    </row>
    <row r="49" spans="1:5">
      <c r="A49" s="280"/>
      <c r="B49" s="164" t="s">
        <v>280</v>
      </c>
      <c r="C49" s="165" t="s">
        <v>263</v>
      </c>
      <c r="D49" s="157" t="s">
        <v>281</v>
      </c>
      <c r="E49" s="283"/>
    </row>
    <row r="50" spans="1:5" ht="15.75" thickBot="1">
      <c r="A50" s="281"/>
      <c r="B50" s="167" t="s">
        <v>282</v>
      </c>
      <c r="C50" s="168" t="s">
        <v>203</v>
      </c>
      <c r="D50" s="160" t="s">
        <v>283</v>
      </c>
      <c r="E50" s="284"/>
    </row>
    <row r="51" spans="1:5" ht="15.75" thickTop="1">
      <c r="A51" s="285" t="s">
        <v>284</v>
      </c>
      <c r="B51" s="161" t="s">
        <v>285</v>
      </c>
      <c r="C51" s="162" t="s">
        <v>263</v>
      </c>
      <c r="D51" s="169" t="s">
        <v>204</v>
      </c>
      <c r="E51" s="288"/>
    </row>
    <row r="52" spans="1:5">
      <c r="A52" s="286"/>
      <c r="B52" s="164" t="s">
        <v>286</v>
      </c>
      <c r="C52" s="165" t="s">
        <v>263</v>
      </c>
      <c r="D52" s="157" t="s">
        <v>264</v>
      </c>
      <c r="E52" s="289"/>
    </row>
    <row r="53" spans="1:5" ht="15.75" thickBot="1">
      <c r="A53" s="286"/>
      <c r="B53" s="170" t="s">
        <v>287</v>
      </c>
      <c r="C53" s="171" t="s">
        <v>263</v>
      </c>
      <c r="D53" s="172" t="s">
        <v>288</v>
      </c>
      <c r="E53" s="290"/>
    </row>
    <row r="54" spans="1:5">
      <c r="A54" s="286"/>
      <c r="B54" s="173" t="s">
        <v>289</v>
      </c>
      <c r="C54" s="174" t="s">
        <v>290</v>
      </c>
      <c r="D54" s="175" t="s">
        <v>210</v>
      </c>
      <c r="E54" s="291"/>
    </row>
    <row r="55" spans="1:5">
      <c r="A55" s="286"/>
      <c r="B55" s="164" t="s">
        <v>291</v>
      </c>
      <c r="C55" s="165" t="s">
        <v>290</v>
      </c>
      <c r="D55" s="157" t="s">
        <v>268</v>
      </c>
      <c r="E55" s="292"/>
    </row>
    <row r="56" spans="1:5">
      <c r="A56" s="286"/>
      <c r="B56" s="161" t="s">
        <v>292</v>
      </c>
      <c r="C56" s="162" t="s">
        <v>290</v>
      </c>
      <c r="D56" s="169" t="s">
        <v>266</v>
      </c>
      <c r="E56" s="292"/>
    </row>
    <row r="57" spans="1:5">
      <c r="A57" s="286"/>
      <c r="B57" s="164" t="s">
        <v>293</v>
      </c>
      <c r="C57" s="165" t="s">
        <v>290</v>
      </c>
      <c r="D57" s="157" t="s">
        <v>266</v>
      </c>
      <c r="E57" s="292"/>
    </row>
    <row r="58" spans="1:5">
      <c r="A58" s="286"/>
      <c r="B58" s="164" t="s">
        <v>294</v>
      </c>
      <c r="C58" s="165" t="s">
        <v>290</v>
      </c>
      <c r="D58" s="157" t="s">
        <v>295</v>
      </c>
      <c r="E58" s="292"/>
    </row>
    <row r="59" spans="1:5">
      <c r="A59" s="286"/>
      <c r="B59" s="164" t="s">
        <v>296</v>
      </c>
      <c r="C59" s="165" t="s">
        <v>290</v>
      </c>
      <c r="D59" s="157" t="s">
        <v>297</v>
      </c>
      <c r="E59" s="292"/>
    </row>
    <row r="60" spans="1:5">
      <c r="A60" s="286"/>
      <c r="B60" s="176" t="s">
        <v>298</v>
      </c>
      <c r="C60" s="177" t="s">
        <v>290</v>
      </c>
      <c r="D60" s="178" t="s">
        <v>299</v>
      </c>
      <c r="E60" s="292"/>
    </row>
    <row r="61" spans="1:5" ht="15.75" thickBot="1">
      <c r="A61" s="287"/>
      <c r="B61" s="167" t="s">
        <v>300</v>
      </c>
      <c r="C61" s="168" t="s">
        <v>290</v>
      </c>
      <c r="D61" s="160" t="s">
        <v>301</v>
      </c>
      <c r="E61" s="293"/>
    </row>
    <row r="62" spans="1:5" ht="15.75" thickTop="1">
      <c r="D62" s="179"/>
    </row>
    <row r="63" spans="1:5">
      <c r="D63" s="179"/>
    </row>
    <row r="64" spans="1:5">
      <c r="D64" s="179"/>
    </row>
    <row r="65" spans="4:4">
      <c r="D65" s="179"/>
    </row>
    <row r="66" spans="4:4">
      <c r="D66" s="179"/>
    </row>
  </sheetData>
  <mergeCells count="7">
    <mergeCell ref="A2:A35"/>
    <mergeCell ref="E2:E35"/>
    <mergeCell ref="A37:A50"/>
    <mergeCell ref="E37:E50"/>
    <mergeCell ref="A51:A61"/>
    <mergeCell ref="E51:E53"/>
    <mergeCell ref="E54:E61"/>
  </mergeCells>
  <pageMargins left="0.7" right="0.7" top="0.75" bottom="0.75" header="0.3" footer="0.3"/>
  <pageSetup paperSize="5" scale="73" fitToHeight="2" orientation="landscape" r:id="rId1"/>
  <rowBreaks count="1" manualBreakCount="1">
    <brk id="35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/>
  </sheetViews>
  <sheetFormatPr defaultRowHeight="15"/>
  <cols>
    <col min="1" max="1" width="23.28515625" customWidth="1"/>
    <col min="2" max="2" width="12.42578125" customWidth="1"/>
    <col min="4" max="4" width="10" bestFit="1" customWidth="1"/>
    <col min="6" max="6" width="13" bestFit="1" customWidth="1"/>
    <col min="8" max="8" width="10" bestFit="1" customWidth="1"/>
    <col min="10" max="10" width="10" bestFit="1" customWidth="1"/>
    <col min="12" max="12" width="10" customWidth="1"/>
    <col min="14" max="14" width="11.42578125" bestFit="1" customWidth="1"/>
    <col min="16" max="16" width="10" bestFit="1" customWidth="1"/>
  </cols>
  <sheetData>
    <row r="1" spans="1:17" ht="20.25" thickBot="1">
      <c r="A1" s="199"/>
      <c r="B1" s="198" t="s">
        <v>325</v>
      </c>
      <c r="D1" s="197" t="s">
        <v>324</v>
      </c>
      <c r="E1" s="182"/>
      <c r="F1" s="197" t="s">
        <v>106</v>
      </c>
      <c r="G1" s="182"/>
      <c r="H1" s="197" t="s">
        <v>6</v>
      </c>
      <c r="I1" s="182"/>
      <c r="J1" s="197" t="s">
        <v>7</v>
      </c>
      <c r="K1" s="182"/>
      <c r="L1" s="197" t="s">
        <v>8</v>
      </c>
      <c r="M1" s="182"/>
      <c r="N1" s="197" t="s">
        <v>9</v>
      </c>
      <c r="O1" s="182"/>
      <c r="P1" s="197" t="s">
        <v>10</v>
      </c>
      <c r="Q1" s="182"/>
    </row>
    <row r="2" spans="1:17" ht="15.75" thickBot="1">
      <c r="A2" s="196"/>
      <c r="B2" s="195" t="s">
        <v>323</v>
      </c>
      <c r="D2" s="195" t="s">
        <v>323</v>
      </c>
      <c r="E2" s="182"/>
      <c r="F2" s="195" t="s">
        <v>323</v>
      </c>
      <c r="G2" s="182"/>
      <c r="H2" s="195" t="s">
        <v>323</v>
      </c>
      <c r="I2" s="182"/>
      <c r="J2" s="195" t="s">
        <v>323</v>
      </c>
      <c r="K2" s="182"/>
      <c r="L2" s="195" t="s">
        <v>323</v>
      </c>
      <c r="M2" s="182"/>
      <c r="N2" s="195" t="s">
        <v>323</v>
      </c>
      <c r="O2" s="182"/>
      <c r="P2" s="195" t="s">
        <v>323</v>
      </c>
      <c r="Q2" s="182"/>
    </row>
    <row r="3" spans="1:17">
      <c r="A3" s="188" t="s">
        <v>322</v>
      </c>
      <c r="B3" s="186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>
      <c r="A4" s="187" t="s">
        <v>321</v>
      </c>
      <c r="B4" s="186">
        <v>2016700</v>
      </c>
      <c r="D4" s="194">
        <f>B4+'[4]rev&amp;exp k1-12'!E29</f>
        <v>2285307</v>
      </c>
      <c r="E4" s="191"/>
      <c r="F4" s="190">
        <f>D4+'[4]rev&amp;exp k1-12'!H32</f>
        <v>1435779.1550000003</v>
      </c>
      <c r="G4" s="190"/>
      <c r="H4" s="190">
        <f>F4+'[4]rev&amp;exp k1-12'!K32</f>
        <v>1440188.3611750016</v>
      </c>
      <c r="I4" s="190"/>
      <c r="J4" s="190">
        <f>'[4]stmt of net assets school only'!H4+'[4]rev&amp;exp k1-12'!N32</f>
        <v>1491503.7744098781</v>
      </c>
      <c r="K4" s="190"/>
      <c r="L4" s="190">
        <f>J4+'[4]rev&amp;exp k1-12'!Q32</f>
        <v>1483701.6699175788</v>
      </c>
      <c r="M4" s="190"/>
      <c r="N4" s="190">
        <f>L4+'[4]rev&amp;exp k1-12'!T32</f>
        <v>1607780.4223663779</v>
      </c>
      <c r="O4" s="190"/>
      <c r="P4" s="190">
        <f>N4+'[4]rev&amp;exp k1-12'!W32</f>
        <v>1824235.0047576157</v>
      </c>
      <c r="Q4" s="182"/>
    </row>
    <row r="5" spans="1:17">
      <c r="A5" s="187" t="s">
        <v>320</v>
      </c>
      <c r="B5" s="186">
        <v>235669</v>
      </c>
      <c r="D5" s="190">
        <f>B5</f>
        <v>235669</v>
      </c>
      <c r="E5" s="190"/>
      <c r="F5" s="190">
        <f>D5</f>
        <v>235669</v>
      </c>
      <c r="G5" s="190"/>
      <c r="H5" s="190">
        <f>F5</f>
        <v>235669</v>
      </c>
      <c r="I5" s="190"/>
      <c r="J5" s="190">
        <f>H5</f>
        <v>235669</v>
      </c>
      <c r="K5" s="190"/>
      <c r="L5" s="190">
        <f>J5</f>
        <v>235669</v>
      </c>
      <c r="M5" s="190"/>
      <c r="N5" s="190">
        <f>L5</f>
        <v>235669</v>
      </c>
      <c r="O5" s="190"/>
      <c r="P5" s="190">
        <f>N5</f>
        <v>235669</v>
      </c>
      <c r="Q5" s="182"/>
    </row>
    <row r="6" spans="1:17">
      <c r="A6" s="193" t="s">
        <v>319</v>
      </c>
      <c r="B6" s="189">
        <v>87188</v>
      </c>
      <c r="D6" s="192">
        <f>B6</f>
        <v>87188</v>
      </c>
      <c r="E6" s="190"/>
      <c r="F6" s="192">
        <f>D6</f>
        <v>87188</v>
      </c>
      <c r="G6" s="190"/>
      <c r="H6" s="192">
        <f>F6</f>
        <v>87188</v>
      </c>
      <c r="I6" s="190"/>
      <c r="J6" s="192">
        <f>H6</f>
        <v>87188</v>
      </c>
      <c r="K6" s="190"/>
      <c r="L6" s="192">
        <f>J6</f>
        <v>87188</v>
      </c>
      <c r="M6" s="190"/>
      <c r="N6" s="192">
        <f>L6</f>
        <v>87188</v>
      </c>
      <c r="O6" s="190"/>
      <c r="P6" s="192">
        <f>N6</f>
        <v>87188</v>
      </c>
      <c r="Q6" s="182"/>
    </row>
    <row r="7" spans="1:17">
      <c r="A7" s="188"/>
      <c r="B7" s="186">
        <f>SUM(B4:B6)</f>
        <v>2339557</v>
      </c>
      <c r="D7" s="190">
        <f>SUM(D4:D6)</f>
        <v>2608164</v>
      </c>
      <c r="E7" s="190"/>
      <c r="F7" s="190">
        <f>SUM(F4:F6)</f>
        <v>1758636.1550000003</v>
      </c>
      <c r="G7" s="190"/>
      <c r="H7" s="190">
        <f>SUM(H4:H6)</f>
        <v>1763045.3611750016</v>
      </c>
      <c r="I7" s="190"/>
      <c r="J7" s="190">
        <f>SUM(J4:J6)</f>
        <v>1814360.7744098781</v>
      </c>
      <c r="K7" s="190"/>
      <c r="L7" s="190">
        <f>SUM(L4:L6)</f>
        <v>1806558.6699175788</v>
      </c>
      <c r="M7" s="190"/>
      <c r="N7" s="190">
        <f>SUM(N4:N6)</f>
        <v>1930637.4223663779</v>
      </c>
      <c r="O7" s="190"/>
      <c r="P7" s="190">
        <f>SUM(P4:P6)</f>
        <v>2147092.0047576157</v>
      </c>
      <c r="Q7" s="182"/>
    </row>
    <row r="8" spans="1:17">
      <c r="A8" s="188"/>
      <c r="B8" s="186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82"/>
    </row>
    <row r="9" spans="1:17">
      <c r="A9" s="187" t="s">
        <v>318</v>
      </c>
      <c r="B9" s="186">
        <v>239831</v>
      </c>
      <c r="D9" s="190">
        <f>B9-'[4]rev&amp;exp k1-12'!E31-'[4]rev&amp;exp k1-12'!E17</f>
        <v>189831</v>
      </c>
      <c r="E9" s="190"/>
      <c r="F9" s="190">
        <f>D9-'[4]rev&amp;exp k1-12'!H31-'[4]rev&amp;exp k1-12'!H17</f>
        <v>955309</v>
      </c>
      <c r="G9" s="190"/>
      <c r="H9" s="190">
        <f>F9-'[4]rev&amp;exp k1-12'!K31-'[4]rev&amp;exp k1-12'!K17</f>
        <v>879716</v>
      </c>
      <c r="I9" s="190"/>
      <c r="J9" s="190">
        <f>H9-'[4]rev&amp;exp k1-12'!N31-'[4]rev&amp;exp k1-12'!N17</f>
        <v>738016</v>
      </c>
      <c r="K9" s="190"/>
      <c r="L9" s="190">
        <f>J9-'[4]rev&amp;exp k1-12'!Q31-'[4]rev&amp;exp k1-12'!Q17</f>
        <v>526698</v>
      </c>
      <c r="M9" s="190"/>
      <c r="N9" s="190">
        <f>L9-'[4]rev&amp;exp k1-12'!T31-'[4]rev&amp;exp k1-12'!T17</f>
        <v>306236</v>
      </c>
      <c r="O9" s="190"/>
      <c r="P9" s="190">
        <f>N9-'[4]rev&amp;exp k1-12'!W31-'[4]rev&amp;exp k1-12'!W17</f>
        <v>96630</v>
      </c>
      <c r="Q9" s="182"/>
    </row>
    <row r="10" spans="1:17">
      <c r="A10" s="187" t="s">
        <v>317</v>
      </c>
      <c r="B10" s="189">
        <v>196115</v>
      </c>
      <c r="D10" s="192">
        <f>B10*1.05</f>
        <v>205920.75</v>
      </c>
      <c r="E10" s="190"/>
      <c r="F10" s="192">
        <f>D10*1.05</f>
        <v>216216.78750000001</v>
      </c>
      <c r="G10" s="190"/>
      <c r="H10" s="192">
        <f>F10*1.05</f>
        <v>227027.62687500002</v>
      </c>
      <c r="I10" s="190"/>
      <c r="J10" s="192">
        <f>H10*1.05</f>
        <v>238379.00821875004</v>
      </c>
      <c r="K10" s="190"/>
      <c r="L10" s="192">
        <f>J10*1.05</f>
        <v>250297.95862968755</v>
      </c>
      <c r="M10" s="190"/>
      <c r="N10" s="192">
        <f>L10*1.05</f>
        <v>262812.85656117194</v>
      </c>
      <c r="O10" s="190"/>
      <c r="P10" s="192">
        <f>N10*1.05</f>
        <v>275953.49938923056</v>
      </c>
      <c r="Q10" s="182"/>
    </row>
    <row r="11" spans="1:17">
      <c r="A11" s="187"/>
      <c r="B11" s="186">
        <f>SUM(B9:B10)</f>
        <v>435946</v>
      </c>
      <c r="D11" s="190">
        <f>SUM(D9:D10)</f>
        <v>395751.75</v>
      </c>
      <c r="E11" s="190"/>
      <c r="F11" s="190">
        <f>SUM(F9:F10)</f>
        <v>1171525.7875000001</v>
      </c>
      <c r="G11" s="190"/>
      <c r="H11" s="190">
        <f>SUM(H9:H10)</f>
        <v>1106743.6268750001</v>
      </c>
      <c r="I11" s="190"/>
      <c r="J11" s="190">
        <f>SUM(J9:J10)</f>
        <v>976395.00821875001</v>
      </c>
      <c r="K11" s="190"/>
      <c r="L11" s="190">
        <f>SUM(L9:L10)</f>
        <v>776995.95862968755</v>
      </c>
      <c r="M11" s="190"/>
      <c r="N11" s="190">
        <f>SUM(N9:N10)</f>
        <v>569048.85656117194</v>
      </c>
      <c r="O11" s="190"/>
      <c r="P11" s="190">
        <f>SUM(P9:P10)</f>
        <v>372583.49938923056</v>
      </c>
      <c r="Q11" s="182"/>
    </row>
    <row r="12" spans="1:17">
      <c r="A12" s="187"/>
      <c r="B12" s="186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2"/>
    </row>
    <row r="13" spans="1:17" ht="15.75" thickBot="1">
      <c r="A13" s="188" t="s">
        <v>316</v>
      </c>
      <c r="B13" s="184">
        <f>B7+B11</f>
        <v>2775503</v>
      </c>
      <c r="D13" s="184">
        <f>D7+D11</f>
        <v>3003915.75</v>
      </c>
      <c r="E13" s="183"/>
      <c r="F13" s="184">
        <f>F7+F11</f>
        <v>2930161.9425000004</v>
      </c>
      <c r="G13" s="183"/>
      <c r="H13" s="184">
        <f>H7+H11</f>
        <v>2869788.9880500017</v>
      </c>
      <c r="I13" s="183"/>
      <c r="J13" s="184">
        <f>J7+J11</f>
        <v>2790755.782628628</v>
      </c>
      <c r="K13" s="183"/>
      <c r="L13" s="184">
        <f>L7+L11</f>
        <v>2583554.6285472661</v>
      </c>
      <c r="M13" s="183"/>
      <c r="N13" s="184">
        <f>N7+N11</f>
        <v>2499686.2789275497</v>
      </c>
      <c r="O13" s="183"/>
      <c r="P13" s="184">
        <f>P7+P11</f>
        <v>2519675.5041468465</v>
      </c>
      <c r="Q13" s="182"/>
    </row>
    <row r="14" spans="1:17">
      <c r="A14" s="187"/>
      <c r="B14" s="186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2"/>
    </row>
    <row r="15" spans="1:17">
      <c r="A15" s="188" t="s">
        <v>315</v>
      </c>
      <c r="B15" s="186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2"/>
    </row>
    <row r="16" spans="1:17">
      <c r="A16" s="187" t="s">
        <v>314</v>
      </c>
      <c r="B16" s="186">
        <v>894761</v>
      </c>
      <c r="D16" s="190">
        <f>B16</f>
        <v>894761</v>
      </c>
      <c r="E16" s="190"/>
      <c r="F16" s="190">
        <f>D16</f>
        <v>894761</v>
      </c>
      <c r="G16" s="190"/>
      <c r="H16" s="190">
        <f>F16</f>
        <v>894761</v>
      </c>
      <c r="I16" s="190"/>
      <c r="J16" s="190">
        <f>H16</f>
        <v>894761</v>
      </c>
      <c r="K16" s="190"/>
      <c r="L16" s="190">
        <f>J16</f>
        <v>894761</v>
      </c>
      <c r="M16" s="190"/>
      <c r="N16" s="190">
        <f>L16</f>
        <v>894761</v>
      </c>
      <c r="O16" s="190"/>
      <c r="P16" s="190">
        <f>N16</f>
        <v>894761</v>
      </c>
      <c r="Q16" s="191"/>
    </row>
    <row r="17" spans="1:17">
      <c r="A17" s="187" t="s">
        <v>313</v>
      </c>
      <c r="B17" s="186">
        <v>1253633</v>
      </c>
      <c r="D17" s="190">
        <f>B17+'[4]rev&amp;exp k1-12'!E16-'[4]rev&amp;exp k1-12'!E4</f>
        <v>1395147</v>
      </c>
      <c r="E17" s="190"/>
      <c r="F17" s="190">
        <f>D17+'[4]rev&amp;exp k1-12'!H16-'[4]rev&amp;exp k1-12'!H4</f>
        <v>1286081</v>
      </c>
      <c r="G17" s="190"/>
      <c r="H17" s="190">
        <f>F17+'[4]rev&amp;exp k1-12'!K16-'[4]rev&amp;exp k1-12'!I4</f>
        <v>1127266</v>
      </c>
      <c r="I17" s="190"/>
      <c r="J17" s="190">
        <f>H17+'[4]rev&amp;exp k1-12'!N16-'[4]rev&amp;exp k1-12'!L4</f>
        <v>968451</v>
      </c>
      <c r="K17" s="190"/>
      <c r="L17" s="190">
        <f>J17+'[4]rev&amp;exp k1-12'!Q16-'[4]rev&amp;exp k1-12'!O4</f>
        <v>659636</v>
      </c>
      <c r="M17" s="190"/>
      <c r="N17" s="190">
        <f>L17+'[4]rev&amp;exp k1-12'!T16-'[4]rev&amp;exp k1-12'!T4</f>
        <v>500821</v>
      </c>
      <c r="O17" s="190"/>
      <c r="P17" s="190">
        <f>N17+'[4]rev&amp;exp k1-12'!W16-'[4]rev&amp;exp k1-12'!W4</f>
        <v>492006</v>
      </c>
      <c r="Q17" s="191"/>
    </row>
    <row r="18" spans="1:17">
      <c r="A18" s="193" t="s">
        <v>312</v>
      </c>
      <c r="B18" s="189">
        <v>18653</v>
      </c>
      <c r="D18" s="192">
        <f>B18</f>
        <v>18653</v>
      </c>
      <c r="E18" s="190"/>
      <c r="F18" s="192">
        <f>D18</f>
        <v>18653</v>
      </c>
      <c r="G18" s="190"/>
      <c r="H18" s="192">
        <f>F18</f>
        <v>18653</v>
      </c>
      <c r="I18" s="190"/>
      <c r="J18" s="192">
        <f>H18</f>
        <v>18653</v>
      </c>
      <c r="K18" s="190"/>
      <c r="L18" s="192">
        <f>J18</f>
        <v>18653</v>
      </c>
      <c r="M18" s="190"/>
      <c r="N18" s="192">
        <f>L18</f>
        <v>18653</v>
      </c>
      <c r="O18" s="190"/>
      <c r="P18" s="192">
        <f>N18</f>
        <v>18653</v>
      </c>
      <c r="Q18" s="191"/>
    </row>
    <row r="19" spans="1:17">
      <c r="A19" s="187"/>
      <c r="B19" s="186">
        <f>SUM(B16:B18)</f>
        <v>2167047</v>
      </c>
      <c r="D19" s="190">
        <f>SUM(D16:D18)</f>
        <v>2308561</v>
      </c>
      <c r="E19" s="190"/>
      <c r="F19" s="190">
        <f>SUM(F16:F18)</f>
        <v>2199495</v>
      </c>
      <c r="G19" s="190"/>
      <c r="H19" s="190">
        <f>SUM(H16:H18)</f>
        <v>2040680</v>
      </c>
      <c r="I19" s="190"/>
      <c r="J19" s="190">
        <f>SUM(J16:J18)</f>
        <v>1881865</v>
      </c>
      <c r="K19" s="190"/>
      <c r="L19" s="190">
        <f>SUM(L16:L18)</f>
        <v>1573050</v>
      </c>
      <c r="M19" s="190"/>
      <c r="N19" s="190">
        <f>SUM(N16:N18)</f>
        <v>1414235</v>
      </c>
      <c r="O19" s="190"/>
      <c r="P19" s="190">
        <f>SUM(P16:P18)</f>
        <v>1405420</v>
      </c>
      <c r="Q19" s="182"/>
    </row>
    <row r="20" spans="1:17">
      <c r="A20" s="187"/>
      <c r="B20" s="189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2"/>
    </row>
    <row r="21" spans="1:17" ht="15.75" thickBot="1">
      <c r="A21" s="188" t="s">
        <v>311</v>
      </c>
      <c r="B21" s="184">
        <f>B19</f>
        <v>2167047</v>
      </c>
      <c r="D21" s="184">
        <f>D19</f>
        <v>2308561</v>
      </c>
      <c r="E21" s="183"/>
      <c r="F21" s="184">
        <f>F19</f>
        <v>2199495</v>
      </c>
      <c r="G21" s="183"/>
      <c r="H21" s="184">
        <f>H19</f>
        <v>2040680</v>
      </c>
      <c r="I21" s="183"/>
      <c r="J21" s="184">
        <f>J19</f>
        <v>1881865</v>
      </c>
      <c r="K21" s="183"/>
      <c r="L21" s="184">
        <f>L19</f>
        <v>1573050</v>
      </c>
      <c r="M21" s="183"/>
      <c r="N21" s="184">
        <f>N19</f>
        <v>1414235</v>
      </c>
      <c r="O21" s="183"/>
      <c r="P21" s="184">
        <f>P19</f>
        <v>1405420</v>
      </c>
      <c r="Q21" s="182"/>
    </row>
    <row r="22" spans="1:17">
      <c r="A22" s="187"/>
      <c r="B22" s="186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2"/>
    </row>
    <row r="23" spans="1:17">
      <c r="A23" s="188" t="s">
        <v>310</v>
      </c>
      <c r="B23" s="186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2"/>
    </row>
    <row r="24" spans="1:17">
      <c r="A24" s="187" t="s">
        <v>309</v>
      </c>
      <c r="B24" s="186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2"/>
    </row>
    <row r="25" spans="1:17" hidden="1">
      <c r="A25" s="187" t="s">
        <v>308</v>
      </c>
      <c r="B25" s="186">
        <v>64784</v>
      </c>
      <c r="D25" s="186">
        <v>191877</v>
      </c>
      <c r="E25" s="183"/>
      <c r="F25" s="186">
        <v>-548585</v>
      </c>
      <c r="G25" s="183"/>
      <c r="H25" s="186">
        <v>-384371</v>
      </c>
      <c r="I25" s="183"/>
      <c r="J25" s="186">
        <v>-175230</v>
      </c>
      <c r="K25" s="183"/>
      <c r="L25" s="186">
        <v>125783</v>
      </c>
      <c r="M25" s="183"/>
      <c r="N25" s="186">
        <v>408676</v>
      </c>
      <c r="O25" s="183"/>
      <c r="P25" s="186">
        <v>633947</v>
      </c>
      <c r="Q25" s="182"/>
    </row>
    <row r="26" spans="1:17" hidden="1">
      <c r="A26" s="187" t="s">
        <v>307</v>
      </c>
      <c r="B26" s="189">
        <v>239831</v>
      </c>
      <c r="D26" s="189">
        <f>B26-'[4]rev&amp;exp k1-12'!E31-'[4]rev&amp;exp k1-12'!E17</f>
        <v>189831</v>
      </c>
      <c r="E26" s="183"/>
      <c r="F26" s="189">
        <f>D26-'[4]rev&amp;exp k1-12'!H31-'[4]rev&amp;exp k1-12'!H17</f>
        <v>955309</v>
      </c>
      <c r="G26" s="183"/>
      <c r="H26" s="189">
        <f>F26-'[4]rev&amp;exp k1-12'!K31-'[4]rev&amp;exp k1-12'!K17</f>
        <v>879716</v>
      </c>
      <c r="I26" s="183"/>
      <c r="J26" s="189">
        <f>H26-'[4]rev&amp;exp k1-12'!N31-'[4]rev&amp;exp k1-12'!N17</f>
        <v>738016</v>
      </c>
      <c r="K26" s="183"/>
      <c r="L26" s="189">
        <f>J26-'[4]rev&amp;exp k1-12'!Q31-'[4]rev&amp;exp k1-12'!Q17</f>
        <v>526698</v>
      </c>
      <c r="M26" s="183"/>
      <c r="N26" s="189">
        <f>L26-'[4]rev&amp;exp k1-12'!T31-'[4]rev&amp;exp k1-12'!T17</f>
        <v>306236</v>
      </c>
      <c r="O26" s="183"/>
      <c r="P26" s="189">
        <f>N26-'[4]rev&amp;exp k1-12'!W31-'[4]rev&amp;exp k1-12'!W17</f>
        <v>96630</v>
      </c>
      <c r="Q26" s="182"/>
    </row>
    <row r="27" spans="1:17">
      <c r="A27" s="187" t="s">
        <v>306</v>
      </c>
      <c r="B27" s="186">
        <f>+B26+B25</f>
        <v>304615</v>
      </c>
      <c r="D27" s="186">
        <f>+D26+D25</f>
        <v>381708</v>
      </c>
      <c r="E27" s="183"/>
      <c r="F27" s="186">
        <f>+F26+F25</f>
        <v>406724</v>
      </c>
      <c r="G27" s="183"/>
      <c r="H27" s="186">
        <f>+H26+H25</f>
        <v>495345</v>
      </c>
      <c r="I27" s="183"/>
      <c r="J27" s="186">
        <f>+J26+J25</f>
        <v>562786</v>
      </c>
      <c r="K27" s="183"/>
      <c r="L27" s="186">
        <f>+L26+L25</f>
        <v>652481</v>
      </c>
      <c r="M27" s="183"/>
      <c r="N27" s="186">
        <f>+N26+N25</f>
        <v>714912</v>
      </c>
      <c r="O27" s="183"/>
      <c r="P27" s="186">
        <f>+P26+P25</f>
        <v>730577</v>
      </c>
      <c r="Q27" s="182"/>
    </row>
    <row r="28" spans="1:17">
      <c r="A28" s="188"/>
      <c r="B28" s="186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2"/>
    </row>
    <row r="29" spans="1:17">
      <c r="A29" s="187" t="s">
        <v>305</v>
      </c>
      <c r="B29" s="186">
        <v>160666</v>
      </c>
      <c r="D29" s="186">
        <f>B29+D10-B10</f>
        <v>170471.75</v>
      </c>
      <c r="E29" s="183"/>
      <c r="F29" s="186">
        <f>D29+F10-D10</f>
        <v>180767.78749999998</v>
      </c>
      <c r="G29" s="183"/>
      <c r="H29" s="186">
        <f>F29+H10-F10</f>
        <v>191578.62687499999</v>
      </c>
      <c r="I29" s="183"/>
      <c r="J29" s="186">
        <f>H29+J10-H10</f>
        <v>202930.00821875001</v>
      </c>
      <c r="K29" s="183"/>
      <c r="L29" s="186">
        <f>J29+L10-J10</f>
        <v>214848.95862968752</v>
      </c>
      <c r="M29" s="183"/>
      <c r="N29" s="186">
        <f>L29+N10-L10</f>
        <v>227363.85656117194</v>
      </c>
      <c r="O29" s="183"/>
      <c r="P29" s="186">
        <f>N29+P10-N10</f>
        <v>240504.49938923056</v>
      </c>
      <c r="Q29" s="182"/>
    </row>
    <row r="30" spans="1:17">
      <c r="A30" s="187" t="s">
        <v>304</v>
      </c>
      <c r="B30" s="189">
        <v>143175</v>
      </c>
      <c r="D30" s="189">
        <v>143175</v>
      </c>
      <c r="E30" s="183"/>
      <c r="F30" s="189">
        <v>143175</v>
      </c>
      <c r="G30" s="183"/>
      <c r="H30" s="189">
        <v>143175</v>
      </c>
      <c r="I30" s="183"/>
      <c r="J30" s="189">
        <v>143175</v>
      </c>
      <c r="K30" s="183"/>
      <c r="L30" s="189">
        <v>143175</v>
      </c>
      <c r="M30" s="183"/>
      <c r="N30" s="189">
        <v>143175</v>
      </c>
      <c r="O30" s="183"/>
      <c r="P30" s="189">
        <v>143175</v>
      </c>
      <c r="Q30" s="182"/>
    </row>
    <row r="31" spans="1:17" ht="15.75" thickBot="1">
      <c r="A31" s="188" t="s">
        <v>303</v>
      </c>
      <c r="B31" s="184">
        <f>SUM(B27:B30)</f>
        <v>608456</v>
      </c>
      <c r="D31" s="184">
        <f>SUM(D27:D30)</f>
        <v>695354.75</v>
      </c>
      <c r="E31" s="183"/>
      <c r="F31" s="184">
        <f>SUM(F27:F30)</f>
        <v>730666.78749999998</v>
      </c>
      <c r="G31" s="183"/>
      <c r="H31" s="184">
        <f>SUM(H27:H30)</f>
        <v>830098.62687499996</v>
      </c>
      <c r="I31" s="183"/>
      <c r="J31" s="184">
        <f>SUM(J27:J30)</f>
        <v>908891.00821875001</v>
      </c>
      <c r="K31" s="183"/>
      <c r="L31" s="184">
        <f>SUM(L27:L30)</f>
        <v>1010504.9586296875</v>
      </c>
      <c r="M31" s="183"/>
      <c r="N31" s="184">
        <f>SUM(N27:N30)</f>
        <v>1085450.8565611718</v>
      </c>
      <c r="O31" s="183"/>
      <c r="P31" s="184">
        <f>SUM(P27:P30)</f>
        <v>1114256.4993892305</v>
      </c>
      <c r="Q31" s="182"/>
    </row>
    <row r="32" spans="1:17">
      <c r="A32" s="187"/>
      <c r="B32" s="186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2"/>
    </row>
    <row r="33" spans="1:17" ht="15.75" thickBot="1">
      <c r="A33" s="185" t="s">
        <v>302</v>
      </c>
      <c r="B33" s="184">
        <f>+B31+B21</f>
        <v>2775503</v>
      </c>
      <c r="D33" s="184">
        <f>+D31+D21</f>
        <v>3003915.75</v>
      </c>
      <c r="E33" s="183"/>
      <c r="F33" s="184">
        <f>+F31+F21</f>
        <v>2930161.7875000001</v>
      </c>
      <c r="G33" s="183"/>
      <c r="H33" s="184">
        <f>+H31+H21</f>
        <v>2870778.6268750001</v>
      </c>
      <c r="I33" s="183"/>
      <c r="J33" s="184">
        <f>+J31+J21</f>
        <v>2790756.0082187499</v>
      </c>
      <c r="K33" s="183"/>
      <c r="L33" s="184">
        <f>+L31+L21</f>
        <v>2583554.9586296873</v>
      </c>
      <c r="M33" s="183"/>
      <c r="N33" s="184">
        <f>+N31+N21</f>
        <v>2499685.8565611718</v>
      </c>
      <c r="O33" s="183"/>
      <c r="P33" s="184">
        <f>+P31+P21</f>
        <v>2519676.4993892303</v>
      </c>
      <c r="Q33" s="182"/>
    </row>
    <row r="34" spans="1:17"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2"/>
    </row>
    <row r="35" spans="1:17"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</sheetData>
  <pageMargins left="0.7" right="0.7" top="0.75" bottom="0.75" header="0.3" footer="0.3"/>
  <pageSetup paperSize="5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6"/>
  <sheetViews>
    <sheetView zoomScaleNormal="100" workbookViewId="0"/>
  </sheetViews>
  <sheetFormatPr defaultRowHeight="15"/>
  <cols>
    <col min="3" max="3" width="23.28515625" customWidth="1"/>
    <col min="4" max="4" width="14.85546875" hidden="1" customWidth="1"/>
    <col min="5" max="5" width="11.28515625" customWidth="1"/>
    <col min="6" max="6" width="10.7109375" style="202" customWidth="1"/>
    <col min="7" max="7" width="10.7109375" style="201" customWidth="1"/>
    <col min="8" max="8" width="10.7109375" style="200" customWidth="1"/>
    <col min="9" max="9" width="11.42578125" style="202" customWidth="1"/>
    <col min="10" max="10" width="11.42578125" style="201" customWidth="1"/>
    <col min="11" max="11" width="11.42578125" style="200" customWidth="1"/>
    <col min="12" max="12" width="11.28515625" style="202" customWidth="1"/>
    <col min="13" max="13" width="11.28515625" style="201" customWidth="1"/>
    <col min="14" max="14" width="11.28515625" style="200" customWidth="1"/>
    <col min="15" max="15" width="9.7109375" style="202" customWidth="1"/>
    <col min="16" max="16" width="9.7109375" style="201" customWidth="1"/>
    <col min="17" max="17" width="10.7109375" style="200" customWidth="1"/>
    <col min="18" max="18" width="9.7109375" style="202" customWidth="1"/>
    <col min="19" max="19" width="9.7109375" style="201" customWidth="1"/>
    <col min="20" max="20" width="11.28515625" style="200" customWidth="1"/>
    <col min="21" max="21" width="9.7109375" style="202" customWidth="1"/>
    <col min="22" max="22" width="9.7109375" style="201" customWidth="1"/>
    <col min="23" max="23" width="11.28515625" style="200" customWidth="1"/>
    <col min="24" max="24" width="11.42578125" hidden="1" customWidth="1"/>
    <col min="25" max="36" width="0" hidden="1" customWidth="1"/>
  </cols>
  <sheetData>
    <row r="1" spans="1:36" ht="60.75" thickBot="1">
      <c r="A1" s="140"/>
      <c r="B1" s="140"/>
      <c r="C1" s="140"/>
      <c r="D1" s="263" t="s">
        <v>325</v>
      </c>
      <c r="E1" s="262" t="s">
        <v>375</v>
      </c>
      <c r="F1" s="261" t="s">
        <v>106</v>
      </c>
      <c r="G1" s="260" t="s">
        <v>374</v>
      </c>
      <c r="H1" s="259" t="s">
        <v>373</v>
      </c>
      <c r="I1" s="261" t="s">
        <v>6</v>
      </c>
      <c r="J1" s="260" t="s">
        <v>372</v>
      </c>
      <c r="K1" s="259" t="s">
        <v>371</v>
      </c>
      <c r="L1" s="261" t="s">
        <v>7</v>
      </c>
      <c r="M1" s="260" t="s">
        <v>370</v>
      </c>
      <c r="N1" s="259" t="s">
        <v>369</v>
      </c>
      <c r="O1" s="261" t="s">
        <v>8</v>
      </c>
      <c r="P1" s="260" t="s">
        <v>368</v>
      </c>
      <c r="Q1" s="259" t="s">
        <v>367</v>
      </c>
      <c r="R1" s="261" t="s">
        <v>9</v>
      </c>
      <c r="S1" s="260" t="s">
        <v>366</v>
      </c>
      <c r="T1" s="259" t="s">
        <v>365</v>
      </c>
      <c r="U1" s="261" t="s">
        <v>10</v>
      </c>
      <c r="V1" s="260" t="s">
        <v>364</v>
      </c>
      <c r="W1" s="259" t="s">
        <v>363</v>
      </c>
      <c r="X1" s="258" t="s">
        <v>362</v>
      </c>
      <c r="Y1" s="257" t="s">
        <v>361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6">
      <c r="A2" s="219" t="s">
        <v>360</v>
      </c>
      <c r="B2" s="183"/>
      <c r="C2" s="183"/>
      <c r="D2" s="224"/>
      <c r="E2" s="183"/>
      <c r="F2" s="223"/>
      <c r="G2" s="222"/>
      <c r="H2" s="221"/>
      <c r="I2" s="223"/>
      <c r="J2" s="222"/>
      <c r="K2" s="221"/>
      <c r="L2" s="223"/>
      <c r="M2" s="222"/>
      <c r="N2" s="221"/>
      <c r="O2" s="223"/>
      <c r="P2" s="222"/>
      <c r="Q2" s="221"/>
      <c r="R2" s="223"/>
      <c r="S2" s="222"/>
      <c r="T2" s="221"/>
      <c r="U2" s="223"/>
      <c r="V2" s="222"/>
      <c r="W2" s="221"/>
      <c r="X2" s="183"/>
      <c r="Y2" s="183"/>
    </row>
    <row r="3" spans="1:36">
      <c r="A3" s="183" t="s">
        <v>359</v>
      </c>
      <c r="B3" s="183"/>
      <c r="C3" s="183"/>
      <c r="D3" s="224">
        <v>5608422</v>
      </c>
      <c r="E3" s="183">
        <v>5823108</v>
      </c>
      <c r="F3" s="223">
        <f>E3*(1+$X$3)</f>
        <v>5881339.0800000001</v>
      </c>
      <c r="G3" s="222">
        <v>992528</v>
      </c>
      <c r="H3" s="221">
        <f>F3+G3</f>
        <v>6873867.0800000001</v>
      </c>
      <c r="I3" s="223">
        <f>F3*(1+$X$3)</f>
        <v>5940152.4708000002</v>
      </c>
      <c r="J3" s="222">
        <v>2211300</v>
      </c>
      <c r="K3" s="221">
        <f>I3+J3</f>
        <v>8151452.4708000002</v>
      </c>
      <c r="L3" s="223">
        <f>I3*(1+$X$3)</f>
        <v>5999553.9955080003</v>
      </c>
      <c r="M3" s="222">
        <v>3851776</v>
      </c>
      <c r="N3" s="221">
        <f>L3+M3</f>
        <v>9851329.9955080003</v>
      </c>
      <c r="O3" s="223">
        <f>L3*(1+$X$3)</f>
        <v>6059549.5354630807</v>
      </c>
      <c r="P3" s="222">
        <v>5170654</v>
      </c>
      <c r="Q3" s="221">
        <f>O3+P3</f>
        <v>11230203.53546308</v>
      </c>
      <c r="R3" s="223">
        <f>O3*(1+$X$3)</f>
        <v>6120145.0308177117</v>
      </c>
      <c r="S3" s="222">
        <v>6443600</v>
      </c>
      <c r="T3" s="221">
        <f>R3+S3</f>
        <v>12563745.030817712</v>
      </c>
      <c r="U3" s="223">
        <f>R3*(1+$X$3)</f>
        <v>6181346.4811258893</v>
      </c>
      <c r="V3" s="222">
        <v>6732610</v>
      </c>
      <c r="W3" s="221">
        <f>U3+V3</f>
        <v>12913956.481125889</v>
      </c>
      <c r="X3" s="249">
        <v>0.01</v>
      </c>
      <c r="Y3" s="183" t="s">
        <v>358</v>
      </c>
      <c r="AA3" s="182"/>
      <c r="AB3" s="182"/>
      <c r="AC3" s="182"/>
    </row>
    <row r="4" spans="1:36">
      <c r="A4" s="183" t="s">
        <v>357</v>
      </c>
      <c r="B4" s="183"/>
      <c r="C4" s="183"/>
      <c r="D4" s="224">
        <v>1300000</v>
      </c>
      <c r="E4" s="183">
        <v>150000</v>
      </c>
      <c r="F4" s="223">
        <v>400000</v>
      </c>
      <c r="G4" s="244"/>
      <c r="H4" s="221">
        <f>F4+G4</f>
        <v>400000</v>
      </c>
      <c r="I4" s="223">
        <v>800000</v>
      </c>
      <c r="J4" s="256">
        <v>1100000</v>
      </c>
      <c r="K4" s="221">
        <f>I4+J4</f>
        <v>1900000</v>
      </c>
      <c r="L4" s="223">
        <v>800000</v>
      </c>
      <c r="M4" s="256">
        <v>650000</v>
      </c>
      <c r="N4" s="221">
        <f>L4+M4</f>
        <v>1450000</v>
      </c>
      <c r="O4" s="223">
        <v>950000</v>
      </c>
      <c r="P4" s="256">
        <v>250000</v>
      </c>
      <c r="Q4" s="221">
        <f>O4+P4</f>
        <v>1200000</v>
      </c>
      <c r="R4" s="223">
        <v>800000</v>
      </c>
      <c r="S4" s="222"/>
      <c r="T4" s="221">
        <f>R4+S4</f>
        <v>800000</v>
      </c>
      <c r="U4" s="223">
        <v>650000</v>
      </c>
      <c r="V4" s="222"/>
      <c r="W4" s="221">
        <f>U4+V4</f>
        <v>650000</v>
      </c>
      <c r="X4" s="249">
        <v>0</v>
      </c>
      <c r="Y4" s="183" t="s">
        <v>356</v>
      </c>
      <c r="AA4" s="182"/>
      <c r="AB4" s="182"/>
      <c r="AC4" s="182"/>
    </row>
    <row r="5" spans="1:36">
      <c r="A5" s="183" t="s">
        <v>355</v>
      </c>
      <c r="B5" s="183"/>
      <c r="C5" s="183"/>
      <c r="D5" s="224"/>
      <c r="E5" s="183">
        <v>577209</v>
      </c>
      <c r="F5" s="223">
        <v>200000</v>
      </c>
      <c r="G5" s="244"/>
      <c r="H5" s="221">
        <f>F5+G5</f>
        <v>200000</v>
      </c>
      <c r="I5" s="223">
        <v>200000</v>
      </c>
      <c r="J5" s="244"/>
      <c r="K5" s="221">
        <f>I5+J5</f>
        <v>200000</v>
      </c>
      <c r="L5" s="223">
        <v>200000</v>
      </c>
      <c r="M5" s="244"/>
      <c r="N5" s="221">
        <f>L5+M5</f>
        <v>200000</v>
      </c>
      <c r="O5" s="223">
        <v>200000</v>
      </c>
      <c r="P5" s="244"/>
      <c r="Q5" s="221">
        <f>O5+P5</f>
        <v>200000</v>
      </c>
      <c r="R5" s="223">
        <v>200000</v>
      </c>
      <c r="S5" s="222"/>
      <c r="T5" s="221">
        <f>R5+S5</f>
        <v>200000</v>
      </c>
      <c r="U5" s="223">
        <v>200000</v>
      </c>
      <c r="V5" s="222"/>
      <c r="W5" s="221">
        <f>U5+V5</f>
        <v>200000</v>
      </c>
      <c r="X5" s="249"/>
      <c r="Y5" s="183"/>
      <c r="AA5" s="182"/>
      <c r="AB5" s="182"/>
      <c r="AC5" s="182"/>
    </row>
    <row r="6" spans="1:36">
      <c r="A6" s="183" t="s">
        <v>354</v>
      </c>
      <c r="B6" s="183"/>
      <c r="C6" s="183"/>
      <c r="D6" s="224">
        <v>585000</v>
      </c>
      <c r="E6" s="183">
        <v>510000</v>
      </c>
      <c r="F6" s="223">
        <f>E6*(1+$X$6)</f>
        <v>504900</v>
      </c>
      <c r="G6" s="222">
        <v>91800</v>
      </c>
      <c r="H6" s="221">
        <f>F6+G6</f>
        <v>596700</v>
      </c>
      <c r="I6" s="223">
        <f>F6*1.01</f>
        <v>509949</v>
      </c>
      <c r="J6" s="222">
        <v>202500</v>
      </c>
      <c r="K6" s="221">
        <f>I6+J6</f>
        <v>712449</v>
      </c>
      <c r="L6" s="223">
        <f>I6*1.01</f>
        <v>515048.49</v>
      </c>
      <c r="M6" s="222">
        <v>345600</v>
      </c>
      <c r="N6" s="221">
        <f>L6+M6</f>
        <v>860648.49</v>
      </c>
      <c r="O6" s="223">
        <f>L6*1.01</f>
        <v>520198.97489999997</v>
      </c>
      <c r="P6" s="222">
        <v>450900</v>
      </c>
      <c r="Q6" s="221">
        <f>O6+P6</f>
        <v>971098.97490000003</v>
      </c>
      <c r="R6" s="223">
        <f>O6*1.01</f>
        <v>525400.96464899997</v>
      </c>
      <c r="S6" s="222">
        <v>540000</v>
      </c>
      <c r="T6" s="221">
        <f>R6+S6</f>
        <v>1065400.964649</v>
      </c>
      <c r="U6" s="223">
        <f>R6*1.01</f>
        <v>530654.97429548996</v>
      </c>
      <c r="V6" s="222">
        <v>553500</v>
      </c>
      <c r="W6" s="221">
        <f>U6+V6</f>
        <v>1084154.97429549</v>
      </c>
      <c r="X6" s="249">
        <v>-0.01</v>
      </c>
      <c r="Y6" s="183" t="s">
        <v>353</v>
      </c>
    </row>
    <row r="7" spans="1:36" ht="15.75" thickBot="1">
      <c r="A7" s="183" t="s">
        <v>352</v>
      </c>
      <c r="B7" s="183"/>
      <c r="C7" s="183"/>
      <c r="D7" s="228">
        <v>250000</v>
      </c>
      <c r="E7" s="225">
        <v>290000</v>
      </c>
      <c r="F7" s="226">
        <v>237350</v>
      </c>
      <c r="G7" s="225">
        <v>39000</v>
      </c>
      <c r="H7" s="227">
        <f>F7+G7</f>
        <v>276350</v>
      </c>
      <c r="I7" s="226">
        <f>F7*1.01</f>
        <v>239723.5</v>
      </c>
      <c r="J7" s="225">
        <v>80000</v>
      </c>
      <c r="K7" s="227">
        <f>I7+J7</f>
        <v>319723.5</v>
      </c>
      <c r="L7" s="226">
        <f>I7*1.01</f>
        <v>242120.73500000002</v>
      </c>
      <c r="M7" s="225">
        <v>133000</v>
      </c>
      <c r="N7" s="227">
        <f>L7+M7</f>
        <v>375120.73499999999</v>
      </c>
      <c r="O7" s="226">
        <f>L7*1.01</f>
        <v>244541.94235000003</v>
      </c>
      <c r="P7" s="225">
        <v>172000</v>
      </c>
      <c r="Q7" s="227">
        <f>O7+P7</f>
        <v>416541.94235000003</v>
      </c>
      <c r="R7" s="226">
        <f>O7*1.01</f>
        <v>246987.36177350002</v>
      </c>
      <c r="S7" s="225">
        <v>205000</v>
      </c>
      <c r="T7" s="227">
        <f>R7+S7</f>
        <v>451987.36177349999</v>
      </c>
      <c r="U7" s="226">
        <f>R7*1.01</f>
        <v>249457.23539123501</v>
      </c>
      <c r="V7" s="225">
        <v>210000</v>
      </c>
      <c r="W7" s="227">
        <f>U7+V7</f>
        <v>459457.23539123498</v>
      </c>
      <c r="X7" s="255">
        <v>0.01</v>
      </c>
      <c r="Y7" s="183" t="s">
        <v>351</v>
      </c>
      <c r="AD7" s="254"/>
    </row>
    <row r="8" spans="1:36">
      <c r="A8" s="219" t="s">
        <v>72</v>
      </c>
      <c r="B8" s="183"/>
      <c r="C8" s="183"/>
      <c r="D8" s="224">
        <f t="shared" ref="D8:X8" si="0">SUM(D3:D7)</f>
        <v>7743422</v>
      </c>
      <c r="E8" s="183">
        <f t="shared" si="0"/>
        <v>7350317</v>
      </c>
      <c r="F8" s="223">
        <f t="shared" si="0"/>
        <v>7223589.0800000001</v>
      </c>
      <c r="G8" s="222">
        <f t="shared" si="0"/>
        <v>1123328</v>
      </c>
      <c r="H8" s="221">
        <f t="shared" si="0"/>
        <v>8346917.0800000001</v>
      </c>
      <c r="I8" s="223">
        <f t="shared" si="0"/>
        <v>7689824.9708000002</v>
      </c>
      <c r="J8" s="222">
        <f t="shared" si="0"/>
        <v>3593800</v>
      </c>
      <c r="K8" s="221">
        <f t="shared" si="0"/>
        <v>11283624.970800001</v>
      </c>
      <c r="L8" s="223">
        <f t="shared" si="0"/>
        <v>7756723.2205080008</v>
      </c>
      <c r="M8" s="222">
        <f t="shared" si="0"/>
        <v>4980376</v>
      </c>
      <c r="N8" s="221">
        <f t="shared" si="0"/>
        <v>12737099.220508</v>
      </c>
      <c r="O8" s="223">
        <f t="shared" si="0"/>
        <v>7974290.4527130807</v>
      </c>
      <c r="P8" s="222">
        <f t="shared" si="0"/>
        <v>6043554</v>
      </c>
      <c r="Q8" s="221">
        <f t="shared" si="0"/>
        <v>14017844.45271308</v>
      </c>
      <c r="R8" s="223">
        <f t="shared" si="0"/>
        <v>7892533.3572402121</v>
      </c>
      <c r="S8" s="222">
        <f t="shared" si="0"/>
        <v>7188600</v>
      </c>
      <c r="T8" s="221">
        <f t="shared" si="0"/>
        <v>15081133.357240211</v>
      </c>
      <c r="U8" s="223">
        <f t="shared" si="0"/>
        <v>7811458.6908126138</v>
      </c>
      <c r="V8" s="222">
        <f t="shared" si="0"/>
        <v>7496110</v>
      </c>
      <c r="W8" s="221">
        <f t="shared" si="0"/>
        <v>15307568.690812614</v>
      </c>
      <c r="X8" s="249">
        <f t="shared" si="0"/>
        <v>0.01</v>
      </c>
      <c r="Y8" s="183" t="s">
        <v>350</v>
      </c>
    </row>
    <row r="9" spans="1:36">
      <c r="A9" s="183"/>
      <c r="B9" s="183"/>
      <c r="C9" s="183"/>
      <c r="D9" s="224"/>
      <c r="E9" s="183"/>
      <c r="F9" s="223"/>
      <c r="G9" s="222"/>
      <c r="H9" s="221"/>
      <c r="I9" s="223"/>
      <c r="J9" s="222"/>
      <c r="K9" s="221"/>
      <c r="L9" s="223"/>
      <c r="M9" s="222"/>
      <c r="N9" s="221"/>
      <c r="O9" s="223"/>
      <c r="P9" s="222"/>
      <c r="Q9" s="221"/>
      <c r="R9" s="223"/>
      <c r="S9" s="222"/>
      <c r="T9" s="221"/>
      <c r="U9" s="223"/>
      <c r="V9" s="222"/>
      <c r="W9" s="221"/>
      <c r="X9" s="249"/>
      <c r="Y9" s="183"/>
    </row>
    <row r="10" spans="1:36">
      <c r="A10" s="219" t="s">
        <v>349</v>
      </c>
      <c r="B10" s="183"/>
      <c r="C10" s="183"/>
      <c r="D10" s="224"/>
      <c r="E10" s="183"/>
      <c r="F10" s="223"/>
      <c r="G10" s="222"/>
      <c r="H10" s="221"/>
      <c r="I10" s="223"/>
      <c r="J10" s="222"/>
      <c r="K10" s="221"/>
      <c r="L10" s="223"/>
      <c r="M10" s="222"/>
      <c r="N10" s="221"/>
      <c r="O10" s="223"/>
      <c r="P10" s="222"/>
      <c r="Q10" s="221"/>
      <c r="R10" s="223"/>
      <c r="S10" s="222"/>
      <c r="T10" s="221"/>
      <c r="U10" s="223"/>
      <c r="V10" s="222"/>
      <c r="W10" s="221"/>
      <c r="X10" s="249"/>
      <c r="Y10" s="246"/>
      <c r="Z10" t="s">
        <v>336</v>
      </c>
    </row>
    <row r="11" spans="1:36">
      <c r="A11" s="183" t="s">
        <v>348</v>
      </c>
      <c r="B11" s="183"/>
      <c r="C11" s="183"/>
      <c r="D11" s="224">
        <v>5487192</v>
      </c>
      <c r="E11" s="183">
        <v>5417875</v>
      </c>
      <c r="F11" s="223">
        <f>E11*1.05</f>
        <v>5688768.75</v>
      </c>
      <c r="G11" s="222">
        <v>419722</v>
      </c>
      <c r="H11" s="221">
        <f t="shared" ref="H11:H17" si="1">F11+G11</f>
        <v>6108490.75</v>
      </c>
      <c r="I11" s="223">
        <f>F11*1.017</f>
        <v>5785477.8187499996</v>
      </c>
      <c r="J11" s="222">
        <v>1400754</v>
      </c>
      <c r="K11" s="221">
        <f t="shared" ref="K11:K17" si="2">I11+J11</f>
        <v>7186231.8187499996</v>
      </c>
      <c r="L11" s="223">
        <f>I11*1.017</f>
        <v>5883830.9416687489</v>
      </c>
      <c r="M11" s="222">
        <v>2390904</v>
      </c>
      <c r="N11" s="221">
        <f t="shared" ref="N11:N17" si="3">L11+M11</f>
        <v>8274734.9416687489</v>
      </c>
      <c r="O11" s="223">
        <f>((L11*0.5)*1.015)+((L11*0.5)*1.05)</f>
        <v>6075055.4472729824</v>
      </c>
      <c r="P11" s="222">
        <v>3223872</v>
      </c>
      <c r="Q11" s="221">
        <f t="shared" ref="Q11:Q17" si="4">O11+P11</f>
        <v>9298927.4472729824</v>
      </c>
      <c r="R11" s="223">
        <f>((O11*0.5)*1.015)+((O11*0.5)*1.05)</f>
        <v>6272494.7493093545</v>
      </c>
      <c r="S11" s="222">
        <v>3917614</v>
      </c>
      <c r="T11" s="221">
        <f t="shared" ref="T11:T17" si="5">R11+S11</f>
        <v>10190108.749309354</v>
      </c>
      <c r="U11" s="223">
        <f>(((R11*0.5)*1.015)+((R11*0.5)*1.05))-100000</f>
        <v>6376350.8286619084</v>
      </c>
      <c r="V11" s="222">
        <v>4003789</v>
      </c>
      <c r="W11" s="221">
        <f t="shared" ref="W11:W17" si="6">U11+V11</f>
        <v>10380139.828661907</v>
      </c>
      <c r="X11" s="253"/>
      <c r="Y11" s="183" t="s">
        <v>347</v>
      </c>
      <c r="Z11" s="183"/>
    </row>
    <row r="12" spans="1:36">
      <c r="A12" s="183" t="s">
        <v>346</v>
      </c>
      <c r="B12" s="183"/>
      <c r="C12" s="183"/>
      <c r="D12" s="224">
        <v>15000</v>
      </c>
      <c r="E12" s="183">
        <v>90000</v>
      </c>
      <c r="F12" s="223">
        <v>75000</v>
      </c>
      <c r="G12" s="222">
        <v>20000</v>
      </c>
      <c r="H12" s="221">
        <f t="shared" si="1"/>
        <v>95000</v>
      </c>
      <c r="I12" s="223">
        <v>75000</v>
      </c>
      <c r="J12" s="222">
        <v>135000</v>
      </c>
      <c r="K12" s="221">
        <f t="shared" si="2"/>
        <v>210000</v>
      </c>
      <c r="L12" s="223">
        <v>75000</v>
      </c>
      <c r="M12" s="222">
        <v>155000</v>
      </c>
      <c r="N12" s="221">
        <f t="shared" si="3"/>
        <v>230000</v>
      </c>
      <c r="O12" s="223">
        <v>75000</v>
      </c>
      <c r="P12" s="222">
        <v>175000</v>
      </c>
      <c r="Q12" s="221">
        <f t="shared" si="4"/>
        <v>250000</v>
      </c>
      <c r="R12" s="223">
        <v>75000</v>
      </c>
      <c r="S12" s="222">
        <v>195000</v>
      </c>
      <c r="T12" s="221">
        <f t="shared" si="5"/>
        <v>270000</v>
      </c>
      <c r="U12" s="223">
        <v>75000</v>
      </c>
      <c r="V12" s="222">
        <v>215000</v>
      </c>
      <c r="W12" s="221">
        <f t="shared" si="6"/>
        <v>290000</v>
      </c>
      <c r="X12" s="249"/>
      <c r="Y12" s="183" t="s">
        <v>345</v>
      </c>
      <c r="Z12" s="183"/>
    </row>
    <row r="13" spans="1:36">
      <c r="A13" s="183" t="s">
        <v>344</v>
      </c>
      <c r="B13" s="183"/>
      <c r="C13" s="183"/>
      <c r="D13" s="224">
        <v>1385250</v>
      </c>
      <c r="E13" s="183">
        <f>1448835-25000</f>
        <v>1423835</v>
      </c>
      <c r="F13" s="223">
        <f>(E13*1.005)-25000</f>
        <v>1405954.1749999998</v>
      </c>
      <c r="G13" s="222">
        <v>147000</v>
      </c>
      <c r="H13" s="221">
        <f t="shared" si="1"/>
        <v>1552954.1749999998</v>
      </c>
      <c r="I13" s="223">
        <f>F13*(1+$X$13)</f>
        <v>1412983.9458749997</v>
      </c>
      <c r="J13" s="222">
        <v>645000</v>
      </c>
      <c r="K13" s="221">
        <f t="shared" si="2"/>
        <v>2057983.9458749997</v>
      </c>
      <c r="L13" s="223">
        <f>I13*(1+$X$13)</f>
        <v>1420048.8656043746</v>
      </c>
      <c r="M13" s="222">
        <v>974000</v>
      </c>
      <c r="N13" s="221">
        <f t="shared" si="3"/>
        <v>2394048.8656043746</v>
      </c>
      <c r="O13" s="223">
        <f>L13*(1+$X$13)</f>
        <v>1427149.1099323963</v>
      </c>
      <c r="P13" s="222">
        <v>1155500</v>
      </c>
      <c r="Q13" s="221">
        <f t="shared" si="4"/>
        <v>2582649.1099323966</v>
      </c>
      <c r="R13" s="223">
        <f>O13*(1+$X$13)</f>
        <v>1434284.8554820581</v>
      </c>
      <c r="S13" s="222">
        <v>1316450</v>
      </c>
      <c r="T13" s="221">
        <f t="shared" si="5"/>
        <v>2750734.8554820581</v>
      </c>
      <c r="U13" s="223">
        <f>R13*(1+$X$13)</f>
        <v>1441456.2797594683</v>
      </c>
      <c r="V13" s="222">
        <v>1396095</v>
      </c>
      <c r="W13" s="221">
        <f t="shared" si="6"/>
        <v>2837551.2797594685</v>
      </c>
      <c r="X13" s="252">
        <v>5.0000000000000001E-3</v>
      </c>
      <c r="Y13" s="182" t="s">
        <v>343</v>
      </c>
      <c r="Z13" s="183"/>
    </row>
    <row r="14" spans="1:36">
      <c r="A14" s="183" t="s">
        <v>181</v>
      </c>
      <c r="B14" s="183"/>
      <c r="C14" s="183"/>
      <c r="D14" s="224"/>
      <c r="E14" s="183"/>
      <c r="F14" s="223"/>
      <c r="G14" s="222"/>
      <c r="H14" s="221">
        <f t="shared" si="1"/>
        <v>0</v>
      </c>
      <c r="I14" s="223"/>
      <c r="J14" s="222">
        <v>100000</v>
      </c>
      <c r="K14" s="221">
        <f t="shared" si="2"/>
        <v>100000</v>
      </c>
      <c r="L14" s="223"/>
      <c r="M14" s="222">
        <v>100000</v>
      </c>
      <c r="N14" s="221">
        <f t="shared" si="3"/>
        <v>100000</v>
      </c>
      <c r="O14" s="223"/>
      <c r="P14" s="222">
        <v>100000</v>
      </c>
      <c r="Q14" s="221">
        <f t="shared" si="4"/>
        <v>100000</v>
      </c>
      <c r="R14" s="223"/>
      <c r="S14" s="222">
        <v>100000</v>
      </c>
      <c r="T14" s="221">
        <f t="shared" si="5"/>
        <v>100000</v>
      </c>
      <c r="U14" s="223"/>
      <c r="V14" s="222">
        <v>100000</v>
      </c>
      <c r="W14" s="221">
        <f t="shared" si="6"/>
        <v>100000</v>
      </c>
      <c r="X14" s="252"/>
      <c r="Y14" s="182"/>
      <c r="Z14" s="183"/>
    </row>
    <row r="15" spans="1:36">
      <c r="A15" s="183" t="s">
        <v>342</v>
      </c>
      <c r="B15" s="183"/>
      <c r="C15" s="183"/>
      <c r="D15" s="224"/>
      <c r="E15" s="183"/>
      <c r="F15" s="223"/>
      <c r="G15" s="222"/>
      <c r="H15" s="221">
        <f t="shared" si="1"/>
        <v>0</v>
      </c>
      <c r="I15" s="223"/>
      <c r="J15" s="222">
        <v>700000</v>
      </c>
      <c r="K15" s="221">
        <f t="shared" si="2"/>
        <v>700000</v>
      </c>
      <c r="L15" s="223"/>
      <c r="M15" s="222">
        <v>707000</v>
      </c>
      <c r="N15" s="221">
        <f t="shared" si="3"/>
        <v>707000</v>
      </c>
      <c r="O15" s="223"/>
      <c r="P15" s="222">
        <v>714070</v>
      </c>
      <c r="Q15" s="221">
        <f t="shared" si="4"/>
        <v>714070</v>
      </c>
      <c r="R15" s="223"/>
      <c r="S15" s="222">
        <v>721211</v>
      </c>
      <c r="T15" s="221">
        <f t="shared" si="5"/>
        <v>721211</v>
      </c>
      <c r="U15" s="223"/>
      <c r="V15" s="222">
        <v>728423</v>
      </c>
      <c r="W15" s="221">
        <f t="shared" si="6"/>
        <v>728423</v>
      </c>
      <c r="X15" s="252"/>
      <c r="Y15" s="182"/>
      <c r="Z15" s="183"/>
    </row>
    <row r="16" spans="1:36">
      <c r="A16" s="183" t="s">
        <v>341</v>
      </c>
      <c r="B16" s="183"/>
      <c r="C16" s="183"/>
      <c r="D16" s="224">
        <v>141130</v>
      </c>
      <c r="E16" s="183">
        <v>291514</v>
      </c>
      <c r="F16" s="223">
        <v>290934</v>
      </c>
      <c r="G16" s="222"/>
      <c r="H16" s="221">
        <f t="shared" si="1"/>
        <v>290934</v>
      </c>
      <c r="I16" s="223">
        <v>290935</v>
      </c>
      <c r="J16" s="222">
        <v>350250</v>
      </c>
      <c r="K16" s="221">
        <f t="shared" si="2"/>
        <v>641185</v>
      </c>
      <c r="L16" s="223">
        <v>290935</v>
      </c>
      <c r="M16" s="222">
        <v>350250</v>
      </c>
      <c r="N16" s="221">
        <f t="shared" si="3"/>
        <v>641185</v>
      </c>
      <c r="O16" s="223">
        <v>290935</v>
      </c>
      <c r="P16" s="222">
        <v>350250</v>
      </c>
      <c r="Q16" s="221">
        <f t="shared" si="4"/>
        <v>641185</v>
      </c>
      <c r="R16" s="223">
        <v>290935</v>
      </c>
      <c r="S16" s="222">
        <v>350250</v>
      </c>
      <c r="T16" s="221">
        <f t="shared" si="5"/>
        <v>641185</v>
      </c>
      <c r="U16" s="223">
        <v>290935</v>
      </c>
      <c r="V16" s="222">
        <v>350250</v>
      </c>
      <c r="W16" s="221">
        <f t="shared" si="6"/>
        <v>641185</v>
      </c>
      <c r="X16" s="251" t="s">
        <v>338</v>
      </c>
      <c r="Y16" s="182" t="s">
        <v>340</v>
      </c>
      <c r="Z16" s="183"/>
    </row>
    <row r="17" spans="1:30" ht="15.75" thickBot="1">
      <c r="A17" s="183" t="s">
        <v>339</v>
      </c>
      <c r="B17" s="183"/>
      <c r="C17" s="183"/>
      <c r="D17" s="228">
        <v>507552</v>
      </c>
      <c r="E17" s="225">
        <v>90000</v>
      </c>
      <c r="F17" s="226">
        <v>90000</v>
      </c>
      <c r="G17" s="225">
        <v>184522</v>
      </c>
      <c r="H17" s="227">
        <f t="shared" si="1"/>
        <v>274522</v>
      </c>
      <c r="I17" s="226">
        <v>90000</v>
      </c>
      <c r="J17" s="225">
        <v>210593</v>
      </c>
      <c r="K17" s="227">
        <f t="shared" si="2"/>
        <v>300593</v>
      </c>
      <c r="L17" s="226">
        <v>90000</v>
      </c>
      <c r="M17" s="225">
        <v>231700</v>
      </c>
      <c r="N17" s="227">
        <f t="shared" si="3"/>
        <v>321700</v>
      </c>
      <c r="O17" s="226">
        <v>90000</v>
      </c>
      <c r="P17" s="225">
        <v>251318</v>
      </c>
      <c r="Q17" s="227">
        <f t="shared" si="4"/>
        <v>341318</v>
      </c>
      <c r="R17" s="226">
        <v>90000</v>
      </c>
      <c r="S17" s="225">
        <v>255462</v>
      </c>
      <c r="T17" s="227">
        <f t="shared" si="5"/>
        <v>345462</v>
      </c>
      <c r="U17" s="226">
        <v>90000</v>
      </c>
      <c r="V17" s="225">
        <v>224606</v>
      </c>
      <c r="W17" s="227">
        <f t="shared" si="6"/>
        <v>314606</v>
      </c>
      <c r="X17" s="250" t="s">
        <v>338</v>
      </c>
      <c r="Y17" s="183" t="s">
        <v>337</v>
      </c>
    </row>
    <row r="18" spans="1:30">
      <c r="A18" s="219" t="s">
        <v>95</v>
      </c>
      <c r="B18" s="183"/>
      <c r="C18" s="183"/>
      <c r="D18" s="224">
        <f t="shared" ref="D18:W18" si="7">SUM(D11:D17)</f>
        <v>7536124</v>
      </c>
      <c r="E18" s="183">
        <f t="shared" si="7"/>
        <v>7313224</v>
      </c>
      <c r="F18" s="223">
        <f t="shared" si="7"/>
        <v>7550656.9249999998</v>
      </c>
      <c r="G18" s="222">
        <f t="shared" si="7"/>
        <v>771244</v>
      </c>
      <c r="H18" s="221">
        <f t="shared" si="7"/>
        <v>8321900.9249999998</v>
      </c>
      <c r="I18" s="223">
        <f t="shared" si="7"/>
        <v>7654396.7646249998</v>
      </c>
      <c r="J18" s="222">
        <f t="shared" si="7"/>
        <v>3541597</v>
      </c>
      <c r="K18" s="221">
        <f t="shared" si="7"/>
        <v>11195993.764625</v>
      </c>
      <c r="L18" s="223">
        <f t="shared" si="7"/>
        <v>7759814.8072731234</v>
      </c>
      <c r="M18" s="222">
        <f t="shared" si="7"/>
        <v>4908854</v>
      </c>
      <c r="N18" s="221">
        <f t="shared" si="7"/>
        <v>12668668.807273123</v>
      </c>
      <c r="O18" s="223">
        <f t="shared" si="7"/>
        <v>7958139.557205379</v>
      </c>
      <c r="P18" s="222">
        <f t="shared" si="7"/>
        <v>5970010</v>
      </c>
      <c r="Q18" s="221">
        <f t="shared" si="7"/>
        <v>13928149.557205379</v>
      </c>
      <c r="R18" s="223">
        <f t="shared" si="7"/>
        <v>8162714.6047914121</v>
      </c>
      <c r="S18" s="222">
        <f t="shared" si="7"/>
        <v>6855987</v>
      </c>
      <c r="T18" s="221">
        <f t="shared" si="7"/>
        <v>15018701.604791412</v>
      </c>
      <c r="U18" s="223">
        <f t="shared" si="7"/>
        <v>8273742.1084213769</v>
      </c>
      <c r="V18" s="222">
        <f t="shared" si="7"/>
        <v>7018163</v>
      </c>
      <c r="W18" s="221">
        <f t="shared" si="7"/>
        <v>15291905.108421376</v>
      </c>
      <c r="X18" s="249"/>
      <c r="Y18" s="183" t="s">
        <v>336</v>
      </c>
    </row>
    <row r="19" spans="1:30">
      <c r="A19" s="183"/>
      <c r="B19" s="183"/>
      <c r="C19" s="183"/>
      <c r="D19" s="224"/>
      <c r="E19" s="183"/>
      <c r="F19" s="223"/>
      <c r="G19" s="222"/>
      <c r="H19" s="221"/>
      <c r="I19" s="223"/>
      <c r="J19" s="222"/>
      <c r="K19" s="221"/>
      <c r="L19" s="223"/>
      <c r="M19" s="222"/>
      <c r="N19" s="221"/>
      <c r="O19" s="223"/>
      <c r="P19" s="222"/>
      <c r="Q19" s="221"/>
      <c r="R19" s="223"/>
      <c r="S19" s="222"/>
      <c r="T19" s="221"/>
      <c r="U19" s="223"/>
      <c r="V19" s="222"/>
      <c r="W19" s="221"/>
      <c r="X19" s="183"/>
      <c r="Y19" s="183"/>
    </row>
    <row r="20" spans="1:30">
      <c r="A20" s="219" t="s">
        <v>335</v>
      </c>
      <c r="B20" s="183"/>
      <c r="C20" s="183"/>
      <c r="D20" s="224">
        <f t="shared" ref="D20:W20" si="8">D8-D18</f>
        <v>207298</v>
      </c>
      <c r="E20" s="183">
        <f t="shared" si="8"/>
        <v>37093</v>
      </c>
      <c r="F20" s="223">
        <f t="shared" si="8"/>
        <v>-327067.84499999974</v>
      </c>
      <c r="G20" s="222">
        <f t="shared" si="8"/>
        <v>352084</v>
      </c>
      <c r="H20" s="221">
        <f t="shared" si="8"/>
        <v>25016.155000000261</v>
      </c>
      <c r="I20" s="223">
        <f t="shared" si="8"/>
        <v>35428.206175000407</v>
      </c>
      <c r="J20" s="222">
        <f t="shared" si="8"/>
        <v>52203</v>
      </c>
      <c r="K20" s="221">
        <f t="shared" si="8"/>
        <v>87631.206175001338</v>
      </c>
      <c r="L20" s="223">
        <f t="shared" si="8"/>
        <v>-3091.5867651225999</v>
      </c>
      <c r="M20" s="222">
        <f t="shared" si="8"/>
        <v>71522</v>
      </c>
      <c r="N20" s="221">
        <f t="shared" si="8"/>
        <v>68430.413234876469</v>
      </c>
      <c r="O20" s="223">
        <f t="shared" si="8"/>
        <v>16150.895507701673</v>
      </c>
      <c r="P20" s="222">
        <f t="shared" si="8"/>
        <v>73544</v>
      </c>
      <c r="Q20" s="221">
        <f t="shared" si="8"/>
        <v>89694.895507700741</v>
      </c>
      <c r="R20" s="223">
        <f t="shared" si="8"/>
        <v>-270181.24755119998</v>
      </c>
      <c r="S20" s="222">
        <f t="shared" si="8"/>
        <v>332613</v>
      </c>
      <c r="T20" s="221">
        <f t="shared" si="8"/>
        <v>62431.752448799089</v>
      </c>
      <c r="U20" s="223">
        <f t="shared" si="8"/>
        <v>-462283.41760876309</v>
      </c>
      <c r="V20" s="222">
        <f t="shared" si="8"/>
        <v>477947</v>
      </c>
      <c r="W20" s="221">
        <f t="shared" si="8"/>
        <v>15663.58239123784</v>
      </c>
      <c r="X20" s="183"/>
      <c r="Y20" s="183"/>
    </row>
    <row r="21" spans="1:30">
      <c r="A21" s="219"/>
      <c r="B21" s="183"/>
      <c r="C21" s="183"/>
      <c r="D21" s="224"/>
      <c r="E21" s="183"/>
      <c r="F21" s="223"/>
      <c r="G21" s="222"/>
      <c r="H21" s="221"/>
      <c r="I21" s="223"/>
      <c r="J21" s="222"/>
      <c r="K21" s="221"/>
      <c r="L21" s="223"/>
      <c r="M21" s="222"/>
      <c r="N21" s="221"/>
      <c r="O21" s="223"/>
      <c r="P21" s="222"/>
      <c r="Q21" s="221"/>
      <c r="R21" s="223"/>
      <c r="S21" s="222"/>
      <c r="T21" s="221"/>
      <c r="U21" s="223"/>
      <c r="V21" s="222"/>
      <c r="W21" s="221"/>
      <c r="X21" s="183"/>
      <c r="Y21" s="183"/>
    </row>
    <row r="22" spans="1:30">
      <c r="A22" s="248"/>
      <c r="B22" s="246"/>
      <c r="C22" s="246"/>
      <c r="D22" s="247"/>
      <c r="E22" s="246"/>
      <c r="F22" s="245"/>
      <c r="G22" s="244"/>
      <c r="H22" s="243"/>
      <c r="I22" s="245"/>
      <c r="J22" s="244"/>
      <c r="K22" s="243"/>
      <c r="L22" s="245"/>
      <c r="M22" s="244"/>
      <c r="N22" s="243"/>
      <c r="O22" s="223"/>
      <c r="P22" s="222"/>
      <c r="Q22" s="243"/>
      <c r="R22" s="223"/>
      <c r="S22" s="222"/>
      <c r="T22" s="243"/>
      <c r="U22" s="223"/>
      <c r="V22" s="222"/>
      <c r="W22" s="243"/>
      <c r="X22" s="183"/>
      <c r="Y22" s="183"/>
    </row>
    <row r="23" spans="1:30">
      <c r="D23" s="242"/>
      <c r="O23" s="223"/>
      <c r="P23" s="222"/>
      <c r="R23" s="223"/>
      <c r="S23" s="222"/>
      <c r="U23" s="223"/>
      <c r="V23" s="222"/>
      <c r="X23" s="183"/>
      <c r="Y23" s="183"/>
    </row>
    <row r="24" spans="1:30">
      <c r="A24" s="219" t="s">
        <v>328</v>
      </c>
      <c r="B24" s="183"/>
      <c r="C24" s="183"/>
      <c r="D24" s="224"/>
      <c r="E24" s="183"/>
      <c r="F24" s="223"/>
      <c r="G24" s="222"/>
      <c r="H24" s="221"/>
      <c r="I24" s="223"/>
      <c r="J24" s="222"/>
      <c r="K24" s="221"/>
      <c r="L24" s="223"/>
      <c r="M24" s="222"/>
      <c r="N24" s="221"/>
      <c r="O24" s="223"/>
      <c r="P24" s="222"/>
      <c r="Q24" s="221"/>
      <c r="R24" s="223"/>
      <c r="S24" s="222"/>
      <c r="T24" s="221"/>
      <c r="U24" s="223"/>
      <c r="V24" s="222"/>
      <c r="W24" s="221"/>
      <c r="X24" s="183"/>
      <c r="Y24" s="183"/>
    </row>
    <row r="25" spans="1:30">
      <c r="A25" s="183" t="s">
        <v>334</v>
      </c>
      <c r="D25" s="224">
        <f t="shared" ref="D25:W25" si="9">D20</f>
        <v>207298</v>
      </c>
      <c r="E25" s="183">
        <f t="shared" si="9"/>
        <v>37093</v>
      </c>
      <c r="F25" s="223">
        <f t="shared" si="9"/>
        <v>-327067.84499999974</v>
      </c>
      <c r="G25" s="222">
        <f t="shared" si="9"/>
        <v>352084</v>
      </c>
      <c r="H25" s="221">
        <f t="shared" si="9"/>
        <v>25016.155000000261</v>
      </c>
      <c r="I25" s="223">
        <f t="shared" si="9"/>
        <v>35428.206175000407</v>
      </c>
      <c r="J25" s="222">
        <f t="shared" si="9"/>
        <v>52203</v>
      </c>
      <c r="K25" s="221">
        <f t="shared" si="9"/>
        <v>87631.206175001338</v>
      </c>
      <c r="L25" s="223">
        <f t="shared" si="9"/>
        <v>-3091.5867651225999</v>
      </c>
      <c r="M25" s="222">
        <f t="shared" si="9"/>
        <v>71522</v>
      </c>
      <c r="N25" s="221">
        <f t="shared" si="9"/>
        <v>68430.413234876469</v>
      </c>
      <c r="O25" s="223">
        <f t="shared" si="9"/>
        <v>16150.895507701673</v>
      </c>
      <c r="P25" s="222">
        <f t="shared" si="9"/>
        <v>73544</v>
      </c>
      <c r="Q25" s="221">
        <f t="shared" si="9"/>
        <v>89694.895507700741</v>
      </c>
      <c r="R25" s="223">
        <f t="shared" si="9"/>
        <v>-270181.24755119998</v>
      </c>
      <c r="S25" s="222">
        <f t="shared" si="9"/>
        <v>332613</v>
      </c>
      <c r="T25" s="221">
        <f t="shared" si="9"/>
        <v>62431.752448799089</v>
      </c>
      <c r="U25" s="223">
        <f t="shared" si="9"/>
        <v>-462283.41760876309</v>
      </c>
      <c r="V25" s="222">
        <f t="shared" si="9"/>
        <v>477947</v>
      </c>
      <c r="W25" s="221">
        <f t="shared" si="9"/>
        <v>15663.58239123784</v>
      </c>
    </row>
    <row r="26" spans="1:30">
      <c r="A26" s="183" t="s">
        <v>333</v>
      </c>
      <c r="D26" s="224"/>
      <c r="E26" s="183">
        <f>E16</f>
        <v>291514</v>
      </c>
      <c r="F26" s="223">
        <v>0</v>
      </c>
      <c r="G26" s="222"/>
      <c r="H26" s="221">
        <f>H16</f>
        <v>290934</v>
      </c>
      <c r="I26" s="223">
        <v>0</v>
      </c>
      <c r="J26" s="222">
        <v>0</v>
      </c>
      <c r="K26" s="221">
        <f>K16</f>
        <v>641185</v>
      </c>
      <c r="L26" s="223">
        <v>0</v>
      </c>
      <c r="M26" s="222">
        <v>0</v>
      </c>
      <c r="N26" s="221">
        <f>N16</f>
        <v>641185</v>
      </c>
      <c r="O26" s="223">
        <v>0</v>
      </c>
      <c r="P26" s="222">
        <v>0</v>
      </c>
      <c r="Q26" s="221">
        <f>Q16</f>
        <v>641185</v>
      </c>
      <c r="R26" s="223">
        <v>0</v>
      </c>
      <c r="S26" s="222">
        <v>0</v>
      </c>
      <c r="T26" s="221">
        <f>T16</f>
        <v>641185</v>
      </c>
      <c r="U26" s="223"/>
      <c r="V26" s="222">
        <v>0</v>
      </c>
      <c r="W26" s="221">
        <f>W16</f>
        <v>641185</v>
      </c>
    </row>
    <row r="27" spans="1:30">
      <c r="A27" s="183" t="s">
        <v>332</v>
      </c>
      <c r="D27" s="224"/>
      <c r="E27" s="183">
        <f>-E4</f>
        <v>-150000</v>
      </c>
      <c r="F27" s="223"/>
      <c r="G27" s="222"/>
      <c r="H27" s="221">
        <f>-H4</f>
        <v>-400000</v>
      </c>
      <c r="I27" s="223"/>
      <c r="J27" s="222"/>
      <c r="K27" s="221">
        <f>-I4</f>
        <v>-800000</v>
      </c>
      <c r="L27" s="223"/>
      <c r="M27" s="222"/>
      <c r="N27" s="221">
        <f>-L4</f>
        <v>-800000</v>
      </c>
      <c r="O27" s="223"/>
      <c r="P27" s="222"/>
      <c r="Q27" s="221">
        <f>-O4</f>
        <v>-950000</v>
      </c>
      <c r="R27" s="223"/>
      <c r="S27" s="222"/>
      <c r="T27" s="221">
        <f>-R4</f>
        <v>-800000</v>
      </c>
      <c r="U27" s="223"/>
      <c r="V27" s="222"/>
      <c r="W27" s="221">
        <f>-U4</f>
        <v>-650000</v>
      </c>
    </row>
    <row r="28" spans="1:30" ht="15.75" thickBot="1">
      <c r="A28" s="183" t="s">
        <v>93</v>
      </c>
      <c r="B28" s="183"/>
      <c r="C28" s="183"/>
      <c r="D28" s="241">
        <f t="shared" ref="D28:W28" si="10">D17</f>
        <v>507552</v>
      </c>
      <c r="E28" s="225">
        <f t="shared" si="10"/>
        <v>90000</v>
      </c>
      <c r="F28" s="226">
        <f t="shared" si="10"/>
        <v>90000</v>
      </c>
      <c r="G28" s="225">
        <f t="shared" si="10"/>
        <v>184522</v>
      </c>
      <c r="H28" s="227">
        <f t="shared" si="10"/>
        <v>274522</v>
      </c>
      <c r="I28" s="226">
        <f t="shared" si="10"/>
        <v>90000</v>
      </c>
      <c r="J28" s="225">
        <f t="shared" si="10"/>
        <v>210593</v>
      </c>
      <c r="K28" s="227">
        <f t="shared" si="10"/>
        <v>300593</v>
      </c>
      <c r="L28" s="226">
        <f t="shared" si="10"/>
        <v>90000</v>
      </c>
      <c r="M28" s="225">
        <f t="shared" si="10"/>
        <v>231700</v>
      </c>
      <c r="N28" s="227">
        <f t="shared" si="10"/>
        <v>321700</v>
      </c>
      <c r="O28" s="226">
        <f t="shared" si="10"/>
        <v>90000</v>
      </c>
      <c r="P28" s="225">
        <f t="shared" si="10"/>
        <v>251318</v>
      </c>
      <c r="Q28" s="227">
        <f t="shared" si="10"/>
        <v>341318</v>
      </c>
      <c r="R28" s="226">
        <f t="shared" si="10"/>
        <v>90000</v>
      </c>
      <c r="S28" s="225">
        <f t="shared" si="10"/>
        <v>255462</v>
      </c>
      <c r="T28" s="227">
        <f t="shared" si="10"/>
        <v>345462</v>
      </c>
      <c r="U28" s="226">
        <f t="shared" si="10"/>
        <v>90000</v>
      </c>
      <c r="V28" s="225">
        <f t="shared" si="10"/>
        <v>224606</v>
      </c>
      <c r="W28" s="227">
        <f t="shared" si="10"/>
        <v>314606</v>
      </c>
      <c r="X28" s="183"/>
      <c r="Y28" s="183"/>
    </row>
    <row r="29" spans="1:30">
      <c r="A29" s="219" t="s">
        <v>331</v>
      </c>
      <c r="B29" s="183"/>
      <c r="C29" s="183"/>
      <c r="D29" s="183">
        <f t="shared" ref="D29:W29" si="11">SUM(D25:D28)</f>
        <v>714850</v>
      </c>
      <c r="E29" s="183">
        <f t="shared" si="11"/>
        <v>268607</v>
      </c>
      <c r="F29" s="223">
        <f t="shared" si="11"/>
        <v>-237067.84499999974</v>
      </c>
      <c r="G29" s="222">
        <f t="shared" si="11"/>
        <v>536606</v>
      </c>
      <c r="H29" s="221">
        <f t="shared" si="11"/>
        <v>190472.15500000026</v>
      </c>
      <c r="I29" s="223">
        <f t="shared" si="11"/>
        <v>125428.20617500041</v>
      </c>
      <c r="J29" s="222">
        <f t="shared" si="11"/>
        <v>262796</v>
      </c>
      <c r="K29" s="221">
        <f t="shared" si="11"/>
        <v>229409.20617500134</v>
      </c>
      <c r="L29" s="223">
        <f t="shared" si="11"/>
        <v>86908.4132348774</v>
      </c>
      <c r="M29" s="222">
        <f t="shared" si="11"/>
        <v>303222</v>
      </c>
      <c r="N29" s="221">
        <f t="shared" si="11"/>
        <v>231315.41323487647</v>
      </c>
      <c r="O29" s="223">
        <f t="shared" si="11"/>
        <v>106150.89550770167</v>
      </c>
      <c r="P29" s="222">
        <f t="shared" si="11"/>
        <v>324862</v>
      </c>
      <c r="Q29" s="221">
        <f t="shared" si="11"/>
        <v>122197.89550770074</v>
      </c>
      <c r="R29" s="223">
        <f t="shared" si="11"/>
        <v>-180181.24755119998</v>
      </c>
      <c r="S29" s="222">
        <f t="shared" si="11"/>
        <v>588075</v>
      </c>
      <c r="T29" s="221">
        <f t="shared" si="11"/>
        <v>249078.75244879909</v>
      </c>
      <c r="U29" s="223">
        <f t="shared" si="11"/>
        <v>-372283.41760876309</v>
      </c>
      <c r="V29" s="222">
        <f t="shared" si="11"/>
        <v>702553</v>
      </c>
      <c r="W29" s="221">
        <f t="shared" si="11"/>
        <v>321454.58239123784</v>
      </c>
      <c r="X29" s="183"/>
      <c r="Y29" s="183"/>
    </row>
    <row r="30" spans="1:30">
      <c r="A30" s="183" t="s">
        <v>330</v>
      </c>
      <c r="D30" s="240">
        <v>-298140</v>
      </c>
      <c r="E30" s="222"/>
      <c r="F30" s="223"/>
      <c r="G30" s="222"/>
      <c r="H30" s="221">
        <f>F30+G30</f>
        <v>0</v>
      </c>
      <c r="I30" s="223"/>
      <c r="J30" s="222"/>
      <c r="K30" s="221">
        <f>I30+J30</f>
        <v>0</v>
      </c>
      <c r="L30" s="223"/>
      <c r="M30" s="222"/>
      <c r="N30" s="221">
        <f>L30+M30</f>
        <v>0</v>
      </c>
      <c r="O30" s="223"/>
      <c r="P30" s="222"/>
      <c r="Q30" s="221">
        <f>O30+P30</f>
        <v>0</v>
      </c>
      <c r="R30" s="223"/>
      <c r="S30" s="222"/>
      <c r="T30" s="221">
        <f>R30+S30</f>
        <v>0</v>
      </c>
      <c r="U30" s="223"/>
      <c r="V30" s="222"/>
      <c r="W30" s="221">
        <f>U30+V30</f>
        <v>0</v>
      </c>
      <c r="X30" s="183"/>
      <c r="Y30" s="182"/>
      <c r="Z30" s="182"/>
      <c r="AA30" s="182"/>
      <c r="AB30" s="182"/>
      <c r="AC30" s="182"/>
      <c r="AD30" s="182"/>
    </row>
    <row r="31" spans="1:30" ht="15.75" thickBot="1">
      <c r="A31" s="183" t="s">
        <v>329</v>
      </c>
      <c r="B31" s="183"/>
      <c r="C31" s="183"/>
      <c r="D31" s="228">
        <v>-162500</v>
      </c>
      <c r="E31" s="225">
        <v>-40000</v>
      </c>
      <c r="F31" s="226">
        <v>-40000</v>
      </c>
      <c r="G31" s="225">
        <v>-1000000</v>
      </c>
      <c r="H31" s="227">
        <f>F31+G31</f>
        <v>-1040000</v>
      </c>
      <c r="I31" s="226">
        <v>-40000</v>
      </c>
      <c r="J31" s="225">
        <v>-185000</v>
      </c>
      <c r="K31" s="227">
        <f>I31+J31</f>
        <v>-225000</v>
      </c>
      <c r="L31" s="226">
        <v>-40000</v>
      </c>
      <c r="M31" s="225">
        <v>-140000</v>
      </c>
      <c r="N31" s="227">
        <f>L31+M31</f>
        <v>-180000</v>
      </c>
      <c r="O31" s="226">
        <v>-40000</v>
      </c>
      <c r="P31" s="225">
        <v>-90000</v>
      </c>
      <c r="Q31" s="227">
        <f>O31+P31</f>
        <v>-130000</v>
      </c>
      <c r="R31" s="226">
        <v>-40000</v>
      </c>
      <c r="S31" s="225">
        <v>-85000</v>
      </c>
      <c r="T31" s="227">
        <f>R31+S31</f>
        <v>-125000</v>
      </c>
      <c r="U31" s="226">
        <v>-40000</v>
      </c>
      <c r="V31" s="225">
        <v>-65000</v>
      </c>
      <c r="W31" s="227">
        <f>U31+V31</f>
        <v>-105000</v>
      </c>
      <c r="X31" s="183"/>
      <c r="Y31" s="183"/>
    </row>
    <row r="32" spans="1:30">
      <c r="A32" s="219" t="s">
        <v>328</v>
      </c>
      <c r="B32" s="183"/>
      <c r="C32" s="183"/>
      <c r="D32" s="224">
        <f>SUM(D25:D31)</f>
        <v>969060</v>
      </c>
      <c r="E32" s="183">
        <f t="shared" ref="E32:W32" si="12">SUM(E29:E31)</f>
        <v>228607</v>
      </c>
      <c r="F32" s="223">
        <f t="shared" si="12"/>
        <v>-277067.84499999974</v>
      </c>
      <c r="G32" s="222">
        <f t="shared" si="12"/>
        <v>-463394</v>
      </c>
      <c r="H32" s="221">
        <f t="shared" si="12"/>
        <v>-849527.84499999974</v>
      </c>
      <c r="I32" s="223">
        <f t="shared" si="12"/>
        <v>85428.206175000407</v>
      </c>
      <c r="J32" s="222">
        <f t="shared" si="12"/>
        <v>77796</v>
      </c>
      <c r="K32" s="221">
        <f t="shared" si="12"/>
        <v>4409.2061750013381</v>
      </c>
      <c r="L32" s="223">
        <f t="shared" si="12"/>
        <v>46908.4132348774</v>
      </c>
      <c r="M32" s="222">
        <f t="shared" si="12"/>
        <v>163222</v>
      </c>
      <c r="N32" s="221">
        <f t="shared" si="12"/>
        <v>51315.413234876469</v>
      </c>
      <c r="O32" s="223">
        <f t="shared" si="12"/>
        <v>66150.895507701673</v>
      </c>
      <c r="P32" s="222">
        <f t="shared" si="12"/>
        <v>234862</v>
      </c>
      <c r="Q32" s="221">
        <f t="shared" si="12"/>
        <v>-7802.1044922992587</v>
      </c>
      <c r="R32" s="223">
        <f t="shared" si="12"/>
        <v>-220181.24755119998</v>
      </c>
      <c r="S32" s="222">
        <f t="shared" si="12"/>
        <v>503075</v>
      </c>
      <c r="T32" s="221">
        <f t="shared" si="12"/>
        <v>124078.75244879909</v>
      </c>
      <c r="U32" s="223">
        <f t="shared" si="12"/>
        <v>-412283.41760876309</v>
      </c>
      <c r="V32" s="222">
        <f t="shared" si="12"/>
        <v>637553</v>
      </c>
      <c r="W32" s="221">
        <f t="shared" si="12"/>
        <v>216454.58239123784</v>
      </c>
      <c r="X32" s="183"/>
      <c r="Y32" s="183"/>
    </row>
    <row r="33" spans="1:25">
      <c r="A33" s="183"/>
      <c r="B33" s="183"/>
      <c r="C33" s="183"/>
      <c r="D33" s="224"/>
      <c r="E33" s="183"/>
      <c r="F33" s="223"/>
      <c r="G33" s="222"/>
      <c r="H33" s="221"/>
      <c r="I33" s="223"/>
      <c r="J33" s="222"/>
      <c r="K33" s="221"/>
      <c r="L33" s="223"/>
      <c r="M33" s="222"/>
      <c r="N33" s="221"/>
      <c r="O33" s="223"/>
      <c r="P33" s="222"/>
      <c r="Q33" s="221"/>
      <c r="R33" s="223"/>
      <c r="S33" s="222"/>
      <c r="T33" s="221"/>
      <c r="U33" s="223"/>
      <c r="V33" s="222"/>
      <c r="W33" s="221"/>
      <c r="X33" s="183"/>
      <c r="Y33" s="183"/>
    </row>
    <row r="34" spans="1:25">
      <c r="A34" s="229" t="s">
        <v>327</v>
      </c>
      <c r="B34" s="229"/>
      <c r="C34" s="183"/>
      <c r="D34" s="239"/>
      <c r="E34" s="238"/>
      <c r="F34" s="237"/>
      <c r="G34" s="236"/>
      <c r="H34" s="235"/>
      <c r="I34" s="237"/>
      <c r="J34" s="236"/>
      <c r="K34" s="235"/>
      <c r="L34" s="237"/>
      <c r="M34" s="236"/>
      <c r="N34" s="235"/>
      <c r="O34" s="237"/>
      <c r="P34" s="236"/>
      <c r="Q34" s="235"/>
      <c r="R34" s="237"/>
      <c r="S34" s="236"/>
      <c r="T34" s="235"/>
      <c r="U34" s="237"/>
      <c r="V34" s="236"/>
      <c r="W34" s="235"/>
      <c r="X34" s="183"/>
      <c r="Y34" s="183"/>
    </row>
    <row r="35" spans="1:25">
      <c r="A35" s="229" t="s">
        <v>326</v>
      </c>
      <c r="B35" s="219"/>
      <c r="C35" s="219"/>
      <c r="D35" s="234"/>
      <c r="E35" s="219"/>
      <c r="F35" s="233"/>
      <c r="G35" s="232"/>
      <c r="H35" s="231"/>
      <c r="I35" s="233"/>
      <c r="J35" s="232"/>
      <c r="K35" s="231"/>
      <c r="L35" s="233"/>
      <c r="M35" s="232"/>
      <c r="N35" s="231"/>
      <c r="O35" s="233"/>
      <c r="P35" s="232"/>
      <c r="Q35" s="231"/>
      <c r="R35" s="233"/>
      <c r="S35" s="232"/>
      <c r="T35" s="231"/>
      <c r="U35" s="233"/>
      <c r="V35" s="232"/>
      <c r="W35" s="231"/>
      <c r="X35" s="183"/>
      <c r="Y35" s="183"/>
    </row>
    <row r="36" spans="1:25">
      <c r="A36" s="230"/>
      <c r="B36" s="183"/>
      <c r="C36" s="183"/>
      <c r="D36" s="224"/>
      <c r="E36" s="183"/>
      <c r="F36" s="223"/>
      <c r="G36" s="222"/>
      <c r="H36" s="221"/>
      <c r="I36" s="223"/>
      <c r="J36" s="222"/>
      <c r="K36" s="221"/>
      <c r="L36" s="223"/>
      <c r="M36" s="222"/>
      <c r="N36" s="221"/>
      <c r="O36" s="223"/>
      <c r="P36" s="222"/>
      <c r="Q36" s="221"/>
      <c r="R36" s="223"/>
      <c r="S36" s="222"/>
      <c r="T36" s="221"/>
      <c r="U36" s="223"/>
      <c r="V36" s="222"/>
      <c r="W36" s="221"/>
      <c r="X36" s="183"/>
      <c r="Y36" s="183"/>
    </row>
    <row r="37" spans="1:25">
      <c r="A37" s="229"/>
      <c r="B37" s="183"/>
      <c r="C37" s="183"/>
      <c r="D37" s="224"/>
      <c r="E37" s="183"/>
      <c r="F37" s="223"/>
      <c r="G37" s="222"/>
      <c r="H37" s="221"/>
      <c r="I37" s="223"/>
      <c r="J37" s="222"/>
      <c r="K37" s="221"/>
      <c r="L37" s="223"/>
      <c r="M37" s="222"/>
      <c r="N37" s="221"/>
      <c r="O37" s="223"/>
      <c r="P37" s="222"/>
      <c r="Q37" s="221"/>
      <c r="R37" s="223"/>
      <c r="S37" s="222"/>
      <c r="T37" s="221"/>
      <c r="U37" s="223"/>
      <c r="V37" s="222"/>
      <c r="W37" s="221"/>
      <c r="X37" s="183"/>
      <c r="Y37" s="183"/>
    </row>
    <row r="38" spans="1:25">
      <c r="A38" s="230"/>
      <c r="B38" s="183"/>
      <c r="C38" s="183"/>
      <c r="D38" s="224"/>
      <c r="E38" s="183"/>
      <c r="F38" s="223"/>
      <c r="G38" s="222"/>
      <c r="H38" s="221"/>
      <c r="I38" s="223"/>
      <c r="J38" s="222"/>
      <c r="K38" s="221"/>
      <c r="L38" s="223"/>
      <c r="M38" s="222"/>
      <c r="N38" s="221"/>
      <c r="O38" s="223"/>
      <c r="P38" s="222"/>
      <c r="Q38" s="221"/>
      <c r="R38" s="223"/>
      <c r="S38" s="222"/>
      <c r="T38" s="221"/>
      <c r="U38" s="223"/>
      <c r="V38" s="222"/>
      <c r="W38" s="221"/>
      <c r="X38" s="183"/>
      <c r="Y38" s="220"/>
    </row>
    <row r="39" spans="1:25">
      <c r="A39" s="230"/>
      <c r="B39" s="183"/>
      <c r="C39" s="183"/>
      <c r="D39" s="224"/>
      <c r="E39" s="183"/>
      <c r="F39" s="223"/>
      <c r="G39" s="222"/>
      <c r="H39" s="221"/>
      <c r="I39" s="223"/>
      <c r="J39" s="222"/>
      <c r="K39" s="221"/>
      <c r="L39" s="223"/>
      <c r="M39" s="222"/>
      <c r="N39" s="221"/>
      <c r="O39" s="223"/>
      <c r="P39" s="222"/>
      <c r="Q39" s="221"/>
      <c r="R39" s="223"/>
      <c r="S39" s="222"/>
      <c r="T39" s="221"/>
      <c r="U39" s="223"/>
      <c r="V39" s="222"/>
      <c r="W39" s="221"/>
      <c r="X39" s="183"/>
      <c r="Y39" s="215"/>
    </row>
    <row r="40" spans="1:25" ht="15.75" thickBot="1">
      <c r="A40" s="230"/>
      <c r="B40" s="183"/>
      <c r="C40" s="183"/>
      <c r="D40" s="228"/>
      <c r="E40" s="225"/>
      <c r="F40" s="226"/>
      <c r="G40" s="225"/>
      <c r="H40" s="227"/>
      <c r="I40" s="226"/>
      <c r="J40" s="225"/>
      <c r="K40" s="227"/>
      <c r="L40" s="226"/>
      <c r="M40" s="225"/>
      <c r="N40" s="227"/>
      <c r="O40" s="226"/>
      <c r="P40" s="225"/>
      <c r="Q40" s="227"/>
      <c r="R40" s="226"/>
      <c r="S40" s="225"/>
      <c r="T40" s="227"/>
      <c r="U40" s="226"/>
      <c r="V40" s="225"/>
      <c r="W40" s="221"/>
      <c r="X40" s="183"/>
      <c r="Y40" s="215"/>
    </row>
    <row r="41" spans="1:25">
      <c r="A41" s="229"/>
      <c r="B41" s="183"/>
      <c r="C41" s="183"/>
      <c r="D41" s="224"/>
      <c r="E41" s="183"/>
      <c r="F41" s="223"/>
      <c r="G41" s="222"/>
      <c r="H41" s="221"/>
      <c r="I41" s="223"/>
      <c r="J41" s="222"/>
      <c r="K41" s="221"/>
      <c r="L41" s="223"/>
      <c r="M41" s="222"/>
      <c r="N41" s="221"/>
      <c r="O41" s="223"/>
      <c r="P41" s="222"/>
      <c r="Q41" s="221"/>
      <c r="R41" s="223"/>
      <c r="S41" s="222"/>
      <c r="T41" s="221"/>
      <c r="U41" s="223"/>
      <c r="V41" s="222"/>
      <c r="W41" s="221"/>
      <c r="X41" s="183"/>
      <c r="Y41" s="215"/>
    </row>
    <row r="42" spans="1:25">
      <c r="A42" s="183"/>
      <c r="B42" s="183"/>
      <c r="C42" s="183"/>
      <c r="D42" s="224"/>
      <c r="E42" s="183"/>
      <c r="F42" s="223"/>
      <c r="G42" s="222"/>
      <c r="H42" s="221"/>
      <c r="I42" s="223"/>
      <c r="J42" s="222"/>
      <c r="K42" s="221"/>
      <c r="L42" s="223"/>
      <c r="M42" s="222"/>
      <c r="N42" s="221"/>
      <c r="O42" s="223"/>
      <c r="P42" s="222"/>
      <c r="Q42" s="221"/>
      <c r="R42" s="223"/>
      <c r="S42" s="222"/>
      <c r="T42" s="221"/>
      <c r="U42" s="223"/>
      <c r="V42" s="222"/>
      <c r="W42" s="221"/>
      <c r="X42" s="183"/>
      <c r="Y42" s="215"/>
    </row>
    <row r="43" spans="1:25">
      <c r="A43" s="183"/>
      <c r="B43" s="183"/>
      <c r="C43" s="183"/>
      <c r="D43" s="224"/>
      <c r="E43" s="183"/>
      <c r="F43" s="223"/>
      <c r="G43" s="222"/>
      <c r="H43" s="221"/>
      <c r="I43" s="223"/>
      <c r="J43" s="222"/>
      <c r="K43" s="221"/>
      <c r="L43" s="223"/>
      <c r="M43" s="222"/>
      <c r="N43" s="221"/>
      <c r="O43" s="223"/>
      <c r="P43" s="222"/>
      <c r="Q43" s="221"/>
      <c r="R43" s="223"/>
      <c r="S43" s="222"/>
      <c r="T43" s="221"/>
      <c r="U43" s="223"/>
      <c r="V43" s="222"/>
      <c r="W43" s="221"/>
      <c r="X43" s="183"/>
      <c r="Y43" s="215"/>
    </row>
    <row r="44" spans="1:25" ht="15.75" thickBot="1">
      <c r="A44" s="183"/>
      <c r="B44" s="183"/>
      <c r="C44" s="183"/>
      <c r="D44" s="228"/>
      <c r="E44" s="225"/>
      <c r="F44" s="226"/>
      <c r="G44" s="225"/>
      <c r="H44" s="227"/>
      <c r="I44" s="226"/>
      <c r="J44" s="225"/>
      <c r="K44" s="227"/>
      <c r="L44" s="226"/>
      <c r="M44" s="225"/>
      <c r="N44" s="227"/>
      <c r="O44" s="226"/>
      <c r="P44" s="225"/>
      <c r="Q44" s="227"/>
      <c r="R44" s="226"/>
      <c r="S44" s="225"/>
      <c r="T44" s="227"/>
      <c r="U44" s="226"/>
      <c r="V44" s="225"/>
      <c r="W44" s="221"/>
      <c r="X44" s="183"/>
      <c r="Y44" s="183"/>
    </row>
    <row r="45" spans="1:25">
      <c r="A45" s="219"/>
      <c r="B45" s="183"/>
      <c r="C45" s="183"/>
      <c r="D45" s="224"/>
      <c r="E45" s="183"/>
      <c r="F45" s="223"/>
      <c r="G45" s="222"/>
      <c r="H45" s="221"/>
      <c r="I45" s="223"/>
      <c r="J45" s="222"/>
      <c r="K45" s="221"/>
      <c r="L45" s="223"/>
      <c r="M45" s="222"/>
      <c r="N45" s="221"/>
      <c r="O45" s="223"/>
      <c r="P45" s="222"/>
      <c r="Q45" s="221"/>
      <c r="R45" s="223"/>
      <c r="S45" s="222"/>
      <c r="T45" s="221"/>
      <c r="U45" s="223"/>
      <c r="V45" s="222"/>
      <c r="W45" s="221"/>
      <c r="X45" s="183"/>
      <c r="Y45" s="220"/>
    </row>
    <row r="46" spans="1:25">
      <c r="Y46" s="215"/>
    </row>
    <row r="47" spans="1:25">
      <c r="Y47" s="215"/>
    </row>
    <row r="48" spans="1:25">
      <c r="A48" s="219"/>
      <c r="Y48" s="215"/>
    </row>
    <row r="49" spans="1:25">
      <c r="A49" s="125"/>
      <c r="B49" s="125"/>
      <c r="C49" s="125"/>
      <c r="D49" s="125"/>
      <c r="E49" s="125"/>
      <c r="F49" s="205"/>
      <c r="G49" s="204"/>
      <c r="H49" s="203"/>
      <c r="I49" s="205"/>
      <c r="J49" s="204"/>
      <c r="K49" s="203"/>
      <c r="L49" s="205"/>
      <c r="M49" s="204"/>
      <c r="N49" s="203"/>
      <c r="Y49" s="215"/>
    </row>
    <row r="50" spans="1:25">
      <c r="A50" s="125"/>
      <c r="B50" s="125"/>
      <c r="C50" s="125"/>
      <c r="D50" s="125"/>
      <c r="E50" s="125"/>
      <c r="F50" s="218"/>
      <c r="G50" s="217"/>
      <c r="H50" s="216"/>
      <c r="I50" s="218"/>
      <c r="J50" s="217"/>
      <c r="K50" s="216"/>
      <c r="L50" s="218"/>
      <c r="M50" s="217"/>
      <c r="N50" s="216"/>
      <c r="Y50" s="215"/>
    </row>
    <row r="51" spans="1:25">
      <c r="A51" s="125"/>
      <c r="B51" s="125"/>
      <c r="C51" s="125"/>
      <c r="D51" s="125"/>
      <c r="E51" s="213"/>
      <c r="F51" s="212"/>
      <c r="G51" s="211"/>
      <c r="H51" s="210"/>
      <c r="I51" s="212"/>
      <c r="J51" s="211"/>
      <c r="K51" s="210"/>
      <c r="L51" s="212"/>
      <c r="M51" s="211"/>
      <c r="N51" s="210"/>
      <c r="Y51" s="215"/>
    </row>
    <row r="52" spans="1:25">
      <c r="A52" s="125"/>
      <c r="B52" s="125"/>
      <c r="C52" s="125"/>
      <c r="D52" s="125"/>
      <c r="E52" s="213"/>
      <c r="F52" s="212"/>
      <c r="G52" s="211"/>
      <c r="H52" s="210"/>
      <c r="I52" s="212"/>
      <c r="J52" s="211"/>
      <c r="K52" s="210"/>
      <c r="L52" s="212"/>
      <c r="M52" s="211"/>
      <c r="N52" s="210"/>
      <c r="Y52" s="215"/>
    </row>
    <row r="53" spans="1:25">
      <c r="A53" s="125"/>
      <c r="B53" s="125"/>
      <c r="C53" s="125"/>
      <c r="D53" s="125"/>
      <c r="E53" s="213"/>
      <c r="F53" s="212"/>
      <c r="G53" s="211"/>
      <c r="H53" s="210"/>
      <c r="I53" s="212"/>
      <c r="J53" s="211"/>
      <c r="K53" s="210"/>
      <c r="L53" s="212"/>
      <c r="M53" s="211"/>
      <c r="N53" s="210"/>
      <c r="Y53" s="215"/>
    </row>
    <row r="54" spans="1:25">
      <c r="A54" s="125"/>
      <c r="B54" s="125"/>
      <c r="C54" s="125"/>
      <c r="D54" s="125"/>
      <c r="E54" s="213"/>
      <c r="F54" s="212"/>
      <c r="G54" s="211"/>
      <c r="H54" s="210"/>
      <c r="I54" s="212"/>
      <c r="J54" s="211"/>
      <c r="K54" s="210"/>
      <c r="L54" s="212"/>
      <c r="M54" s="211"/>
      <c r="N54" s="210"/>
    </row>
    <row r="55" spans="1:25">
      <c r="A55" s="214"/>
      <c r="B55" s="125"/>
      <c r="C55" s="125"/>
      <c r="D55" s="125"/>
      <c r="E55" s="213"/>
      <c r="F55" s="212"/>
      <c r="G55" s="211"/>
      <c r="H55" s="210"/>
      <c r="I55" s="212"/>
      <c r="J55" s="211"/>
      <c r="K55" s="210"/>
      <c r="L55" s="212"/>
      <c r="M55" s="211"/>
      <c r="N55" s="210"/>
    </row>
    <row r="56" spans="1:25">
      <c r="A56" s="125"/>
      <c r="B56" s="125"/>
      <c r="C56" s="125"/>
      <c r="D56" s="125"/>
      <c r="E56" s="213"/>
      <c r="F56" s="212"/>
      <c r="G56" s="211"/>
      <c r="H56" s="210"/>
      <c r="I56" s="212"/>
      <c r="J56" s="211"/>
      <c r="K56" s="210"/>
      <c r="L56" s="212"/>
      <c r="M56" s="211"/>
      <c r="N56" s="210"/>
    </row>
    <row r="57" spans="1:25">
      <c r="A57" s="125"/>
      <c r="B57" s="125"/>
      <c r="C57" s="125"/>
      <c r="D57" s="125"/>
      <c r="E57" s="125"/>
      <c r="F57" s="205"/>
      <c r="G57" s="204"/>
      <c r="H57" s="203"/>
      <c r="I57" s="205"/>
      <c r="J57" s="204"/>
      <c r="K57" s="203"/>
      <c r="L57" s="205"/>
      <c r="M57" s="204"/>
      <c r="N57" s="203"/>
    </row>
    <row r="58" spans="1:25">
      <c r="A58" s="125"/>
      <c r="B58" s="125"/>
      <c r="C58" s="125"/>
      <c r="D58" s="125"/>
      <c r="E58" s="125"/>
      <c r="F58" s="208"/>
      <c r="G58" s="207"/>
      <c r="H58" s="206"/>
      <c r="I58" s="208"/>
      <c r="J58" s="207"/>
      <c r="K58" s="206"/>
      <c r="L58" s="208"/>
      <c r="M58" s="207"/>
      <c r="N58" s="206"/>
    </row>
    <row r="59" spans="1:25">
      <c r="A59" s="125"/>
      <c r="B59" s="125"/>
      <c r="C59" s="125"/>
      <c r="D59" s="125"/>
      <c r="E59" s="209"/>
      <c r="F59" s="208"/>
      <c r="G59" s="207"/>
      <c r="H59" s="206"/>
      <c r="I59" s="208"/>
      <c r="J59" s="207"/>
      <c r="K59" s="206"/>
      <c r="L59" s="208"/>
      <c r="M59" s="207"/>
      <c r="N59" s="206"/>
    </row>
    <row r="60" spans="1:25">
      <c r="A60" s="125"/>
      <c r="B60" s="125"/>
      <c r="C60" s="125"/>
      <c r="D60" s="125"/>
      <c r="E60" s="209"/>
      <c r="F60" s="208"/>
      <c r="G60" s="207"/>
      <c r="H60" s="206"/>
      <c r="I60" s="208"/>
      <c r="J60" s="207"/>
      <c r="K60" s="206"/>
      <c r="L60" s="208"/>
      <c r="M60" s="207"/>
      <c r="N60" s="206"/>
    </row>
    <row r="61" spans="1:25">
      <c r="A61" s="125"/>
      <c r="B61" s="125"/>
      <c r="C61" s="125"/>
      <c r="D61" s="125"/>
      <c r="E61" s="209"/>
      <c r="F61" s="208"/>
      <c r="G61" s="207"/>
      <c r="H61" s="206"/>
      <c r="I61" s="208"/>
      <c r="J61" s="207"/>
      <c r="K61" s="206"/>
      <c r="L61" s="208"/>
      <c r="M61" s="207"/>
      <c r="N61" s="206"/>
    </row>
    <row r="62" spans="1:25">
      <c r="A62" s="125"/>
      <c r="B62" s="125"/>
      <c r="C62" s="125"/>
      <c r="D62" s="125"/>
      <c r="E62" s="125"/>
      <c r="F62" s="205"/>
      <c r="G62" s="204"/>
      <c r="H62" s="203"/>
      <c r="I62" s="205"/>
      <c r="J62" s="204"/>
      <c r="K62" s="203"/>
      <c r="L62" s="205"/>
      <c r="M62" s="204"/>
      <c r="N62" s="203"/>
    </row>
    <row r="63" spans="1:25">
      <c r="A63" s="125"/>
      <c r="B63" s="125"/>
      <c r="C63" s="125"/>
      <c r="D63" s="125"/>
      <c r="E63" s="125"/>
      <c r="F63" s="205"/>
      <c r="G63" s="204"/>
      <c r="H63" s="203"/>
      <c r="I63" s="205"/>
      <c r="J63" s="204"/>
      <c r="K63" s="203"/>
      <c r="L63" s="205"/>
      <c r="M63" s="204"/>
      <c r="N63" s="203"/>
    </row>
    <row r="64" spans="1:25">
      <c r="A64" s="125"/>
      <c r="B64" s="125"/>
      <c r="C64" s="125"/>
      <c r="D64" s="125"/>
      <c r="E64" s="125"/>
      <c r="F64" s="205"/>
      <c r="G64" s="204"/>
      <c r="H64" s="203"/>
      <c r="I64" s="205"/>
      <c r="J64" s="204"/>
      <c r="K64" s="203"/>
      <c r="L64" s="205"/>
      <c r="M64" s="204"/>
      <c r="N64" s="203"/>
    </row>
    <row r="65" spans="1:14" customFormat="1">
      <c r="A65" s="125"/>
      <c r="B65" s="125"/>
      <c r="C65" s="125"/>
      <c r="D65" s="125"/>
      <c r="E65" s="125"/>
      <c r="F65" s="205"/>
      <c r="G65" s="204"/>
      <c r="H65" s="203"/>
      <c r="I65" s="205"/>
      <c r="J65" s="204"/>
      <c r="K65" s="203"/>
      <c r="L65" s="205"/>
      <c r="M65" s="204"/>
      <c r="N65" s="203"/>
    </row>
    <row r="66" spans="1:14" customFormat="1">
      <c r="A66" s="125"/>
      <c r="B66" s="125"/>
      <c r="C66" s="125"/>
      <c r="D66" s="125"/>
      <c r="E66" s="125"/>
      <c r="F66" s="205"/>
      <c r="G66" s="204"/>
      <c r="H66" s="203"/>
      <c r="I66" s="205"/>
      <c r="J66" s="204"/>
      <c r="K66" s="203"/>
      <c r="L66" s="205"/>
      <c r="M66" s="204"/>
      <c r="N66" s="203"/>
    </row>
  </sheetData>
  <pageMargins left="0.7" right="0.7" top="0.75" bottom="0.75" header="0.3" footer="0.3"/>
  <pageSetup paperSize="5" scale="65" orientation="landscape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Normal="100" workbookViewId="0"/>
  </sheetViews>
  <sheetFormatPr defaultRowHeight="15"/>
  <cols>
    <col min="12" max="12" width="10" bestFit="1" customWidth="1"/>
    <col min="18" max="18" width="11.28515625" bestFit="1" customWidth="1"/>
    <col min="20" max="20" width="11.28515625" bestFit="1" customWidth="1"/>
  </cols>
  <sheetData>
    <row r="1" spans="1:22">
      <c r="C1" s="107" t="s">
        <v>391</v>
      </c>
      <c r="H1" s="107" t="s">
        <v>325</v>
      </c>
      <c r="J1" s="137" t="s">
        <v>324</v>
      </c>
      <c r="L1" s="137" t="s">
        <v>106</v>
      </c>
      <c r="N1" s="137" t="s">
        <v>6</v>
      </c>
      <c r="P1" s="137" t="s">
        <v>7</v>
      </c>
      <c r="R1" s="137" t="s">
        <v>8</v>
      </c>
      <c r="T1" s="137" t="s">
        <v>9</v>
      </c>
      <c r="V1" s="137" t="s">
        <v>10</v>
      </c>
    </row>
    <row r="3" spans="1:22">
      <c r="A3" s="107" t="s">
        <v>390</v>
      </c>
    </row>
    <row r="4" spans="1:22">
      <c r="A4" t="s">
        <v>389</v>
      </c>
      <c r="H4">
        <v>3.35</v>
      </c>
      <c r="J4" s="265">
        <f>'[4]stmt of net assets school only'!D7/'[4]stmt of net assets school only'!D19</f>
        <v>1.1297791134823814</v>
      </c>
      <c r="L4" s="269">
        <f>'[4]stmt of net assets school only'!F7/'[4]stmt of net assets school only'!F19</f>
        <v>0.79956360664607118</v>
      </c>
      <c r="M4" s="269"/>
      <c r="N4" s="269">
        <f>'[4]stmt of net assets school only'!H7/'[4]stmt of net assets school only'!H19</f>
        <v>0.86394993883166471</v>
      </c>
      <c r="O4" s="269"/>
      <c r="P4" s="269">
        <f>'[4]stmt of net assets school only'!J7/'[4]stmt of net assets school only'!J19</f>
        <v>0.96412908174065515</v>
      </c>
      <c r="Q4" s="269"/>
      <c r="R4" s="269">
        <f>'[4]stmt of net assets school only'!N7/'[4]stmt of net assets school only'!N19</f>
        <v>1.3651461195390993</v>
      </c>
      <c r="S4" s="269"/>
      <c r="T4" s="269">
        <f>'[4]stmt of net assets school only'!N7/'[4]stmt of net assets school only'!N19</f>
        <v>1.3651461195390993</v>
      </c>
      <c r="U4" s="269"/>
      <c r="V4" s="269">
        <f>'[4]stmt of net assets school only'!P7/'[4]stmt of net assets school only'!P19</f>
        <v>1.5277226770343497</v>
      </c>
    </row>
    <row r="5" spans="1:22">
      <c r="J5" s="265"/>
    </row>
    <row r="6" spans="1:22">
      <c r="J6" s="265"/>
    </row>
    <row r="7" spans="1:22">
      <c r="A7" s="107" t="s">
        <v>388</v>
      </c>
      <c r="J7" s="265"/>
    </row>
    <row r="8" spans="1:22">
      <c r="A8" t="s">
        <v>387</v>
      </c>
      <c r="H8" s="268">
        <f>5.24*30</f>
        <v>157.20000000000002</v>
      </c>
      <c r="J8" s="268">
        <v>120</v>
      </c>
      <c r="L8" s="268">
        <v>60</v>
      </c>
      <c r="N8" s="268">
        <v>50</v>
      </c>
      <c r="P8" s="268">
        <v>45</v>
      </c>
      <c r="R8" s="268">
        <v>41</v>
      </c>
      <c r="T8" s="268">
        <v>41</v>
      </c>
      <c r="V8" s="268">
        <v>45</v>
      </c>
    </row>
    <row r="9" spans="1:22">
      <c r="A9" t="s">
        <v>386</v>
      </c>
      <c r="J9" s="265"/>
    </row>
    <row r="10" spans="1:22">
      <c r="J10" s="265"/>
    </row>
    <row r="11" spans="1:22">
      <c r="J11" s="265"/>
    </row>
    <row r="12" spans="1:22">
      <c r="A12" s="107" t="s">
        <v>385</v>
      </c>
      <c r="H12" s="267">
        <v>0.8</v>
      </c>
      <c r="J12" s="267">
        <f>'[4]rev&amp;exp k1-12'!E3/'[4]rev&amp;exp k1-12'!E18</f>
        <v>0.79624362661392567</v>
      </c>
      <c r="K12" s="267"/>
      <c r="L12" s="267">
        <f>'[4]rev&amp;exp k1-12'!H3/'[4]rev&amp;exp k1-12'!H18</f>
        <v>0.82599722610852888</v>
      </c>
      <c r="M12" s="267"/>
      <c r="N12" s="267">
        <f>'[4]rev&amp;exp k1-12'!K3/'[4]rev&amp;exp k1-12'!K18</f>
        <v>0.72806868618982534</v>
      </c>
      <c r="O12" s="267"/>
      <c r="P12" s="267">
        <f>'[4]rev&amp;exp k1-12'!N3/'[4]rev&amp;exp k1-12'!N18</f>
        <v>0.77761366607455396</v>
      </c>
      <c r="Q12" s="267"/>
      <c r="R12" s="267">
        <f>'[4]rev&amp;exp k1-12'!Q3/'[4]rev&amp;exp k1-12'!Q18</f>
        <v>0.80629544429707933</v>
      </c>
      <c r="S12" s="267"/>
      <c r="T12" s="267">
        <f>'[4]rev&amp;exp k1-12'!T3/'[4]rev&amp;exp k1-12'!T18</f>
        <v>0.83654002599062915</v>
      </c>
      <c r="U12" s="267"/>
      <c r="V12" s="267">
        <f>'[4]rev&amp;exp k1-12'!W3/'[4]rev&amp;exp k1-12'!W18</f>
        <v>0.84449624749594276</v>
      </c>
    </row>
    <row r="13" spans="1:22">
      <c r="A13" t="s">
        <v>384</v>
      </c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</row>
    <row r="14" spans="1:22"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</row>
    <row r="15" spans="1:22"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</row>
    <row r="16" spans="1:22">
      <c r="A16" s="107" t="s">
        <v>383</v>
      </c>
      <c r="H16" s="267">
        <v>0.9</v>
      </c>
      <c r="J16" s="267">
        <f>('[4]rev&amp;exp k1-12'!E3+'[4]rev&amp;exp k1-12'!E6)/'[4]rev&amp;exp k1-12'!E18</f>
        <v>0.86598031182963897</v>
      </c>
      <c r="K16" s="267"/>
      <c r="L16" s="267">
        <f>('[4]rev&amp;exp k1-12'!H3+'[4]rev&amp;exp k1-12'!H6)/'[4]rev&amp;exp k1-12'!H18</f>
        <v>0.89769959379803599</v>
      </c>
      <c r="M16" s="267"/>
      <c r="N16" s="267">
        <f>('[4]rev&amp;exp k1-12'!K3+'[4]rev&amp;exp k1-12'!K6)/'[4]rev&amp;exp k1-12'!K18</f>
        <v>0.79170296600257972</v>
      </c>
      <c r="O16" s="267"/>
      <c r="P16" s="267">
        <f>('[4]rev&amp;exp k1-12'!N3+'[4]rev&amp;exp k1-12'!N6)/'[4]rev&amp;exp k1-12'!N18</f>
        <v>0.84554886140509244</v>
      </c>
      <c r="Q16" s="267"/>
      <c r="R16" s="267">
        <f>('[4]rev&amp;exp k1-12'!Q3+'[4]rev&amp;exp k1-12'!Q6)/'[4]rev&amp;exp k1-12'!Q8</f>
        <v>0.87041217724466768</v>
      </c>
      <c r="S16" s="267"/>
      <c r="T16" s="267">
        <f>('[4]rev&amp;exp k1-12'!T3+'[4]rev&amp;exp k1-12'!T6)/'[4]rev&amp;exp k1-12'!T8</f>
        <v>0.90372160185982153</v>
      </c>
      <c r="U16" s="267"/>
      <c r="V16" s="267">
        <v>0.92</v>
      </c>
    </row>
    <row r="17" spans="1:22">
      <c r="A17" t="s">
        <v>382</v>
      </c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</row>
    <row r="18" spans="1:22"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</row>
    <row r="19" spans="1:22"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</row>
    <row r="20" spans="1:22">
      <c r="A20" s="107" t="s">
        <v>381</v>
      </c>
      <c r="H20" s="267">
        <v>0.11</v>
      </c>
      <c r="J20" s="267">
        <f>('[4]rev&amp;exp k1-12'!E16+390000)/'[4]rev&amp;exp k1-12'!E8</f>
        <v>9.2718994296436472E-2</v>
      </c>
      <c r="K20" s="267"/>
      <c r="L20" s="267">
        <f>('[4]rev&amp;exp k1-12'!H16+409000+30000)/'[4]rev&amp;exp k1-12'!H8</f>
        <v>8.7449532923837309E-2</v>
      </c>
      <c r="M20" s="267"/>
      <c r="N20" s="267">
        <f>('[4]rev&amp;exp k1-12'!K15+'[4]rev&amp;exp k1-12'!K16+430000+130000)/'[4]rev&amp;exp k1-12'!K8</f>
        <v>0.16849062290885472</v>
      </c>
      <c r="O20" s="267"/>
      <c r="P20" s="267">
        <f>('[4]rev&amp;exp k1-12'!N15+'[4]rev&amp;exp k1-12'!N16+450000+275000)/'[4]rev&amp;exp k1-12'!N8</f>
        <v>0.16276743739751712</v>
      </c>
      <c r="Q20" s="267"/>
      <c r="R20" s="267">
        <f>('[4]rev&amp;exp k1-12'!Q15+'[4]rev&amp;exp k1-12'!Q16+450000+300000)/'[4]rev&amp;exp k1-12'!Q8</f>
        <v>0.15018393213747916</v>
      </c>
      <c r="S20" s="267"/>
      <c r="T20" s="267">
        <f>('[4]rev&amp;exp k1-12'!T15+'[4]rev&amp;exp k1-12'!T16+450000+300000)/'[4]rev&amp;exp k1-12'!Q8</f>
        <v>0.1506933542547019</v>
      </c>
      <c r="U20" s="267"/>
      <c r="V20" s="267">
        <f>('[4]rev&amp;exp k1-12'!W15+'[4]rev&amp;exp k1-12'!W16+450000+350000)/'[4]rev&amp;exp k1-12'!W8</f>
        <v>0.14173433050162748</v>
      </c>
    </row>
    <row r="21" spans="1:22">
      <c r="A21" t="s">
        <v>380</v>
      </c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</row>
    <row r="22" spans="1:22">
      <c r="J22" s="265"/>
    </row>
    <row r="23" spans="1:22">
      <c r="A23" s="107" t="s">
        <v>379</v>
      </c>
      <c r="J23" s="265"/>
    </row>
    <row r="24" spans="1:22">
      <c r="A24" t="s">
        <v>378</v>
      </c>
      <c r="H24" s="266">
        <v>8.9999999999999998E-4</v>
      </c>
      <c r="I24" s="266"/>
      <c r="J24" s="266">
        <f>'[4]rev&amp;exp k1-12'!E20/'[4]rev&amp;exp k1-12'!E8</f>
        <v>5.0464490170968133E-3</v>
      </c>
      <c r="K24" s="266"/>
      <c r="L24" s="266">
        <f>'[4]rev&amp;exp k1-12'!H20/'[4]rev&amp;exp k1-12'!H8</f>
        <v>2.9970532545412877E-3</v>
      </c>
      <c r="M24" s="266"/>
      <c r="N24" s="266">
        <f>'[4]rev&amp;exp k1-12'!K20/'[4]rev&amp;exp k1-12'!K8</f>
        <v>7.7662281759430319E-3</v>
      </c>
      <c r="O24" s="266"/>
      <c r="P24" s="266">
        <f>'[4]rev&amp;exp k1-12'!N20/'[4]rev&amp;exp k1-12'!N8</f>
        <v>5.3725272960657069E-3</v>
      </c>
      <c r="Q24" s="266"/>
      <c r="R24" s="266">
        <f>'[4]rev&amp;exp k1-12'!Q20/'[4]rev&amp;exp k1-12'!Q8</f>
        <v>6.3986225421655872E-3</v>
      </c>
      <c r="S24" s="266"/>
      <c r="T24" s="266">
        <f>'[4]rev&amp;exp k1-12'!T20/'[4]rev&amp;exp k1-12'!T8</f>
        <v>4.1397255080187064E-3</v>
      </c>
      <c r="U24" s="266"/>
      <c r="V24" s="266">
        <f>'[4]rev&amp;exp k1-12'!W20/'[4]rev&amp;exp k1-12'!W8</f>
        <v>1.023257364223941E-3</v>
      </c>
    </row>
    <row r="25" spans="1:22">
      <c r="J25" s="265"/>
    </row>
    <row r="26" spans="1:22">
      <c r="J26" s="265"/>
    </row>
    <row r="27" spans="1:22">
      <c r="A27" s="107" t="s">
        <v>377</v>
      </c>
      <c r="J27" s="265"/>
    </row>
    <row r="28" spans="1:22">
      <c r="A28" t="s">
        <v>376</v>
      </c>
      <c r="H28" s="264">
        <v>0.78</v>
      </c>
      <c r="I28" s="264"/>
      <c r="J28" s="264">
        <f>'[4]stmt of net assets school only'!D19/'[4]stmt of net assets school only'!D13</f>
        <v>0.76851722622380469</v>
      </c>
      <c r="K28" s="264"/>
      <c r="L28" s="264">
        <f>'[4]stmt of net assets school only'!F19/'[4]stmt of net assets school only'!F13</f>
        <v>0.75063939917375389</v>
      </c>
      <c r="M28" s="264"/>
      <c r="N28" s="264">
        <f>'[4]stmt of net assets school only'!H19/'[4]stmt of net assets school only'!H13</f>
        <v>0.71109060927389844</v>
      </c>
      <c r="O28" s="264"/>
      <c r="P28" s="264">
        <f>'[4]stmt of net assets school only'!J19/'[4]stmt of net assets school only'!J13</f>
        <v>0.67432091754996248</v>
      </c>
      <c r="Q28" s="264"/>
      <c r="R28" s="264">
        <f>'[4]stmt of net assets school only'!L19/'[4]stmt of net assets school only'!L13</f>
        <v>0.60887042318301077</v>
      </c>
      <c r="S28" s="264"/>
      <c r="T28" s="264">
        <f>'[4]stmt of net assets school only'!N19/'[4]stmt of net assets school only'!N13</f>
        <v>0.56576499696064053</v>
      </c>
      <c r="U28" s="264"/>
      <c r="V28" s="264">
        <f>'[4]stmt of net assets school only'!P19/'[4]stmt of net assets school only'!P13</f>
        <v>0.55777817329532298</v>
      </c>
    </row>
  </sheetData>
  <pageMargins left="0.7" right="0.7" top="0.75" bottom="0.75" header="0.3" footer="0.3"/>
  <pageSetup paperSize="5" scale="7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DESE-231-22816</_dlc_DocId>
    <_dlc_DocIdUrl xmlns="733efe1c-5bbe-4968-87dc-d400e65c879f">
      <Url>https://sharepoint.doemass.org/ese/webteam/cps/_layouts/DocIdRedir.aspx?ID=DESE-231-22816</Url>
      <Description>DESE-231-22816</Description>
    </_dlc_DocIdUrl>
  </documentManagement>
</p:properties>
</file>

<file path=customXml/itemProps1.xml><?xml version="1.0" encoding="utf-8"?>
<ds:datastoreItem xmlns:ds="http://schemas.openxmlformats.org/officeDocument/2006/customXml" ds:itemID="{E6B05083-062B-40E2-885C-BDA6A8DA69E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159BCC4-8634-446E-A71D-DBB05CCF4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DE1FA3-CE56-4F2D-A445-CB6F98C23D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418906-FED5-4347-851F-0783EF7B268C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updated revenue and expenses</vt:lpstr>
      <vt:lpstr>MS staff</vt:lpstr>
      <vt:lpstr>HS Staff</vt:lpstr>
      <vt:lpstr>Depreciation</vt:lpstr>
      <vt:lpstr>Expansion Work Plan</vt:lpstr>
      <vt:lpstr>Stmt of Net Assets</vt:lpstr>
      <vt:lpstr>rev&amp;exp k1-12</vt:lpstr>
      <vt:lpstr>dashboard - hs &amp; existing schoo</vt:lpstr>
      <vt:lpstr>'Expansion Work Plan'!Print_Area</vt:lpstr>
      <vt:lpstr>'rev&amp;exp k1-12'!Print_Area</vt:lpstr>
      <vt:lpstr>'HS Staff'!Print_Titles</vt:lpstr>
      <vt:lpstr>'rev&amp;exp k1-12'!Print_Titles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Neighborhood House Charter School Amendment Request Finances and Staffing 2016</dc:title>
  <dc:subject/>
  <dc:creator>ESE</dc:creator>
  <cp:lastModifiedBy>dzou</cp:lastModifiedBy>
  <cp:lastPrinted>2016-02-19T17:11:23Z</cp:lastPrinted>
  <dcterms:created xsi:type="dcterms:W3CDTF">2015-07-21T14:08:48Z</dcterms:created>
  <dcterms:modified xsi:type="dcterms:W3CDTF">2016-02-19T17:11:30Z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19 2016</vt:lpwstr>
  </property>
</Properties>
</file>