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280" windowHeight="11040" firstSheet="5" activeTab="5"/>
  </bookViews>
  <sheets>
    <sheet name="Cash Flow 2009" sheetId="1" state="hidden" r:id="rId1"/>
    <sheet name="Cash Flow 2010" sheetId="3" state="hidden" r:id="rId2"/>
    <sheet name="Cash Flow2011" sheetId="8" state="hidden" r:id="rId3"/>
    <sheet name="Cash Flow 2012 " sheetId="9" state="hidden" r:id="rId4"/>
    <sheet name="Cash Flow 2013" sheetId="10" state="hidden" r:id="rId5"/>
    <sheet name="Cash Flow 2014" sheetId="13" r:id="rId6"/>
    <sheet name="Cash Flow 2015" sheetId="14" r:id="rId7"/>
    <sheet name="Cash Flow 2016" sheetId="15" r:id="rId8"/>
    <sheet name="Cash Flow 2017" sheetId="18" r:id="rId9"/>
    <sheet name="Cash Flow 2018" sheetId="19" r:id="rId10"/>
    <sheet name="Cash Flow 2019" sheetId="20" r:id="rId11"/>
    <sheet name="Personnel" sheetId="2" r:id="rId12"/>
  </sheets>
  <definedNames>
    <definedName name="_xlnm.Print_Area" localSheetId="0">'Cash Flow 2009'!$A$1:$N$108</definedName>
    <definedName name="_xlnm.Print_Area" localSheetId="1">'Cash Flow 2010'!$A$1:$N$109</definedName>
    <definedName name="_xlnm.Print_Area" localSheetId="3">'Cash Flow 2012 '!$AI$54:$AK$111</definedName>
    <definedName name="_xlnm.Print_Area" localSheetId="4">'Cash Flow 2013'!$A$1:$N$116</definedName>
    <definedName name="_xlnm.Print_Area" localSheetId="5">'Cash Flow 2014'!$A$1:$Q$94</definedName>
    <definedName name="_xlnm.Print_Area" localSheetId="6">'Cash Flow 2015'!$A$1:$P$101</definedName>
    <definedName name="_xlnm.Print_Area" localSheetId="7">'Cash Flow 2016'!$A$1:$P$100</definedName>
    <definedName name="_xlnm.Print_Area" localSheetId="8">'Cash Flow 2017'!$A$1:$P$92</definedName>
    <definedName name="_xlnm.Print_Area" localSheetId="9">'Cash Flow 2018'!$A$1:$O$92</definedName>
    <definedName name="_xlnm.Print_Area" localSheetId="10">'Cash Flow 2019'!$A$1:$P$92</definedName>
    <definedName name="_xlnm.Print_Area" localSheetId="2">'Cash Flow2011'!$A$1:$N$111</definedName>
    <definedName name="_xlnm.Print_Area" localSheetId="11">Personnel!$A$1:$AD$266</definedName>
    <definedName name="_xlnm.Print_Titles" localSheetId="0">'Cash Flow 2009'!$10:$11</definedName>
    <definedName name="_xlnm.Print_Titles" localSheetId="1">'Cash Flow 2010'!$10:$11</definedName>
    <definedName name="_xlnm.Print_Titles" localSheetId="3">'Cash Flow 2012 '!$10:$11</definedName>
    <definedName name="_xlnm.Print_Titles" localSheetId="4">'Cash Flow 2013'!$10:$11</definedName>
    <definedName name="_xlnm.Print_Titles" localSheetId="5">'Cash Flow 2014'!$10:$11</definedName>
    <definedName name="_xlnm.Print_Titles" localSheetId="6">'Cash Flow 2015'!$10:$11</definedName>
    <definedName name="_xlnm.Print_Titles" localSheetId="7">'Cash Flow 2016'!#REF!</definedName>
    <definedName name="_xlnm.Print_Titles" localSheetId="8">'Cash Flow 2017'!#REF!</definedName>
    <definedName name="_xlnm.Print_Titles" localSheetId="9">'Cash Flow 2018'!#REF!</definedName>
    <definedName name="_xlnm.Print_Titles" localSheetId="10">'Cash Flow 2019'!#REF!</definedName>
    <definedName name="_xlnm.Print_Titles" localSheetId="2">'Cash Flow2011'!$10:$11</definedName>
    <definedName name="_xlnm.Print_Titles" localSheetId="11">Personnel!$5:$5</definedName>
  </definedNames>
  <calcPr calcId="125725"/>
</workbook>
</file>

<file path=xl/calcChain.xml><?xml version="1.0" encoding="utf-8"?>
<calcChain xmlns="http://schemas.openxmlformats.org/spreadsheetml/2006/main">
  <c r="N40" i="20"/>
  <c r="M40"/>
  <c r="L40"/>
  <c r="K40"/>
  <c r="J40"/>
  <c r="I40"/>
  <c r="H40"/>
  <c r="G40"/>
  <c r="F40"/>
  <c r="E40"/>
  <c r="D40"/>
  <c r="C40"/>
  <c r="N40" i="19"/>
  <c r="M40"/>
  <c r="L40"/>
  <c r="K40"/>
  <c r="J40"/>
  <c r="I40"/>
  <c r="H40"/>
  <c r="G40"/>
  <c r="F40"/>
  <c r="E40"/>
  <c r="D40"/>
  <c r="C40"/>
  <c r="AA179" i="2"/>
  <c r="AA37"/>
  <c r="AA236" l="1"/>
  <c r="M236"/>
  <c r="L236"/>
  <c r="K236"/>
  <c r="J236"/>
  <c r="AD168" l="1"/>
  <c r="AB258"/>
  <c r="AA130"/>
  <c r="M129"/>
  <c r="AA129" s="1"/>
  <c r="L127"/>
  <c r="L128"/>
  <c r="K126"/>
  <c r="L126" s="1"/>
  <c r="M126" s="1"/>
  <c r="N126" s="1"/>
  <c r="O126" s="1"/>
  <c r="P126" s="1"/>
  <c r="Q126" s="1"/>
  <c r="R126" s="1"/>
  <c r="S126" s="1"/>
  <c r="T126" s="1"/>
  <c r="U126" s="1"/>
  <c r="V126" s="1"/>
  <c r="W126" s="1"/>
  <c r="X126" s="1"/>
  <c r="Y126" s="1"/>
  <c r="Z126" s="1"/>
  <c r="AA126" s="1"/>
  <c r="AA162"/>
  <c r="AA155"/>
  <c r="K154"/>
  <c r="L154" s="1"/>
  <c r="M154" s="1"/>
  <c r="N154" s="1"/>
  <c r="AA135"/>
  <c r="AA148"/>
  <c r="M106"/>
  <c r="AA106" s="1"/>
  <c r="M102"/>
  <c r="AA102" s="1"/>
  <c r="M96"/>
  <c r="AA96" s="1"/>
  <c r="N183"/>
  <c r="O183"/>
  <c r="P183"/>
  <c r="Q183"/>
  <c r="R183"/>
  <c r="S183"/>
  <c r="T183"/>
  <c r="U183"/>
  <c r="V183"/>
  <c r="W183"/>
  <c r="X183"/>
  <c r="Y183"/>
  <c r="Z183"/>
  <c r="N193"/>
  <c r="O193"/>
  <c r="P193"/>
  <c r="Q193"/>
  <c r="R193"/>
  <c r="S193"/>
  <c r="T193"/>
  <c r="U193"/>
  <c r="V193"/>
  <c r="W193"/>
  <c r="X193"/>
  <c r="Y193"/>
  <c r="Z193"/>
  <c r="N229"/>
  <c r="O229"/>
  <c r="P229"/>
  <c r="Q229"/>
  <c r="R229"/>
  <c r="S229"/>
  <c r="T229"/>
  <c r="U229"/>
  <c r="V229"/>
  <c r="W229"/>
  <c r="X229"/>
  <c r="Y229"/>
  <c r="Z229"/>
  <c r="AA229"/>
  <c r="N246"/>
  <c r="O246"/>
  <c r="P246"/>
  <c r="Q246"/>
  <c r="R246"/>
  <c r="S246"/>
  <c r="T246"/>
  <c r="U246"/>
  <c r="V246"/>
  <c r="W246"/>
  <c r="X246"/>
  <c r="Y246"/>
  <c r="Z246"/>
  <c r="N250"/>
  <c r="N258" s="1"/>
  <c r="O250"/>
  <c r="O258" s="1"/>
  <c r="P250"/>
  <c r="P258" s="1"/>
  <c r="Q250"/>
  <c r="Q258" s="1"/>
  <c r="R250"/>
  <c r="R258" s="1"/>
  <c r="S250"/>
  <c r="S258" s="1"/>
  <c r="T250"/>
  <c r="T258" s="1"/>
  <c r="U250"/>
  <c r="U258" s="1"/>
  <c r="V250"/>
  <c r="V258" s="1"/>
  <c r="W250"/>
  <c r="W258" s="1"/>
  <c r="X250"/>
  <c r="X258" s="1"/>
  <c r="Y250"/>
  <c r="Y258" s="1"/>
  <c r="Z250"/>
  <c r="Z258" s="1"/>
  <c r="AA119"/>
  <c r="AA120"/>
  <c r="AA121"/>
  <c r="AA141"/>
  <c r="AA142"/>
  <c r="AA147"/>
  <c r="AA153"/>
  <c r="AA160"/>
  <c r="AA161"/>
  <c r="AA168"/>
  <c r="AA170"/>
  <c r="AA171"/>
  <c r="AA180"/>
  <c r="AA181"/>
  <c r="AA182"/>
  <c r="AA184"/>
  <c r="AA191"/>
  <c r="AA192"/>
  <c r="AA194"/>
  <c r="AA201"/>
  <c r="AA202"/>
  <c r="AA205"/>
  <c r="AA206"/>
  <c r="AA208"/>
  <c r="AA209"/>
  <c r="AA237"/>
  <c r="AA238"/>
  <c r="AA239"/>
  <c r="AA240"/>
  <c r="N38"/>
  <c r="O38"/>
  <c r="P38"/>
  <c r="Q38"/>
  <c r="R38"/>
  <c r="S38"/>
  <c r="T38"/>
  <c r="U38"/>
  <c r="V38"/>
  <c r="W38"/>
  <c r="X38"/>
  <c r="Y38"/>
  <c r="Z38"/>
  <c r="N31"/>
  <c r="O31"/>
  <c r="P31"/>
  <c r="Q31"/>
  <c r="R31"/>
  <c r="S31"/>
  <c r="T31"/>
  <c r="U31"/>
  <c r="V31"/>
  <c r="W31"/>
  <c r="X31"/>
  <c r="Y31"/>
  <c r="Z31"/>
  <c r="N24"/>
  <c r="O24"/>
  <c r="P24"/>
  <c r="Q24"/>
  <c r="R24"/>
  <c r="S24"/>
  <c r="T24"/>
  <c r="U24"/>
  <c r="V24"/>
  <c r="W24"/>
  <c r="X24"/>
  <c r="Y24"/>
  <c r="Z24"/>
  <c r="N17"/>
  <c r="O17"/>
  <c r="O244" s="1"/>
  <c r="P17"/>
  <c r="P244" s="1"/>
  <c r="Q17"/>
  <c r="Q244" s="1"/>
  <c r="R17"/>
  <c r="R244" s="1"/>
  <c r="S17"/>
  <c r="S244" s="1"/>
  <c r="T17"/>
  <c r="T244" s="1"/>
  <c r="U17"/>
  <c r="U244" s="1"/>
  <c r="V17"/>
  <c r="V244" s="1"/>
  <c r="W17"/>
  <c r="W244" s="1"/>
  <c r="X17"/>
  <c r="X244" s="1"/>
  <c r="Y17"/>
  <c r="Y244" s="1"/>
  <c r="Z17"/>
  <c r="Z244" s="1"/>
  <c r="AA35"/>
  <c r="AA40"/>
  <c r="AA43"/>
  <c r="AA46"/>
  <c r="AA47"/>
  <c r="AA53"/>
  <c r="AA57"/>
  <c r="AA62"/>
  <c r="AA68"/>
  <c r="AA74"/>
  <c r="AA75"/>
  <c r="AA83"/>
  <c r="AA84"/>
  <c r="O154" l="1"/>
  <c r="N244"/>
  <c r="C25" i="20"/>
  <c r="D25" s="1"/>
  <c r="D24"/>
  <c r="E24" s="1"/>
  <c r="F24" s="1"/>
  <c r="C24"/>
  <c r="C25" i="19"/>
  <c r="D25" s="1"/>
  <c r="E25" s="1"/>
  <c r="F25" s="1"/>
  <c r="G25" s="1"/>
  <c r="H25" s="1"/>
  <c r="I25" s="1"/>
  <c r="J25" s="1"/>
  <c r="K25" s="1"/>
  <c r="L25" s="1"/>
  <c r="M25" s="1"/>
  <c r="N25" s="1"/>
  <c r="C24"/>
  <c r="D24" s="1"/>
  <c r="E24" s="1"/>
  <c r="F24" s="1"/>
  <c r="G24" s="1"/>
  <c r="H24" s="1"/>
  <c r="I24" s="1"/>
  <c r="J24" s="1"/>
  <c r="K24" s="1"/>
  <c r="L24" s="1"/>
  <c r="M24" s="1"/>
  <c r="N24" s="1"/>
  <c r="E25" i="18"/>
  <c r="F25" s="1"/>
  <c r="G25" s="1"/>
  <c r="H25" s="1"/>
  <c r="I25" s="1"/>
  <c r="J25" s="1"/>
  <c r="K25" s="1"/>
  <c r="L25" s="1"/>
  <c r="M25" s="1"/>
  <c r="N25" s="1"/>
  <c r="D25"/>
  <c r="C25"/>
  <c r="D24"/>
  <c r="E24" s="1"/>
  <c r="F24" s="1"/>
  <c r="G24" s="1"/>
  <c r="H24" s="1"/>
  <c r="I24" s="1"/>
  <c r="J24" s="1"/>
  <c r="K24" s="1"/>
  <c r="L24" s="1"/>
  <c r="M24" s="1"/>
  <c r="N24" s="1"/>
  <c r="C24"/>
  <c r="C25" i="15"/>
  <c r="D25" s="1"/>
  <c r="E25" s="1"/>
  <c r="F25" s="1"/>
  <c r="G25" s="1"/>
  <c r="H25" s="1"/>
  <c r="I25" s="1"/>
  <c r="J25" s="1"/>
  <c r="K25" s="1"/>
  <c r="L25" s="1"/>
  <c r="M25" s="1"/>
  <c r="N25" s="1"/>
  <c r="N24"/>
  <c r="M24"/>
  <c r="L24"/>
  <c r="K24"/>
  <c r="J24"/>
  <c r="I24"/>
  <c r="H24"/>
  <c r="G24"/>
  <c r="F24"/>
  <c r="E24"/>
  <c r="D24"/>
  <c r="C24"/>
  <c r="O79" i="18"/>
  <c r="N92" i="13"/>
  <c r="O93" i="14"/>
  <c r="O90"/>
  <c r="O89"/>
  <c r="O88"/>
  <c r="O87"/>
  <c r="O86"/>
  <c r="O85"/>
  <c r="C52" i="18"/>
  <c r="P52"/>
  <c r="O90" i="20"/>
  <c r="O88"/>
  <c r="O87"/>
  <c r="O86"/>
  <c r="O85"/>
  <c r="O84"/>
  <c r="O83"/>
  <c r="O82"/>
  <c r="O81"/>
  <c r="O80"/>
  <c r="O78"/>
  <c r="O77"/>
  <c r="O76"/>
  <c r="O75"/>
  <c r="N74"/>
  <c r="M74"/>
  <c r="L74"/>
  <c r="K74"/>
  <c r="J74"/>
  <c r="I74"/>
  <c r="H74"/>
  <c r="G74"/>
  <c r="F74"/>
  <c r="E74"/>
  <c r="D74"/>
  <c r="C74"/>
  <c r="O74" s="1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C43"/>
  <c r="O42"/>
  <c r="O41"/>
  <c r="O40"/>
  <c r="N39"/>
  <c r="M39"/>
  <c r="L39"/>
  <c r="K39"/>
  <c r="J39"/>
  <c r="I39"/>
  <c r="H39"/>
  <c r="G39"/>
  <c r="F39"/>
  <c r="E39"/>
  <c r="D39"/>
  <c r="C39"/>
  <c r="C38"/>
  <c r="O38" s="1"/>
  <c r="C31"/>
  <c r="O30"/>
  <c r="O29"/>
  <c r="N27"/>
  <c r="O27" s="1"/>
  <c r="O26"/>
  <c r="O19"/>
  <c r="O18"/>
  <c r="O17"/>
  <c r="E16"/>
  <c r="H16" s="1"/>
  <c r="K16" s="1"/>
  <c r="C25" i="14"/>
  <c r="D25" s="1"/>
  <c r="E25" s="1"/>
  <c r="F25" s="1"/>
  <c r="C24"/>
  <c r="P154" i="2" l="1"/>
  <c r="E25" i="20"/>
  <c r="F25" s="1"/>
  <c r="G25" s="1"/>
  <c r="H25" s="1"/>
  <c r="I25" s="1"/>
  <c r="J25" s="1"/>
  <c r="K25" s="1"/>
  <c r="L25" s="1"/>
  <c r="M25" s="1"/>
  <c r="N25" s="1"/>
  <c r="D31"/>
  <c r="G25" i="14"/>
  <c r="H25" s="1"/>
  <c r="I25" s="1"/>
  <c r="J25" s="1"/>
  <c r="K25" s="1"/>
  <c r="L25" s="1"/>
  <c r="M25" s="1"/>
  <c r="G24" i="20"/>
  <c r="F31"/>
  <c r="E31"/>
  <c r="N16"/>
  <c r="N39" i="18"/>
  <c r="M39"/>
  <c r="L39"/>
  <c r="K39"/>
  <c r="J39"/>
  <c r="I39"/>
  <c r="H39"/>
  <c r="G39"/>
  <c r="F39"/>
  <c r="E39"/>
  <c r="D39"/>
  <c r="C39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C59"/>
  <c r="C58"/>
  <c r="N62"/>
  <c r="M62"/>
  <c r="L62"/>
  <c r="K62"/>
  <c r="J62"/>
  <c r="I62"/>
  <c r="H62"/>
  <c r="G62"/>
  <c r="F62"/>
  <c r="E62"/>
  <c r="D62"/>
  <c r="C62"/>
  <c r="N39" i="19"/>
  <c r="M39"/>
  <c r="L39"/>
  <c r="K39"/>
  <c r="J39"/>
  <c r="I39"/>
  <c r="H39"/>
  <c r="G39"/>
  <c r="F39"/>
  <c r="E39"/>
  <c r="D39"/>
  <c r="C39"/>
  <c r="O42" i="15"/>
  <c r="N39"/>
  <c r="M39"/>
  <c r="L39"/>
  <c r="K39"/>
  <c r="J39"/>
  <c r="I39"/>
  <c r="H39"/>
  <c r="G39"/>
  <c r="F39"/>
  <c r="E39"/>
  <c r="D39"/>
  <c r="C66"/>
  <c r="C63"/>
  <c r="O54"/>
  <c r="C53"/>
  <c r="C55"/>
  <c r="C44"/>
  <c r="C41"/>
  <c r="C40"/>
  <c r="C39"/>
  <c r="E16" i="18"/>
  <c r="E16" i="19"/>
  <c r="D31" i="15"/>
  <c r="M93" i="13"/>
  <c r="M94" s="1"/>
  <c r="D43" i="14"/>
  <c r="E43"/>
  <c r="F43"/>
  <c r="G43"/>
  <c r="H43"/>
  <c r="I43"/>
  <c r="J43"/>
  <c r="K43"/>
  <c r="L43"/>
  <c r="M43"/>
  <c r="N43"/>
  <c r="Q154" i="2" l="1"/>
  <c r="O25" i="14"/>
  <c r="H24" i="20"/>
  <c r="G31"/>
  <c r="O16"/>
  <c r="R154" i="2" l="1"/>
  <c r="I24" i="20"/>
  <c r="H31"/>
  <c r="N70" i="14"/>
  <c r="M70"/>
  <c r="L70"/>
  <c r="K70"/>
  <c r="J70"/>
  <c r="I70"/>
  <c r="H70"/>
  <c r="G70"/>
  <c r="F70"/>
  <c r="E70"/>
  <c r="D70"/>
  <c r="C70"/>
  <c r="N64"/>
  <c r="M64"/>
  <c r="L64"/>
  <c r="K64"/>
  <c r="J64"/>
  <c r="I64"/>
  <c r="H64"/>
  <c r="G64"/>
  <c r="F64"/>
  <c r="E64"/>
  <c r="D64"/>
  <c r="C64"/>
  <c r="N62"/>
  <c r="M62"/>
  <c r="L62"/>
  <c r="K62"/>
  <c r="J62"/>
  <c r="I62"/>
  <c r="H62"/>
  <c r="G62"/>
  <c r="F62"/>
  <c r="E62"/>
  <c r="D62"/>
  <c r="C62"/>
  <c r="N61"/>
  <c r="M61"/>
  <c r="L61"/>
  <c r="K61"/>
  <c r="J61"/>
  <c r="I61"/>
  <c r="H61"/>
  <c r="G61"/>
  <c r="F61"/>
  <c r="E61"/>
  <c r="D61"/>
  <c r="C61"/>
  <c r="N60"/>
  <c r="M60"/>
  <c r="L60"/>
  <c r="K60"/>
  <c r="J60"/>
  <c r="I60"/>
  <c r="H60"/>
  <c r="G60"/>
  <c r="F60"/>
  <c r="E60"/>
  <c r="D60"/>
  <c r="C60"/>
  <c r="N55"/>
  <c r="M55"/>
  <c r="L55"/>
  <c r="K55"/>
  <c r="J55"/>
  <c r="I55"/>
  <c r="H55"/>
  <c r="G55"/>
  <c r="F55"/>
  <c r="E55"/>
  <c r="D55"/>
  <c r="C55"/>
  <c r="C54"/>
  <c r="O54"/>
  <c r="N42"/>
  <c r="M42"/>
  <c r="L42"/>
  <c r="K42"/>
  <c r="J42"/>
  <c r="I42"/>
  <c r="H42"/>
  <c r="G42"/>
  <c r="F42"/>
  <c r="E42"/>
  <c r="D42"/>
  <c r="C42"/>
  <c r="N41"/>
  <c r="M41"/>
  <c r="L41"/>
  <c r="K41"/>
  <c r="J41"/>
  <c r="I41"/>
  <c r="H41"/>
  <c r="G41"/>
  <c r="F41"/>
  <c r="E41"/>
  <c r="D41"/>
  <c r="C41"/>
  <c r="N40"/>
  <c r="M40"/>
  <c r="L40"/>
  <c r="K40"/>
  <c r="J40"/>
  <c r="I40"/>
  <c r="H40"/>
  <c r="G40"/>
  <c r="F40"/>
  <c r="E40"/>
  <c r="D40"/>
  <c r="C40"/>
  <c r="N44"/>
  <c r="M44"/>
  <c r="L44"/>
  <c r="K44"/>
  <c r="J44"/>
  <c r="I44"/>
  <c r="H44"/>
  <c r="G44"/>
  <c r="F44"/>
  <c r="E44"/>
  <c r="D44"/>
  <c r="C44"/>
  <c r="N84"/>
  <c r="M84"/>
  <c r="L84"/>
  <c r="K84"/>
  <c r="J84"/>
  <c r="I84"/>
  <c r="H84"/>
  <c r="G84"/>
  <c r="F84"/>
  <c r="E84"/>
  <c r="N78"/>
  <c r="M78"/>
  <c r="L78"/>
  <c r="K78"/>
  <c r="J78"/>
  <c r="I78"/>
  <c r="H78"/>
  <c r="G78"/>
  <c r="F78"/>
  <c r="E78"/>
  <c r="D78"/>
  <c r="C78"/>
  <c r="N76"/>
  <c r="M76"/>
  <c r="L76"/>
  <c r="K76"/>
  <c r="J76"/>
  <c r="I76"/>
  <c r="H76"/>
  <c r="G76"/>
  <c r="F76"/>
  <c r="E76"/>
  <c r="D76"/>
  <c r="C76"/>
  <c r="N74"/>
  <c r="M74"/>
  <c r="L74"/>
  <c r="K74"/>
  <c r="J74"/>
  <c r="I74"/>
  <c r="H74"/>
  <c r="G74"/>
  <c r="F74"/>
  <c r="E74"/>
  <c r="D74"/>
  <c r="C74"/>
  <c r="C30"/>
  <c r="C99"/>
  <c r="C43"/>
  <c r="E16"/>
  <c r="S154" i="2" l="1"/>
  <c r="D99" i="14"/>
  <c r="D100" s="1"/>
  <c r="D101" s="1"/>
  <c r="D92" s="1"/>
  <c r="C100"/>
  <c r="C101" s="1"/>
  <c r="C92" s="1"/>
  <c r="J24" i="20"/>
  <c r="I31"/>
  <c r="N81" i="14"/>
  <c r="M81"/>
  <c r="L81"/>
  <c r="K81"/>
  <c r="J81"/>
  <c r="I81"/>
  <c r="H81"/>
  <c r="G81"/>
  <c r="F81"/>
  <c r="E81"/>
  <c r="G229" i="2"/>
  <c r="M229"/>
  <c r="L229"/>
  <c r="K229"/>
  <c r="J229"/>
  <c r="K198"/>
  <c r="L198" s="1"/>
  <c r="M198" s="1"/>
  <c r="N198" s="1"/>
  <c r="O198" s="1"/>
  <c r="P198" s="1"/>
  <c r="Q198" s="1"/>
  <c r="R198" s="1"/>
  <c r="S198" s="1"/>
  <c r="T198" s="1"/>
  <c r="U198" s="1"/>
  <c r="V198" s="1"/>
  <c r="W198" s="1"/>
  <c r="X198" s="1"/>
  <c r="Y198" s="1"/>
  <c r="Z198" s="1"/>
  <c r="AA198" s="1"/>
  <c r="K197"/>
  <c r="L197" s="1"/>
  <c r="M197" s="1"/>
  <c r="N197" s="1"/>
  <c r="K199"/>
  <c r="M199" s="1"/>
  <c r="N199" s="1"/>
  <c r="O199" s="1"/>
  <c r="P199" s="1"/>
  <c r="Q199" s="1"/>
  <c r="R199" s="1"/>
  <c r="S199" s="1"/>
  <c r="T199" s="1"/>
  <c r="U199" s="1"/>
  <c r="V199" s="1"/>
  <c r="W199" s="1"/>
  <c r="X199" s="1"/>
  <c r="Y199" s="1"/>
  <c r="Z199" s="1"/>
  <c r="AA199" s="1"/>
  <c r="K11"/>
  <c r="L11" s="1"/>
  <c r="M11" s="1"/>
  <c r="AA11" s="1"/>
  <c r="K15"/>
  <c r="L15" s="1"/>
  <c r="M15" s="1"/>
  <c r="AA15" s="1"/>
  <c r="K16"/>
  <c r="L16" s="1"/>
  <c r="M16" s="1"/>
  <c r="AA16" s="1"/>
  <c r="J159"/>
  <c r="K159" s="1"/>
  <c r="L159" s="1"/>
  <c r="M159" s="1"/>
  <c r="N159" s="1"/>
  <c r="J79"/>
  <c r="K79" s="1"/>
  <c r="L79" s="1"/>
  <c r="M79" s="1"/>
  <c r="AA79" s="1"/>
  <c r="K80"/>
  <c r="L80" s="1"/>
  <c r="M80" s="1"/>
  <c r="AA80" s="1"/>
  <c r="K59"/>
  <c r="L59" s="1"/>
  <c r="M59" s="1"/>
  <c r="AA59" s="1"/>
  <c r="J46"/>
  <c r="J47"/>
  <c r="G179"/>
  <c r="E99" i="14" l="1"/>
  <c r="E100" s="1"/>
  <c r="E101" s="1"/>
  <c r="E92" s="1"/>
  <c r="O81"/>
  <c r="O159" i="2"/>
  <c r="N169"/>
  <c r="N245" s="1"/>
  <c r="T154"/>
  <c r="O197"/>
  <c r="N200"/>
  <c r="J31" i="20"/>
  <c r="K24"/>
  <c r="L73" i="13"/>
  <c r="L76"/>
  <c r="L24"/>
  <c r="L83"/>
  <c r="L40"/>
  <c r="L39"/>
  <c r="L70"/>
  <c r="L71"/>
  <c r="L72"/>
  <c r="L56"/>
  <c r="L58"/>
  <c r="L60"/>
  <c r="L42"/>
  <c r="L57"/>
  <c r="L79"/>
  <c r="L52"/>
  <c r="L53"/>
  <c r="L41"/>
  <c r="L36"/>
  <c r="L25"/>
  <c r="L43"/>
  <c r="L29"/>
  <c r="L27"/>
  <c r="K74"/>
  <c r="K76"/>
  <c r="K40"/>
  <c r="K66"/>
  <c r="K36"/>
  <c r="K39"/>
  <c r="K72"/>
  <c r="K69"/>
  <c r="K71"/>
  <c r="K58"/>
  <c r="K73"/>
  <c r="K60"/>
  <c r="K54"/>
  <c r="K70"/>
  <c r="K42"/>
  <c r="K79"/>
  <c r="K52"/>
  <c r="K53"/>
  <c r="K29"/>
  <c r="K23"/>
  <c r="K27"/>
  <c r="K38"/>
  <c r="K57"/>
  <c r="K24"/>
  <c r="K43"/>
  <c r="J41"/>
  <c r="J43"/>
  <c r="J70"/>
  <c r="J60"/>
  <c r="J73"/>
  <c r="J58"/>
  <c r="J56"/>
  <c r="J76"/>
  <c r="J40"/>
  <c r="J69"/>
  <c r="J42"/>
  <c r="J79"/>
  <c r="J57"/>
  <c r="J38"/>
  <c r="J36"/>
  <c r="J26"/>
  <c r="J24"/>
  <c r="J25"/>
  <c r="J27"/>
  <c r="F99" i="14" l="1"/>
  <c r="F100" s="1"/>
  <c r="F101" s="1"/>
  <c r="F92" s="1"/>
  <c r="P159" i="2"/>
  <c r="O169"/>
  <c r="O245" s="1"/>
  <c r="U154"/>
  <c r="P197"/>
  <c r="O200"/>
  <c r="L24" i="20"/>
  <c r="K31"/>
  <c r="G99" i="14"/>
  <c r="I53" i="13"/>
  <c r="I56"/>
  <c r="I76"/>
  <c r="I39"/>
  <c r="I73"/>
  <c r="I79"/>
  <c r="I60"/>
  <c r="I72"/>
  <c r="I58"/>
  <c r="I83"/>
  <c r="I69"/>
  <c r="I40"/>
  <c r="I36"/>
  <c r="I38"/>
  <c r="I52"/>
  <c r="I70"/>
  <c r="I57"/>
  <c r="I41"/>
  <c r="I43"/>
  <c r="I42"/>
  <c r="I29"/>
  <c r="I27"/>
  <c r="I25"/>
  <c r="I24"/>
  <c r="C38"/>
  <c r="C40"/>
  <c r="C41"/>
  <c r="C42"/>
  <c r="C43"/>
  <c r="C50"/>
  <c r="C52"/>
  <c r="C56"/>
  <c r="C57"/>
  <c r="C58"/>
  <c r="C60"/>
  <c r="C61"/>
  <c r="C63"/>
  <c r="C69"/>
  <c r="C70"/>
  <c r="C71"/>
  <c r="C73"/>
  <c r="C74"/>
  <c r="C76"/>
  <c r="C78"/>
  <c r="C79"/>
  <c r="C83"/>
  <c r="C86"/>
  <c r="P30"/>
  <c r="P23"/>
  <c r="P22"/>
  <c r="P21"/>
  <c r="P19"/>
  <c r="P18"/>
  <c r="H73"/>
  <c r="H74"/>
  <c r="H43"/>
  <c r="H41"/>
  <c r="H40"/>
  <c r="H76"/>
  <c r="H56"/>
  <c r="H58"/>
  <c r="H55"/>
  <c r="H69"/>
  <c r="H38"/>
  <c r="H66"/>
  <c r="H53"/>
  <c r="H52"/>
  <c r="H60"/>
  <c r="H42"/>
  <c r="H57"/>
  <c r="H54"/>
  <c r="H79"/>
  <c r="H70"/>
  <c r="H36"/>
  <c r="H29"/>
  <c r="H27"/>
  <c r="H25"/>
  <c r="H24"/>
  <c r="G73"/>
  <c r="G76"/>
  <c r="G60"/>
  <c r="G56"/>
  <c r="G43"/>
  <c r="G69"/>
  <c r="G36"/>
  <c r="G70"/>
  <c r="G79"/>
  <c r="G78"/>
  <c r="G52"/>
  <c r="G40"/>
  <c r="G42"/>
  <c r="G50"/>
  <c r="G57"/>
  <c r="G58"/>
  <c r="G83"/>
  <c r="G66"/>
  <c r="G27"/>
  <c r="G24"/>
  <c r="F24"/>
  <c r="F39"/>
  <c r="F42"/>
  <c r="F36"/>
  <c r="F83"/>
  <c r="F60"/>
  <c r="F76"/>
  <c r="F72"/>
  <c r="F71"/>
  <c r="F66"/>
  <c r="F54"/>
  <c r="F58"/>
  <c r="F56"/>
  <c r="F41"/>
  <c r="F40"/>
  <c r="F74"/>
  <c r="F73"/>
  <c r="F69"/>
  <c r="F59"/>
  <c r="F25"/>
  <c r="F70"/>
  <c r="F79"/>
  <c r="F57"/>
  <c r="F38"/>
  <c r="F43"/>
  <c r="F50"/>
  <c r="F20"/>
  <c r="P20" s="1"/>
  <c r="F29"/>
  <c r="F27"/>
  <c r="N76"/>
  <c r="M76"/>
  <c r="E40"/>
  <c r="E86"/>
  <c r="E79"/>
  <c r="E60"/>
  <c r="E83"/>
  <c r="E56"/>
  <c r="E58"/>
  <c r="E53"/>
  <c r="E36"/>
  <c r="E69"/>
  <c r="E76"/>
  <c r="E57"/>
  <c r="E41"/>
  <c r="E73"/>
  <c r="E38"/>
  <c r="E55"/>
  <c r="E52"/>
  <c r="E71"/>
  <c r="E50"/>
  <c r="E42"/>
  <c r="E29"/>
  <c r="E26"/>
  <c r="P26" s="1"/>
  <c r="E25"/>
  <c r="E24"/>
  <c r="E27"/>
  <c r="E31" s="1"/>
  <c r="D36"/>
  <c r="D40"/>
  <c r="D60"/>
  <c r="D57"/>
  <c r="D69"/>
  <c r="D42"/>
  <c r="D86"/>
  <c r="D50"/>
  <c r="D70"/>
  <c r="D73"/>
  <c r="D53"/>
  <c r="D76"/>
  <c r="D56"/>
  <c r="D52"/>
  <c r="D41"/>
  <c r="D39"/>
  <c r="D38"/>
  <c r="D29"/>
  <c r="D25"/>
  <c r="P25" s="1"/>
  <c r="Q25" s="1"/>
  <c r="D24"/>
  <c r="D31" s="1"/>
  <c r="D27"/>
  <c r="E43"/>
  <c r="C36"/>
  <c r="D43"/>
  <c r="C29"/>
  <c r="P29" s="1"/>
  <c r="C24"/>
  <c r="C27"/>
  <c r="C28"/>
  <c r="P28" s="1"/>
  <c r="H60" i="2"/>
  <c r="H52"/>
  <c r="H55"/>
  <c r="H58"/>
  <c r="H82"/>
  <c r="H71"/>
  <c r="H72"/>
  <c r="H50"/>
  <c r="H65"/>
  <c r="H45"/>
  <c r="H78"/>
  <c r="H86"/>
  <c r="H28"/>
  <c r="H10"/>
  <c r="H94"/>
  <c r="H140"/>
  <c r="H135"/>
  <c r="H134"/>
  <c r="H11"/>
  <c r="H126"/>
  <c r="H99"/>
  <c r="H98"/>
  <c r="H100"/>
  <c r="H159"/>
  <c r="H115"/>
  <c r="H114"/>
  <c r="H93"/>
  <c r="H152"/>
  <c r="H104"/>
  <c r="H175"/>
  <c r="H21"/>
  <c r="H20"/>
  <c r="C43" i="15"/>
  <c r="O87" i="13"/>
  <c r="M42"/>
  <c r="N91" i="14"/>
  <c r="M91"/>
  <c r="L91"/>
  <c r="K91"/>
  <c r="J91"/>
  <c r="I91"/>
  <c r="H91"/>
  <c r="G91"/>
  <c r="F91"/>
  <c r="E91"/>
  <c r="D91"/>
  <c r="C91"/>
  <c r="N43" i="18"/>
  <c r="M43"/>
  <c r="L43"/>
  <c r="K43"/>
  <c r="J43"/>
  <c r="I43"/>
  <c r="H43"/>
  <c r="G43"/>
  <c r="F43"/>
  <c r="E43"/>
  <c r="D43"/>
  <c r="C43" i="19"/>
  <c r="V78" i="14"/>
  <c r="W78" s="1"/>
  <c r="V77"/>
  <c r="W77" s="1"/>
  <c r="G31" i="13"/>
  <c r="J31"/>
  <c r="K31"/>
  <c r="L31"/>
  <c r="M31"/>
  <c r="M43"/>
  <c r="N31"/>
  <c r="N43"/>
  <c r="H16" i="19"/>
  <c r="K16" s="1"/>
  <c r="K31" s="1"/>
  <c r="O17"/>
  <c r="O18"/>
  <c r="O19"/>
  <c r="O24"/>
  <c r="O26"/>
  <c r="N27"/>
  <c r="O27" s="1"/>
  <c r="O29"/>
  <c r="O30"/>
  <c r="C31"/>
  <c r="D31"/>
  <c r="E31"/>
  <c r="F31"/>
  <c r="G31"/>
  <c r="I31"/>
  <c r="J31"/>
  <c r="L31"/>
  <c r="M31"/>
  <c r="C38"/>
  <c r="O38" s="1"/>
  <c r="O40"/>
  <c r="O41"/>
  <c r="O42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C74"/>
  <c r="D74"/>
  <c r="E74"/>
  <c r="F74"/>
  <c r="G74"/>
  <c r="H74"/>
  <c r="I74"/>
  <c r="J74"/>
  <c r="K74"/>
  <c r="L74"/>
  <c r="M74"/>
  <c r="N74"/>
  <c r="O75"/>
  <c r="O76"/>
  <c r="O77"/>
  <c r="O78"/>
  <c r="O80"/>
  <c r="O81"/>
  <c r="O82"/>
  <c r="O83"/>
  <c r="O84"/>
  <c r="O85"/>
  <c r="O86"/>
  <c r="O87"/>
  <c r="O88"/>
  <c r="O90"/>
  <c r="E31" i="18"/>
  <c r="O17"/>
  <c r="O18"/>
  <c r="O19"/>
  <c r="O24"/>
  <c r="O26"/>
  <c r="N27"/>
  <c r="O27"/>
  <c r="O29"/>
  <c r="O30"/>
  <c r="C31"/>
  <c r="D31"/>
  <c r="F31"/>
  <c r="G31"/>
  <c r="I31"/>
  <c r="J31"/>
  <c r="L31"/>
  <c r="M31"/>
  <c r="C38"/>
  <c r="O38"/>
  <c r="O40"/>
  <c r="O41"/>
  <c r="O42"/>
  <c r="O44"/>
  <c r="O45"/>
  <c r="O46"/>
  <c r="O47"/>
  <c r="O48"/>
  <c r="O49"/>
  <c r="O50"/>
  <c r="O51"/>
  <c r="O52"/>
  <c r="O53"/>
  <c r="O54"/>
  <c r="O55"/>
  <c r="O56"/>
  <c r="O57"/>
  <c r="O59"/>
  <c r="O60"/>
  <c r="O61"/>
  <c r="O63"/>
  <c r="O64"/>
  <c r="O65"/>
  <c r="O66"/>
  <c r="O67"/>
  <c r="O69"/>
  <c r="O70"/>
  <c r="O71"/>
  <c r="O72"/>
  <c r="O73"/>
  <c r="C74"/>
  <c r="D74"/>
  <c r="E74"/>
  <c r="F74"/>
  <c r="G74"/>
  <c r="H74"/>
  <c r="I74"/>
  <c r="J74"/>
  <c r="K74"/>
  <c r="L74"/>
  <c r="M74"/>
  <c r="N74"/>
  <c r="O75"/>
  <c r="O76"/>
  <c r="O77"/>
  <c r="O78"/>
  <c r="O80"/>
  <c r="O81"/>
  <c r="O82"/>
  <c r="O83"/>
  <c r="O84"/>
  <c r="O85"/>
  <c r="O86"/>
  <c r="O87"/>
  <c r="O88"/>
  <c r="O90"/>
  <c r="L250" i="2"/>
  <c r="L258" s="1"/>
  <c r="J250"/>
  <c r="J258" s="1"/>
  <c r="G236"/>
  <c r="G250" s="1"/>
  <c r="G258" s="1"/>
  <c r="L187"/>
  <c r="M187" s="1"/>
  <c r="AA187" s="1"/>
  <c r="L188"/>
  <c r="M188" s="1"/>
  <c r="AA188" s="1"/>
  <c r="L189"/>
  <c r="M189" s="1"/>
  <c r="AA189" s="1"/>
  <c r="M178"/>
  <c r="AA178" s="1"/>
  <c r="M127"/>
  <c r="AA127" s="1"/>
  <c r="M128"/>
  <c r="AA128" s="1"/>
  <c r="L167"/>
  <c r="M167" s="1"/>
  <c r="AA167" s="1"/>
  <c r="L134"/>
  <c r="M134" s="1"/>
  <c r="AA134" s="1"/>
  <c r="L152"/>
  <c r="M152" s="1"/>
  <c r="AA152" s="1"/>
  <c r="L146"/>
  <c r="M146" s="1"/>
  <c r="AA146" s="1"/>
  <c r="L140"/>
  <c r="M140" s="1"/>
  <c r="AA140" s="1"/>
  <c r="L100"/>
  <c r="M100" s="1"/>
  <c r="AA100" s="1"/>
  <c r="L101"/>
  <c r="M101" s="1"/>
  <c r="AA101" s="1"/>
  <c r="M116"/>
  <c r="AA116" s="1"/>
  <c r="L115"/>
  <c r="M115" s="1"/>
  <c r="AA115" s="1"/>
  <c r="M111"/>
  <c r="AA111" s="1"/>
  <c r="L90"/>
  <c r="M90" s="1"/>
  <c r="AA90" s="1"/>
  <c r="L91"/>
  <c r="M91" s="1"/>
  <c r="AA91" s="1"/>
  <c r="L30"/>
  <c r="M30" s="1"/>
  <c r="AA30" s="1"/>
  <c r="L29"/>
  <c r="M29" s="1"/>
  <c r="AA29" s="1"/>
  <c r="L23"/>
  <c r="M23" s="1"/>
  <c r="AA23" s="1"/>
  <c r="L12"/>
  <c r="M12" s="1"/>
  <c r="AA12" s="1"/>
  <c r="E16" i="15"/>
  <c r="E32" s="1"/>
  <c r="O77" i="14"/>
  <c r="O77" i="13"/>
  <c r="E204" i="2"/>
  <c r="K105"/>
  <c r="L105" s="1"/>
  <c r="M105" s="1"/>
  <c r="AA105" s="1"/>
  <c r="E203"/>
  <c r="E214"/>
  <c r="E200"/>
  <c r="K210"/>
  <c r="G200"/>
  <c r="K114"/>
  <c r="L114" s="1"/>
  <c r="M114" s="1"/>
  <c r="AA114" s="1"/>
  <c r="K110"/>
  <c r="L110" s="1"/>
  <c r="M110" s="1"/>
  <c r="AA110" s="1"/>
  <c r="K99"/>
  <c r="L99" s="1"/>
  <c r="M99" s="1"/>
  <c r="AA99" s="1"/>
  <c r="K94"/>
  <c r="L94" s="1"/>
  <c r="M94" s="1"/>
  <c r="AA94" s="1"/>
  <c r="K98"/>
  <c r="L98" s="1"/>
  <c r="M98" s="1"/>
  <c r="AA98" s="1"/>
  <c r="K10"/>
  <c r="L10" s="1"/>
  <c r="M10" s="1"/>
  <c r="AA10" s="1"/>
  <c r="K22"/>
  <c r="L22" s="1"/>
  <c r="M22" s="1"/>
  <c r="AA22" s="1"/>
  <c r="E17"/>
  <c r="E244" s="1"/>
  <c r="O82" i="14"/>
  <c r="O30" i="13"/>
  <c r="O29"/>
  <c r="O26"/>
  <c r="O23"/>
  <c r="O22"/>
  <c r="O21"/>
  <c r="O20"/>
  <c r="O19"/>
  <c r="O18"/>
  <c r="O17"/>
  <c r="O40" i="14"/>
  <c r="P36" i="10"/>
  <c r="L36" s="1"/>
  <c r="P37"/>
  <c r="P38"/>
  <c r="M38" s="1"/>
  <c r="P39"/>
  <c r="N39" s="1"/>
  <c r="P40"/>
  <c r="K40" s="1"/>
  <c r="P41"/>
  <c r="N41" s="1"/>
  <c r="P42"/>
  <c r="L42" s="1"/>
  <c r="P43"/>
  <c r="P44"/>
  <c r="K44" s="1"/>
  <c r="P45"/>
  <c r="N45" s="1"/>
  <c r="P46"/>
  <c r="H46" s="1"/>
  <c r="P47"/>
  <c r="P48"/>
  <c r="M48" s="1"/>
  <c r="P49"/>
  <c r="P50"/>
  <c r="F50" s="1"/>
  <c r="K53"/>
  <c r="K55"/>
  <c r="L40"/>
  <c r="L44"/>
  <c r="L53"/>
  <c r="L55"/>
  <c r="M40"/>
  <c r="M42"/>
  <c r="M44"/>
  <c r="M53"/>
  <c r="M55"/>
  <c r="N37"/>
  <c r="N40"/>
  <c r="N42"/>
  <c r="N43"/>
  <c r="N44"/>
  <c r="N47"/>
  <c r="N49"/>
  <c r="N53"/>
  <c r="N55"/>
  <c r="C32" i="14"/>
  <c r="C45"/>
  <c r="C45" i="15" s="1"/>
  <c r="D32" i="14"/>
  <c r="D45"/>
  <c r="E32"/>
  <c r="E45"/>
  <c r="F32"/>
  <c r="F45"/>
  <c r="G32"/>
  <c r="G45"/>
  <c r="H16"/>
  <c r="H32" s="1"/>
  <c r="H45"/>
  <c r="I32"/>
  <c r="I45"/>
  <c r="J32"/>
  <c r="J45"/>
  <c r="K45"/>
  <c r="L32"/>
  <c r="L45"/>
  <c r="M32"/>
  <c r="M45"/>
  <c r="N45"/>
  <c r="M32" i="15"/>
  <c r="I32"/>
  <c r="G32"/>
  <c r="D32"/>
  <c r="C32"/>
  <c r="O31"/>
  <c r="O29"/>
  <c r="N27"/>
  <c r="O27" s="1"/>
  <c r="O26"/>
  <c r="L32"/>
  <c r="J32"/>
  <c r="F32"/>
  <c r="O24"/>
  <c r="O19"/>
  <c r="O18"/>
  <c r="O17"/>
  <c r="E34" i="2"/>
  <c r="K36"/>
  <c r="L36" s="1"/>
  <c r="M36" s="1"/>
  <c r="AA36" s="1"/>
  <c r="K49"/>
  <c r="L49" s="1"/>
  <c r="M49" s="1"/>
  <c r="AA49" s="1"/>
  <c r="K50"/>
  <c r="L50" s="1"/>
  <c r="M50" s="1"/>
  <c r="AA50" s="1"/>
  <c r="K52"/>
  <c r="L52" s="1"/>
  <c r="M52" s="1"/>
  <c r="AA52" s="1"/>
  <c r="K51"/>
  <c r="L51" s="1"/>
  <c r="M51" s="1"/>
  <c r="AA51" s="1"/>
  <c r="O8" i="13"/>
  <c r="B227" i="2"/>
  <c r="C227"/>
  <c r="D227"/>
  <c r="B228"/>
  <c r="C228"/>
  <c r="D228"/>
  <c r="K250"/>
  <c r="K258" s="1"/>
  <c r="E236"/>
  <c r="E250" s="1"/>
  <c r="D169"/>
  <c r="K190"/>
  <c r="L190" s="1"/>
  <c r="M190" s="1"/>
  <c r="AA190" s="1"/>
  <c r="K41"/>
  <c r="K174"/>
  <c r="L174" s="1"/>
  <c r="M174" s="1"/>
  <c r="AA174" s="1"/>
  <c r="K175"/>
  <c r="L175" s="1"/>
  <c r="M175" s="1"/>
  <c r="AA175" s="1"/>
  <c r="K176"/>
  <c r="L176" s="1"/>
  <c r="M176" s="1"/>
  <c r="AA176" s="1"/>
  <c r="G180"/>
  <c r="J180" s="1"/>
  <c r="K180" s="1"/>
  <c r="K55"/>
  <c r="L55" s="1"/>
  <c r="M55" s="1"/>
  <c r="AA55" s="1"/>
  <c r="K82"/>
  <c r="L82" s="1"/>
  <c r="M82" s="1"/>
  <c r="AA82" s="1"/>
  <c r="K88"/>
  <c r="L88" s="1"/>
  <c r="M88" s="1"/>
  <c r="AA88" s="1"/>
  <c r="K93"/>
  <c r="L93" s="1"/>
  <c r="M93" s="1"/>
  <c r="AA93" s="1"/>
  <c r="K118"/>
  <c r="L118" s="1"/>
  <c r="M118" s="1"/>
  <c r="AA118" s="1"/>
  <c r="E183"/>
  <c r="E246" s="1"/>
  <c r="O46" i="14"/>
  <c r="O47"/>
  <c r="O48"/>
  <c r="O49"/>
  <c r="O50"/>
  <c r="O51"/>
  <c r="O52"/>
  <c r="O44" i="13"/>
  <c r="O45"/>
  <c r="O46"/>
  <c r="O47"/>
  <c r="O48"/>
  <c r="O49"/>
  <c r="O50"/>
  <c r="C63" i="10"/>
  <c r="K14" i="2"/>
  <c r="L14" s="1"/>
  <c r="M14" s="1"/>
  <c r="AA14" s="1"/>
  <c r="K66"/>
  <c r="L66" s="1"/>
  <c r="M66" s="1"/>
  <c r="AA66" s="1"/>
  <c r="K73"/>
  <c r="L73" s="1"/>
  <c r="M73" s="1"/>
  <c r="AA73" s="1"/>
  <c r="K71"/>
  <c r="L71" s="1"/>
  <c r="M71" s="1"/>
  <c r="AA71" s="1"/>
  <c r="J76" i="10"/>
  <c r="J56"/>
  <c r="J104"/>
  <c r="J85"/>
  <c r="J99"/>
  <c r="J62"/>
  <c r="J98"/>
  <c r="J79"/>
  <c r="J60"/>
  <c r="J111"/>
  <c r="J95"/>
  <c r="J77"/>
  <c r="J58"/>
  <c r="J72"/>
  <c r="J71"/>
  <c r="J107"/>
  <c r="J96"/>
  <c r="J28"/>
  <c r="J27"/>
  <c r="J26"/>
  <c r="J63"/>
  <c r="I56"/>
  <c r="I60"/>
  <c r="I63"/>
  <c r="I111"/>
  <c r="I71"/>
  <c r="I76"/>
  <c r="I62"/>
  <c r="I77"/>
  <c r="I85"/>
  <c r="I97"/>
  <c r="I99"/>
  <c r="I79"/>
  <c r="I96"/>
  <c r="I58"/>
  <c r="I72"/>
  <c r="I107"/>
  <c r="I55"/>
  <c r="I30"/>
  <c r="I28"/>
  <c r="I26"/>
  <c r="N23"/>
  <c r="N22"/>
  <c r="E19"/>
  <c r="M22"/>
  <c r="H56"/>
  <c r="H60"/>
  <c r="H106"/>
  <c r="H95"/>
  <c r="H104"/>
  <c r="H76"/>
  <c r="H79"/>
  <c r="H100"/>
  <c r="H99"/>
  <c r="Y114"/>
  <c r="Y113"/>
  <c r="Y112"/>
  <c r="Y110"/>
  <c r="Y109"/>
  <c r="Y108"/>
  <c r="Y105"/>
  <c r="Y103"/>
  <c r="Y102"/>
  <c r="Y101"/>
  <c r="Y93"/>
  <c r="Y92"/>
  <c r="Y90"/>
  <c r="Y89"/>
  <c r="Y88"/>
  <c r="Y87"/>
  <c r="Y86"/>
  <c r="Y84"/>
  <c r="Y83"/>
  <c r="Y82"/>
  <c r="Y81"/>
  <c r="Y80"/>
  <c r="Y78"/>
  <c r="Y75"/>
  <c r="Y74"/>
  <c r="Y73"/>
  <c r="H63"/>
  <c r="H96"/>
  <c r="H85"/>
  <c r="H72"/>
  <c r="H62"/>
  <c r="H71"/>
  <c r="H28"/>
  <c r="H107"/>
  <c r="H77"/>
  <c r="H26"/>
  <c r="H23"/>
  <c r="G99"/>
  <c r="G107"/>
  <c r="G95"/>
  <c r="G76"/>
  <c r="G98"/>
  <c r="G97"/>
  <c r="G60"/>
  <c r="G62"/>
  <c r="G100"/>
  <c r="G71"/>
  <c r="G58"/>
  <c r="G96"/>
  <c r="G77"/>
  <c r="G72"/>
  <c r="G56"/>
  <c r="G22"/>
  <c r="G27"/>
  <c r="G30"/>
  <c r="G28"/>
  <c r="G26"/>
  <c r="G63"/>
  <c r="F96"/>
  <c r="F56"/>
  <c r="F95"/>
  <c r="F104"/>
  <c r="F107"/>
  <c r="F98"/>
  <c r="F79"/>
  <c r="F60"/>
  <c r="F76"/>
  <c r="F100"/>
  <c r="F99"/>
  <c r="F58"/>
  <c r="F77"/>
  <c r="F106"/>
  <c r="O106" s="1"/>
  <c r="F97"/>
  <c r="F62"/>
  <c r="F72"/>
  <c r="F59"/>
  <c r="Y59" s="1"/>
  <c r="F61"/>
  <c r="F111"/>
  <c r="F71"/>
  <c r="F70"/>
  <c r="O70" s="1"/>
  <c r="F63"/>
  <c r="F27"/>
  <c r="F30"/>
  <c r="F26"/>
  <c r="F28"/>
  <c r="E99"/>
  <c r="E61"/>
  <c r="E63"/>
  <c r="W63" s="1"/>
  <c r="E76"/>
  <c r="E85"/>
  <c r="E104"/>
  <c r="O104" s="1"/>
  <c r="E58"/>
  <c r="E60"/>
  <c r="E97"/>
  <c r="E95"/>
  <c r="E77"/>
  <c r="E107"/>
  <c r="E62"/>
  <c r="E79"/>
  <c r="E96"/>
  <c r="E56"/>
  <c r="E94"/>
  <c r="E71"/>
  <c r="E72"/>
  <c r="E27"/>
  <c r="E28"/>
  <c r="E17"/>
  <c r="E26"/>
  <c r="D99"/>
  <c r="D30"/>
  <c r="D29"/>
  <c r="O29" s="1"/>
  <c r="D76"/>
  <c r="O76" s="1"/>
  <c r="D77"/>
  <c r="D104"/>
  <c r="D100"/>
  <c r="D98"/>
  <c r="W98" s="1"/>
  <c r="D97"/>
  <c r="D96"/>
  <c r="D79"/>
  <c r="O79" s="1"/>
  <c r="D91"/>
  <c r="D85"/>
  <c r="D71"/>
  <c r="D61"/>
  <c r="D63"/>
  <c r="D62"/>
  <c r="D60"/>
  <c r="D58"/>
  <c r="W58" s="1"/>
  <c r="D56"/>
  <c r="D27"/>
  <c r="D26"/>
  <c r="C111"/>
  <c r="C104"/>
  <c r="C98"/>
  <c r="C97"/>
  <c r="C96"/>
  <c r="C95"/>
  <c r="C85"/>
  <c r="C77"/>
  <c r="W77" s="1"/>
  <c r="C76"/>
  <c r="Y51"/>
  <c r="Z51" s="1"/>
  <c r="C72"/>
  <c r="Y69"/>
  <c r="Y68"/>
  <c r="Y67"/>
  <c r="Y66"/>
  <c r="Y65"/>
  <c r="Y64"/>
  <c r="C62"/>
  <c r="O62" s="1"/>
  <c r="C61"/>
  <c r="T61" s="1"/>
  <c r="C60"/>
  <c r="C58"/>
  <c r="C56"/>
  <c r="O114"/>
  <c r="G38"/>
  <c r="D37"/>
  <c r="F37"/>
  <c r="H37"/>
  <c r="J37"/>
  <c r="E36"/>
  <c r="I36"/>
  <c r="D39"/>
  <c r="F39"/>
  <c r="H39"/>
  <c r="J39"/>
  <c r="D40"/>
  <c r="E40"/>
  <c r="F40"/>
  <c r="G40"/>
  <c r="H40"/>
  <c r="I40"/>
  <c r="J40"/>
  <c r="J41"/>
  <c r="D42"/>
  <c r="E42"/>
  <c r="F42"/>
  <c r="G42"/>
  <c r="H42"/>
  <c r="I42"/>
  <c r="J42"/>
  <c r="D43"/>
  <c r="F43"/>
  <c r="H43"/>
  <c r="J43"/>
  <c r="D44"/>
  <c r="E44"/>
  <c r="F44"/>
  <c r="G44"/>
  <c r="H44"/>
  <c r="I44"/>
  <c r="J44"/>
  <c r="F46"/>
  <c r="J46"/>
  <c r="E47"/>
  <c r="G47"/>
  <c r="I47"/>
  <c r="D49"/>
  <c r="F49"/>
  <c r="H49"/>
  <c r="J49"/>
  <c r="H50"/>
  <c r="O52"/>
  <c r="L52" s="1"/>
  <c r="D53"/>
  <c r="D55"/>
  <c r="C30"/>
  <c r="T30" s="1"/>
  <c r="C27"/>
  <c r="N104" i="9"/>
  <c r="N52"/>
  <c r="N59"/>
  <c r="N101"/>
  <c r="N56"/>
  <c r="N95"/>
  <c r="N96"/>
  <c r="N73"/>
  <c r="N76"/>
  <c r="N88"/>
  <c r="N108"/>
  <c r="N74"/>
  <c r="N58"/>
  <c r="N93"/>
  <c r="N68"/>
  <c r="N67"/>
  <c r="N24"/>
  <c r="N25"/>
  <c r="N17"/>
  <c r="N23"/>
  <c r="N27"/>
  <c r="M108"/>
  <c r="M57"/>
  <c r="M59"/>
  <c r="M92"/>
  <c r="M94"/>
  <c r="M56"/>
  <c r="M101"/>
  <c r="M96"/>
  <c r="M97"/>
  <c r="M76"/>
  <c r="M73"/>
  <c r="M26"/>
  <c r="M52"/>
  <c r="M104"/>
  <c r="M67"/>
  <c r="M54"/>
  <c r="M58"/>
  <c r="M74"/>
  <c r="M68"/>
  <c r="M93"/>
  <c r="M23"/>
  <c r="M25"/>
  <c r="M27"/>
  <c r="O24" i="10"/>
  <c r="O18"/>
  <c r="O20"/>
  <c r="O21"/>
  <c r="O22"/>
  <c r="O25"/>
  <c r="P26"/>
  <c r="L26" s="1"/>
  <c r="P28"/>
  <c r="L28" s="1"/>
  <c r="O16"/>
  <c r="E53"/>
  <c r="E55"/>
  <c r="F45"/>
  <c r="F53"/>
  <c r="F55"/>
  <c r="G53"/>
  <c r="G55"/>
  <c r="H53"/>
  <c r="H55"/>
  <c r="I53"/>
  <c r="J53"/>
  <c r="O72"/>
  <c r="O51"/>
  <c r="O88"/>
  <c r="O105"/>
  <c r="O86"/>
  <c r="O59"/>
  <c r="O73"/>
  <c r="O64"/>
  <c r="O65"/>
  <c r="O66"/>
  <c r="O67"/>
  <c r="O68"/>
  <c r="O69"/>
  <c r="O74"/>
  <c r="O75"/>
  <c r="O78"/>
  <c r="O80"/>
  <c r="O81"/>
  <c r="O82"/>
  <c r="O83"/>
  <c r="O84"/>
  <c r="O87"/>
  <c r="O89"/>
  <c r="O90"/>
  <c r="O92"/>
  <c r="O93"/>
  <c r="O94"/>
  <c r="O101"/>
  <c r="O102"/>
  <c r="O103"/>
  <c r="O108"/>
  <c r="O109"/>
  <c r="O110"/>
  <c r="O112"/>
  <c r="O113"/>
  <c r="F115"/>
  <c r="T71"/>
  <c r="T51"/>
  <c r="T88"/>
  <c r="T96"/>
  <c r="T105"/>
  <c r="T114"/>
  <c r="T86"/>
  <c r="T59"/>
  <c r="T73"/>
  <c r="T57"/>
  <c r="T64"/>
  <c r="T65"/>
  <c r="T66"/>
  <c r="T67"/>
  <c r="T68"/>
  <c r="T69"/>
  <c r="T74"/>
  <c r="T75"/>
  <c r="T78"/>
  <c r="T80"/>
  <c r="T81"/>
  <c r="T82"/>
  <c r="T83"/>
  <c r="T84"/>
  <c r="T87"/>
  <c r="T89"/>
  <c r="T90"/>
  <c r="T92"/>
  <c r="T93"/>
  <c r="T101"/>
  <c r="T102"/>
  <c r="T103"/>
  <c r="T108"/>
  <c r="T109"/>
  <c r="T110"/>
  <c r="T112"/>
  <c r="T113"/>
  <c r="T24"/>
  <c r="T29"/>
  <c r="T18"/>
  <c r="T20"/>
  <c r="T21"/>
  <c r="T22"/>
  <c r="T25"/>
  <c r="T16"/>
  <c r="W51"/>
  <c r="W88"/>
  <c r="W105"/>
  <c r="W111"/>
  <c r="W114"/>
  <c r="W86"/>
  <c r="W73"/>
  <c r="W57"/>
  <c r="W64"/>
  <c r="W65"/>
  <c r="W66"/>
  <c r="W67"/>
  <c r="W68"/>
  <c r="W69"/>
  <c r="W74"/>
  <c r="W75"/>
  <c r="W78"/>
  <c r="W80"/>
  <c r="W81"/>
  <c r="W82"/>
  <c r="W83"/>
  <c r="W84"/>
  <c r="W87"/>
  <c r="W89"/>
  <c r="W90"/>
  <c r="W92"/>
  <c r="W93"/>
  <c r="W101"/>
  <c r="W102"/>
  <c r="W103"/>
  <c r="W108"/>
  <c r="W109"/>
  <c r="W110"/>
  <c r="W112"/>
  <c r="W113"/>
  <c r="T54"/>
  <c r="C53"/>
  <c r="C45"/>
  <c r="AI60" i="9"/>
  <c r="AI61"/>
  <c r="AI62"/>
  <c r="AI63"/>
  <c r="AI64"/>
  <c r="AI65"/>
  <c r="AI69"/>
  <c r="AI70"/>
  <c r="AI77"/>
  <c r="AI80"/>
  <c r="AI81"/>
  <c r="AI83"/>
  <c r="AI84"/>
  <c r="AI85"/>
  <c r="AI86"/>
  <c r="AI87"/>
  <c r="AI89"/>
  <c r="AI90"/>
  <c r="AI91"/>
  <c r="AI98"/>
  <c r="AI99"/>
  <c r="AI100"/>
  <c r="AI102"/>
  <c r="AI105"/>
  <c r="AI106"/>
  <c r="AI107"/>
  <c r="AI109"/>
  <c r="AI110"/>
  <c r="AI111"/>
  <c r="AI28"/>
  <c r="K81" i="2"/>
  <c r="L81" s="1"/>
  <c r="M81" s="1"/>
  <c r="AA81" s="1"/>
  <c r="K70"/>
  <c r="L70" s="1"/>
  <c r="M70" s="1"/>
  <c r="AA70" s="1"/>
  <c r="K67"/>
  <c r="L67" s="1"/>
  <c r="M67" s="1"/>
  <c r="AA67" s="1"/>
  <c r="E61"/>
  <c r="E28"/>
  <c r="E27"/>
  <c r="L104" i="9"/>
  <c r="L52"/>
  <c r="L59"/>
  <c r="L96"/>
  <c r="L56"/>
  <c r="L76"/>
  <c r="L103"/>
  <c r="L88"/>
  <c r="AI88"/>
  <c r="L82"/>
  <c r="L93"/>
  <c r="L67"/>
  <c r="L74"/>
  <c r="L54"/>
  <c r="L58"/>
  <c r="L101"/>
  <c r="L68"/>
  <c r="L108"/>
  <c r="L23"/>
  <c r="L27"/>
  <c r="L25"/>
  <c r="K96"/>
  <c r="K101"/>
  <c r="K82"/>
  <c r="K76"/>
  <c r="K56"/>
  <c r="K73"/>
  <c r="K57"/>
  <c r="K68"/>
  <c r="K59"/>
  <c r="K94"/>
  <c r="K95"/>
  <c r="K93"/>
  <c r="K104"/>
  <c r="K108"/>
  <c r="K67"/>
  <c r="K74"/>
  <c r="K58"/>
  <c r="AF112"/>
  <c r="P111"/>
  <c r="AH111" s="1"/>
  <c r="P102"/>
  <c r="AH102" s="1"/>
  <c r="P91"/>
  <c r="AH91" s="1"/>
  <c r="P77"/>
  <c r="AH77" s="1"/>
  <c r="AF29"/>
  <c r="R19"/>
  <c r="P20"/>
  <c r="AH20" s="1"/>
  <c r="P19"/>
  <c r="AH19" s="1"/>
  <c r="K52"/>
  <c r="K27"/>
  <c r="K25"/>
  <c r="K23"/>
  <c r="K17"/>
  <c r="J104"/>
  <c r="P16"/>
  <c r="AH16" s="1"/>
  <c r="W54" i="10"/>
  <c r="D24" i="2"/>
  <c r="K21"/>
  <c r="L21" s="1"/>
  <c r="M21" s="1"/>
  <c r="AA21" s="1"/>
  <c r="K7"/>
  <c r="L7" s="1"/>
  <c r="K8"/>
  <c r="L8" s="1"/>
  <c r="M8" s="1"/>
  <c r="AA8" s="1"/>
  <c r="K13"/>
  <c r="L13" s="1"/>
  <c r="M13" s="1"/>
  <c r="AA13" s="1"/>
  <c r="B17"/>
  <c r="C17"/>
  <c r="D17"/>
  <c r="K26"/>
  <c r="E24"/>
  <c r="C31"/>
  <c r="D31"/>
  <c r="D38"/>
  <c r="K56"/>
  <c r="L56" s="1"/>
  <c r="M56" s="1"/>
  <c r="AA56" s="1"/>
  <c r="K58"/>
  <c r="L58" s="1"/>
  <c r="M58" s="1"/>
  <c r="AA58" s="1"/>
  <c r="K60"/>
  <c r="L60" s="1"/>
  <c r="M60" s="1"/>
  <c r="AA60" s="1"/>
  <c r="K64"/>
  <c r="L64" s="1"/>
  <c r="M64" s="1"/>
  <c r="AA64" s="1"/>
  <c r="K65"/>
  <c r="L65" s="1"/>
  <c r="M65" s="1"/>
  <c r="AA65" s="1"/>
  <c r="K72"/>
  <c r="L72" s="1"/>
  <c r="M72" s="1"/>
  <c r="AA72" s="1"/>
  <c r="K78"/>
  <c r="L78" s="1"/>
  <c r="M78" s="1"/>
  <c r="AA78" s="1"/>
  <c r="K86"/>
  <c r="L86" s="1"/>
  <c r="M86" s="1"/>
  <c r="AA86" s="1"/>
  <c r="K87"/>
  <c r="L87" s="1"/>
  <c r="M87" s="1"/>
  <c r="AA87" s="1"/>
  <c r="K89"/>
  <c r="L89" s="1"/>
  <c r="M89" s="1"/>
  <c r="AA89" s="1"/>
  <c r="K125"/>
  <c r="L125" s="1"/>
  <c r="M125" s="1"/>
  <c r="AA125" s="1"/>
  <c r="E104"/>
  <c r="K104" s="1"/>
  <c r="L104" s="1"/>
  <c r="M104" s="1"/>
  <c r="AA104" s="1"/>
  <c r="K109"/>
  <c r="L109" s="1"/>
  <c r="M109" s="1"/>
  <c r="AA109" s="1"/>
  <c r="B42"/>
  <c r="K42"/>
  <c r="L42" s="1"/>
  <c r="M42" s="1"/>
  <c r="AA42" s="1"/>
  <c r="B169"/>
  <c r="C169"/>
  <c r="B172"/>
  <c r="B183" s="1"/>
  <c r="C183"/>
  <c r="D183"/>
  <c r="D193"/>
  <c r="E193"/>
  <c r="B200"/>
  <c r="C200"/>
  <c r="D200"/>
  <c r="C203"/>
  <c r="C207" s="1"/>
  <c r="B207"/>
  <c r="D207"/>
  <c r="B229"/>
  <c r="C229"/>
  <c r="D229"/>
  <c r="R51" i="9"/>
  <c r="G51" s="1"/>
  <c r="B266" i="2"/>
  <c r="C266"/>
  <c r="O17" i="14"/>
  <c r="O18"/>
  <c r="O19"/>
  <c r="O26"/>
  <c r="O29"/>
  <c r="O31"/>
  <c r="O41"/>
  <c r="O42"/>
  <c r="O43"/>
  <c r="O44"/>
  <c r="O53"/>
  <c r="O56"/>
  <c r="O57"/>
  <c r="O58"/>
  <c r="O63"/>
  <c r="O66"/>
  <c r="O67"/>
  <c r="O68"/>
  <c r="O69"/>
  <c r="O71"/>
  <c r="O72"/>
  <c r="O73"/>
  <c r="O74"/>
  <c r="O75"/>
  <c r="O76"/>
  <c r="O78"/>
  <c r="O79"/>
  <c r="O80"/>
  <c r="O83"/>
  <c r="O38" i="13"/>
  <c r="O39"/>
  <c r="O40"/>
  <c r="O42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4"/>
  <c r="O75"/>
  <c r="O76"/>
  <c r="P76" s="1"/>
  <c r="O78"/>
  <c r="O79"/>
  <c r="O80"/>
  <c r="O81"/>
  <c r="O82"/>
  <c r="O83"/>
  <c r="O84"/>
  <c r="O85"/>
  <c r="O88"/>
  <c r="Q52" i="10"/>
  <c r="O54"/>
  <c r="R16" i="9"/>
  <c r="S16"/>
  <c r="J17"/>
  <c r="P18"/>
  <c r="AH18"/>
  <c r="R18"/>
  <c r="P21"/>
  <c r="AH21" s="1"/>
  <c r="C23"/>
  <c r="E23"/>
  <c r="G23"/>
  <c r="H23"/>
  <c r="I23"/>
  <c r="J23"/>
  <c r="S23"/>
  <c r="E24"/>
  <c r="I24"/>
  <c r="J24"/>
  <c r="P24" s="1"/>
  <c r="C25"/>
  <c r="E25"/>
  <c r="G25"/>
  <c r="H25"/>
  <c r="P25" s="1"/>
  <c r="AH25" s="1"/>
  <c r="I25"/>
  <c r="J25"/>
  <c r="S25"/>
  <c r="C26"/>
  <c r="E26"/>
  <c r="C27"/>
  <c r="E27"/>
  <c r="G27"/>
  <c r="I27"/>
  <c r="J27"/>
  <c r="P28"/>
  <c r="AH28" s="1"/>
  <c r="R28"/>
  <c r="D29"/>
  <c r="F29"/>
  <c r="S34"/>
  <c r="X34"/>
  <c r="X38" s="1"/>
  <c r="S35"/>
  <c r="G35" s="1"/>
  <c r="S36"/>
  <c r="S37"/>
  <c r="I37" s="1"/>
  <c r="S38"/>
  <c r="S39"/>
  <c r="H39" s="1"/>
  <c r="L39"/>
  <c r="S40"/>
  <c r="S41"/>
  <c r="S42"/>
  <c r="X42"/>
  <c r="S43"/>
  <c r="H43" s="1"/>
  <c r="S44"/>
  <c r="S45"/>
  <c r="S46"/>
  <c r="G46" s="1"/>
  <c r="R47"/>
  <c r="M49"/>
  <c r="R49"/>
  <c r="P50"/>
  <c r="AH50" s="1"/>
  <c r="R50"/>
  <c r="T50"/>
  <c r="C52"/>
  <c r="D52"/>
  <c r="E52"/>
  <c r="F52"/>
  <c r="G52"/>
  <c r="H52"/>
  <c r="I52"/>
  <c r="J52"/>
  <c r="P53"/>
  <c r="AH53" s="1"/>
  <c r="D54"/>
  <c r="F54"/>
  <c r="H54"/>
  <c r="I54"/>
  <c r="V54"/>
  <c r="C55"/>
  <c r="AI55"/>
  <c r="P55"/>
  <c r="AH55" s="1"/>
  <c r="R55"/>
  <c r="C56"/>
  <c r="D56"/>
  <c r="E56"/>
  <c r="F56"/>
  <c r="G56"/>
  <c r="H56"/>
  <c r="I56"/>
  <c r="J56"/>
  <c r="D57"/>
  <c r="E57"/>
  <c r="F57"/>
  <c r="G57"/>
  <c r="C58"/>
  <c r="D58"/>
  <c r="E58"/>
  <c r="F58"/>
  <c r="G58"/>
  <c r="H58"/>
  <c r="I58"/>
  <c r="J58"/>
  <c r="C59"/>
  <c r="D59"/>
  <c r="E59"/>
  <c r="F59"/>
  <c r="G59"/>
  <c r="H59"/>
  <c r="I59"/>
  <c r="S59"/>
  <c r="P60"/>
  <c r="AH60"/>
  <c r="R60"/>
  <c r="P61"/>
  <c r="AH61" s="1"/>
  <c r="R61"/>
  <c r="P62"/>
  <c r="AH62" s="1"/>
  <c r="R62"/>
  <c r="P63"/>
  <c r="AH63" s="1"/>
  <c r="R63"/>
  <c r="P64"/>
  <c r="AH64"/>
  <c r="R64"/>
  <c r="P65"/>
  <c r="AH65" s="1"/>
  <c r="R65"/>
  <c r="E66"/>
  <c r="AI66" s="1"/>
  <c r="C67"/>
  <c r="D67"/>
  <c r="E67"/>
  <c r="F67"/>
  <c r="G67"/>
  <c r="H67"/>
  <c r="I67"/>
  <c r="J67"/>
  <c r="C68"/>
  <c r="D68"/>
  <c r="E68"/>
  <c r="F68"/>
  <c r="G68"/>
  <c r="H68"/>
  <c r="I68"/>
  <c r="J68"/>
  <c r="P69"/>
  <c r="AH69" s="1"/>
  <c r="R69"/>
  <c r="P70"/>
  <c r="AH70" s="1"/>
  <c r="R70"/>
  <c r="F71"/>
  <c r="AI71" s="1"/>
  <c r="C72"/>
  <c r="G72"/>
  <c r="C73"/>
  <c r="D73"/>
  <c r="E73"/>
  <c r="F73"/>
  <c r="P73" s="1"/>
  <c r="AH73" s="1"/>
  <c r="G73"/>
  <c r="H73"/>
  <c r="C74"/>
  <c r="D74"/>
  <c r="E74"/>
  <c r="F74"/>
  <c r="G74"/>
  <c r="H74"/>
  <c r="I74"/>
  <c r="J74"/>
  <c r="D75"/>
  <c r="AI75" s="1"/>
  <c r="C76"/>
  <c r="D76"/>
  <c r="G76"/>
  <c r="H76"/>
  <c r="I76"/>
  <c r="J76"/>
  <c r="R77"/>
  <c r="G78"/>
  <c r="AI78"/>
  <c r="D79"/>
  <c r="AI79" s="1"/>
  <c r="P80"/>
  <c r="AH80" s="1"/>
  <c r="R80"/>
  <c r="P81"/>
  <c r="AH81" s="1"/>
  <c r="R81"/>
  <c r="C82"/>
  <c r="D82"/>
  <c r="E82"/>
  <c r="F82"/>
  <c r="G82"/>
  <c r="H82"/>
  <c r="I82"/>
  <c r="J82"/>
  <c r="P83"/>
  <c r="AH83" s="1"/>
  <c r="R83"/>
  <c r="P84"/>
  <c r="AH84" s="1"/>
  <c r="R84"/>
  <c r="P85"/>
  <c r="AH85" s="1"/>
  <c r="R85"/>
  <c r="P86"/>
  <c r="AH86" s="1"/>
  <c r="R86"/>
  <c r="P87"/>
  <c r="AH87" s="1"/>
  <c r="R87"/>
  <c r="P89"/>
  <c r="AH89" s="1"/>
  <c r="R89"/>
  <c r="P90"/>
  <c r="AH90" s="1"/>
  <c r="R90"/>
  <c r="R91"/>
  <c r="D92"/>
  <c r="G92"/>
  <c r="H92"/>
  <c r="I92"/>
  <c r="C93"/>
  <c r="D93"/>
  <c r="E93"/>
  <c r="F93"/>
  <c r="G93"/>
  <c r="H93"/>
  <c r="I93"/>
  <c r="J93"/>
  <c r="C94"/>
  <c r="D94"/>
  <c r="E94"/>
  <c r="G94"/>
  <c r="J94"/>
  <c r="C95"/>
  <c r="E95"/>
  <c r="F95"/>
  <c r="C96"/>
  <c r="D96"/>
  <c r="E96"/>
  <c r="F96"/>
  <c r="G96"/>
  <c r="H96"/>
  <c r="I96"/>
  <c r="J96"/>
  <c r="C97"/>
  <c r="F97"/>
  <c r="G97"/>
  <c r="P98"/>
  <c r="AH98" s="1"/>
  <c r="R98"/>
  <c r="P99"/>
  <c r="AH99" s="1"/>
  <c r="R99"/>
  <c r="P100"/>
  <c r="AH100" s="1"/>
  <c r="R100"/>
  <c r="E101"/>
  <c r="F101"/>
  <c r="G101"/>
  <c r="H101"/>
  <c r="I101"/>
  <c r="R102"/>
  <c r="G103"/>
  <c r="H103"/>
  <c r="P103" s="1"/>
  <c r="I103"/>
  <c r="C104"/>
  <c r="D104"/>
  <c r="E104"/>
  <c r="F104"/>
  <c r="G104"/>
  <c r="H104"/>
  <c r="I104"/>
  <c r="S104"/>
  <c r="P105"/>
  <c r="AH105" s="1"/>
  <c r="R105"/>
  <c r="P106"/>
  <c r="AH106" s="1"/>
  <c r="R106"/>
  <c r="P107"/>
  <c r="AH107" s="1"/>
  <c r="R107"/>
  <c r="C108"/>
  <c r="E108"/>
  <c r="F108"/>
  <c r="H108"/>
  <c r="P109"/>
  <c r="AH109" s="1"/>
  <c r="R109"/>
  <c r="P110"/>
  <c r="AH110"/>
  <c r="R110"/>
  <c r="R111"/>
  <c r="O16" i="8"/>
  <c r="R16"/>
  <c r="H17"/>
  <c r="N17"/>
  <c r="O18"/>
  <c r="O19"/>
  <c r="R19"/>
  <c r="J20"/>
  <c r="O20" s="1"/>
  <c r="O21"/>
  <c r="R21"/>
  <c r="H22"/>
  <c r="O22" s="1"/>
  <c r="C23"/>
  <c r="E23"/>
  <c r="F23"/>
  <c r="F29" s="1"/>
  <c r="G23"/>
  <c r="H23"/>
  <c r="I23"/>
  <c r="J23"/>
  <c r="K23"/>
  <c r="L23"/>
  <c r="M23"/>
  <c r="N23"/>
  <c r="S23"/>
  <c r="C24"/>
  <c r="J24"/>
  <c r="K24"/>
  <c r="M24"/>
  <c r="N24"/>
  <c r="E25"/>
  <c r="G25"/>
  <c r="H25"/>
  <c r="I25"/>
  <c r="J25"/>
  <c r="K25"/>
  <c r="L25"/>
  <c r="M25"/>
  <c r="N25"/>
  <c r="M26"/>
  <c r="N26"/>
  <c r="O26" s="1"/>
  <c r="K27"/>
  <c r="M27"/>
  <c r="D28"/>
  <c r="E28"/>
  <c r="H28"/>
  <c r="D29"/>
  <c r="K34"/>
  <c r="S34"/>
  <c r="E34" s="1"/>
  <c r="C35"/>
  <c r="S35"/>
  <c r="K36"/>
  <c r="S36"/>
  <c r="K37"/>
  <c r="S37"/>
  <c r="C38"/>
  <c r="K38"/>
  <c r="S38"/>
  <c r="E38" s="1"/>
  <c r="K39"/>
  <c r="S39"/>
  <c r="K40"/>
  <c r="S40"/>
  <c r="D40" s="1"/>
  <c r="K41"/>
  <c r="S41"/>
  <c r="G41" s="1"/>
  <c r="K42"/>
  <c r="S42"/>
  <c r="G42" s="1"/>
  <c r="K43"/>
  <c r="S43"/>
  <c r="C44"/>
  <c r="K44"/>
  <c r="S44"/>
  <c r="D45"/>
  <c r="E45"/>
  <c r="F45"/>
  <c r="G45"/>
  <c r="I45"/>
  <c r="J45"/>
  <c r="K45"/>
  <c r="L45"/>
  <c r="M45"/>
  <c r="N45"/>
  <c r="C46" i="9" s="1"/>
  <c r="O46" i="8"/>
  <c r="R46"/>
  <c r="K47"/>
  <c r="O47" s="1"/>
  <c r="D48"/>
  <c r="E48"/>
  <c r="F48"/>
  <c r="G48"/>
  <c r="H48"/>
  <c r="K48" s="1"/>
  <c r="I48"/>
  <c r="J48"/>
  <c r="C51" i="9" s="1"/>
  <c r="L48" i="8"/>
  <c r="M48"/>
  <c r="N48"/>
  <c r="C49"/>
  <c r="D49"/>
  <c r="E49"/>
  <c r="G49"/>
  <c r="H49"/>
  <c r="I49"/>
  <c r="J49"/>
  <c r="K49"/>
  <c r="L49"/>
  <c r="M49"/>
  <c r="N49"/>
  <c r="S49"/>
  <c r="D51"/>
  <c r="E51"/>
  <c r="F51"/>
  <c r="G51"/>
  <c r="H51"/>
  <c r="I51"/>
  <c r="J51"/>
  <c r="K51"/>
  <c r="L51"/>
  <c r="O52"/>
  <c r="R52"/>
  <c r="C53"/>
  <c r="D53"/>
  <c r="E53"/>
  <c r="F53"/>
  <c r="G53"/>
  <c r="H53"/>
  <c r="I53"/>
  <c r="J53"/>
  <c r="K53"/>
  <c r="L53"/>
  <c r="M53"/>
  <c r="N53"/>
  <c r="D54"/>
  <c r="E54"/>
  <c r="F54"/>
  <c r="G54"/>
  <c r="H54"/>
  <c r="I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O57"/>
  <c r="R57"/>
  <c r="O58"/>
  <c r="R58"/>
  <c r="O59"/>
  <c r="R59"/>
  <c r="O60"/>
  <c r="R60"/>
  <c r="O61"/>
  <c r="R61"/>
  <c r="O62"/>
  <c r="R62"/>
  <c r="D63"/>
  <c r="R63"/>
  <c r="H63"/>
  <c r="E64"/>
  <c r="F64"/>
  <c r="G64"/>
  <c r="K64"/>
  <c r="L64"/>
  <c r="N64"/>
  <c r="D65"/>
  <c r="F65"/>
  <c r="G65"/>
  <c r="M65"/>
  <c r="N65"/>
  <c r="O66"/>
  <c r="R66"/>
  <c r="O67"/>
  <c r="R67"/>
  <c r="D68"/>
  <c r="O68" s="1"/>
  <c r="F69"/>
  <c r="R69" s="1"/>
  <c r="E70"/>
  <c r="F70"/>
  <c r="G70"/>
  <c r="H70"/>
  <c r="M70"/>
  <c r="N70"/>
  <c r="C71"/>
  <c r="D71"/>
  <c r="E71"/>
  <c r="F71"/>
  <c r="G71"/>
  <c r="H71"/>
  <c r="I71"/>
  <c r="J71"/>
  <c r="K71"/>
  <c r="L71"/>
  <c r="M71"/>
  <c r="N71"/>
  <c r="E72"/>
  <c r="F72"/>
  <c r="G72"/>
  <c r="H72"/>
  <c r="D73"/>
  <c r="E73"/>
  <c r="M73"/>
  <c r="N73"/>
  <c r="O74"/>
  <c r="R74"/>
  <c r="J75"/>
  <c r="K75"/>
  <c r="L75"/>
  <c r="M75"/>
  <c r="N75"/>
  <c r="D76"/>
  <c r="R76" s="1"/>
  <c r="O77"/>
  <c r="R77"/>
  <c r="O78"/>
  <c r="R78"/>
  <c r="C79"/>
  <c r="D79"/>
  <c r="E79"/>
  <c r="H79"/>
  <c r="I79"/>
  <c r="J79"/>
  <c r="K79"/>
  <c r="L79"/>
  <c r="M79"/>
  <c r="N79"/>
  <c r="F80"/>
  <c r="O81"/>
  <c r="R81"/>
  <c r="E82"/>
  <c r="O83"/>
  <c r="R83"/>
  <c r="O84"/>
  <c r="R84"/>
  <c r="O85"/>
  <c r="R85"/>
  <c r="O86"/>
  <c r="R86"/>
  <c r="O87"/>
  <c r="R87"/>
  <c r="N88"/>
  <c r="O88" s="1"/>
  <c r="E89"/>
  <c r="G89"/>
  <c r="H89"/>
  <c r="I89"/>
  <c r="J89"/>
  <c r="K89"/>
  <c r="L89"/>
  <c r="M89"/>
  <c r="C90"/>
  <c r="E90"/>
  <c r="R90" s="1"/>
  <c r="F90"/>
  <c r="G90"/>
  <c r="H90"/>
  <c r="I90"/>
  <c r="J90"/>
  <c r="K90"/>
  <c r="L90"/>
  <c r="M90"/>
  <c r="N90"/>
  <c r="F91"/>
  <c r="N91"/>
  <c r="H92"/>
  <c r="I92"/>
  <c r="J92"/>
  <c r="K92"/>
  <c r="L92"/>
  <c r="M92"/>
  <c r="N92"/>
  <c r="D93"/>
  <c r="E93"/>
  <c r="F93"/>
  <c r="G93"/>
  <c r="H93"/>
  <c r="I93"/>
  <c r="J93"/>
  <c r="L93"/>
  <c r="M93"/>
  <c r="N93"/>
  <c r="E94"/>
  <c r="F94"/>
  <c r="G94"/>
  <c r="H94"/>
  <c r="M94"/>
  <c r="N94"/>
  <c r="M95"/>
  <c r="O95" s="1"/>
  <c r="C96"/>
  <c r="O97"/>
  <c r="R97"/>
  <c r="F98"/>
  <c r="G98"/>
  <c r="H98"/>
  <c r="I98"/>
  <c r="L98"/>
  <c r="M98"/>
  <c r="N98"/>
  <c r="E99"/>
  <c r="H100"/>
  <c r="I100"/>
  <c r="M100"/>
  <c r="N100"/>
  <c r="E101"/>
  <c r="F101"/>
  <c r="G101"/>
  <c r="H101"/>
  <c r="I101"/>
  <c r="J101"/>
  <c r="K101"/>
  <c r="L101"/>
  <c r="M101"/>
  <c r="N101"/>
  <c r="O102"/>
  <c r="R102"/>
  <c r="O103"/>
  <c r="R103"/>
  <c r="O104"/>
  <c r="R104"/>
  <c r="F105"/>
  <c r="L105"/>
  <c r="M105"/>
  <c r="N105"/>
  <c r="O106"/>
  <c r="R106"/>
  <c r="O107"/>
  <c r="R107"/>
  <c r="F108"/>
  <c r="O108" s="1"/>
  <c r="O109"/>
  <c r="R109"/>
  <c r="O16" i="3"/>
  <c r="C17"/>
  <c r="E17"/>
  <c r="G17"/>
  <c r="H17"/>
  <c r="H18"/>
  <c r="O18" s="1"/>
  <c r="O20"/>
  <c r="E22"/>
  <c r="F22"/>
  <c r="G22"/>
  <c r="H22"/>
  <c r="I22"/>
  <c r="J22"/>
  <c r="J27" s="1"/>
  <c r="K22"/>
  <c r="L22"/>
  <c r="M22"/>
  <c r="N22"/>
  <c r="G23"/>
  <c r="I23"/>
  <c r="E24"/>
  <c r="F24"/>
  <c r="G24"/>
  <c r="H24"/>
  <c r="I24"/>
  <c r="K24"/>
  <c r="L24"/>
  <c r="M24"/>
  <c r="N24"/>
  <c r="E25"/>
  <c r="N25"/>
  <c r="O25" s="1"/>
  <c r="E26"/>
  <c r="O26" s="1"/>
  <c r="D27"/>
  <c r="E32"/>
  <c r="F32" s="1"/>
  <c r="G32"/>
  <c r="H32"/>
  <c r="I32"/>
  <c r="J32"/>
  <c r="K32" s="1"/>
  <c r="L32"/>
  <c r="M32"/>
  <c r="N32"/>
  <c r="C34" i="8" s="1"/>
  <c r="F33" i="3"/>
  <c r="K33"/>
  <c r="E34"/>
  <c r="F34" s="1"/>
  <c r="G34"/>
  <c r="H34"/>
  <c r="I34"/>
  <c r="J34"/>
  <c r="K34" s="1"/>
  <c r="L34"/>
  <c r="M34"/>
  <c r="N34"/>
  <c r="C36" i="8" s="1"/>
  <c r="E35" i="3"/>
  <c r="G35"/>
  <c r="H35"/>
  <c r="I35"/>
  <c r="J35"/>
  <c r="K35" s="1"/>
  <c r="L35"/>
  <c r="M35"/>
  <c r="N35"/>
  <c r="C39" i="8" s="1"/>
  <c r="F36" i="3"/>
  <c r="O36" s="1"/>
  <c r="F37"/>
  <c r="O37" s="1"/>
  <c r="E38"/>
  <c r="F38" s="1"/>
  <c r="G38"/>
  <c r="H38"/>
  <c r="I38"/>
  <c r="J38"/>
  <c r="K38" s="1"/>
  <c r="O38" s="1"/>
  <c r="L38"/>
  <c r="M38"/>
  <c r="N38" s="1"/>
  <c r="E39"/>
  <c r="F39" s="1"/>
  <c r="G39"/>
  <c r="H39"/>
  <c r="I39"/>
  <c r="J39"/>
  <c r="K39" s="1"/>
  <c r="L39"/>
  <c r="M39"/>
  <c r="N39"/>
  <c r="C41" i="8" s="1"/>
  <c r="E40" i="3"/>
  <c r="F40" s="1"/>
  <c r="G40"/>
  <c r="H40"/>
  <c r="I40"/>
  <c r="J40"/>
  <c r="K40" s="1"/>
  <c r="L40"/>
  <c r="M40"/>
  <c r="N40"/>
  <c r="E41"/>
  <c r="F41" s="1"/>
  <c r="O41" s="1"/>
  <c r="G41"/>
  <c r="H41"/>
  <c r="I41"/>
  <c r="J41"/>
  <c r="K41" s="1"/>
  <c r="L41"/>
  <c r="M41"/>
  <c r="N41"/>
  <c r="O42"/>
  <c r="O44"/>
  <c r="E45"/>
  <c r="F45"/>
  <c r="G45"/>
  <c r="H45"/>
  <c r="I45"/>
  <c r="J45"/>
  <c r="K45"/>
  <c r="L45"/>
  <c r="M45"/>
  <c r="N45"/>
  <c r="E46"/>
  <c r="F46"/>
  <c r="G46"/>
  <c r="H46"/>
  <c r="I46"/>
  <c r="J46"/>
  <c r="K46"/>
  <c r="L46"/>
  <c r="M46"/>
  <c r="N46"/>
  <c r="C48" i="8" s="1"/>
  <c r="C47" i="3"/>
  <c r="D47"/>
  <c r="E47"/>
  <c r="F47"/>
  <c r="G47"/>
  <c r="H47"/>
  <c r="I47"/>
  <c r="J47"/>
  <c r="K47"/>
  <c r="L47"/>
  <c r="M47"/>
  <c r="N47"/>
  <c r="F49"/>
  <c r="H49"/>
  <c r="L49"/>
  <c r="O50"/>
  <c r="C51"/>
  <c r="E51"/>
  <c r="F51"/>
  <c r="G51"/>
  <c r="H51"/>
  <c r="I51"/>
  <c r="J51"/>
  <c r="K51"/>
  <c r="L51"/>
  <c r="M51"/>
  <c r="N51"/>
  <c r="C52"/>
  <c r="D52"/>
  <c r="O52" s="1"/>
  <c r="E52"/>
  <c r="F52"/>
  <c r="M52"/>
  <c r="C53"/>
  <c r="D53"/>
  <c r="F53"/>
  <c r="G53"/>
  <c r="H53"/>
  <c r="I53"/>
  <c r="J53"/>
  <c r="K53"/>
  <c r="L53"/>
  <c r="M53"/>
  <c r="N53"/>
  <c r="C54"/>
  <c r="F54"/>
  <c r="I54"/>
  <c r="J54"/>
  <c r="L54"/>
  <c r="M54"/>
  <c r="N54"/>
  <c r="O55"/>
  <c r="O56"/>
  <c r="O57"/>
  <c r="O58"/>
  <c r="O59"/>
  <c r="O60"/>
  <c r="O61"/>
  <c r="O62"/>
  <c r="O63"/>
  <c r="O64"/>
  <c r="O65"/>
  <c r="O66"/>
  <c r="O67"/>
  <c r="I68"/>
  <c r="J68"/>
  <c r="M68"/>
  <c r="N68"/>
  <c r="C69"/>
  <c r="D69"/>
  <c r="E69"/>
  <c r="F69"/>
  <c r="G69"/>
  <c r="H69"/>
  <c r="I69"/>
  <c r="J69"/>
  <c r="K69"/>
  <c r="L69"/>
  <c r="O69" s="1"/>
  <c r="M69"/>
  <c r="N69"/>
  <c r="O70"/>
  <c r="O71"/>
  <c r="O72"/>
  <c r="O73"/>
  <c r="O74"/>
  <c r="O75"/>
  <c r="O76"/>
  <c r="C77"/>
  <c r="D77"/>
  <c r="F77"/>
  <c r="I77"/>
  <c r="J77"/>
  <c r="K77"/>
  <c r="K108"/>
  <c r="L77"/>
  <c r="M77"/>
  <c r="N77"/>
  <c r="O78"/>
  <c r="O79"/>
  <c r="O80"/>
  <c r="O81"/>
  <c r="O82"/>
  <c r="O83"/>
  <c r="O84"/>
  <c r="H85"/>
  <c r="L85"/>
  <c r="O85" s="1"/>
  <c r="O86"/>
  <c r="F87"/>
  <c r="H87"/>
  <c r="J87"/>
  <c r="K87"/>
  <c r="L87"/>
  <c r="N87"/>
  <c r="G88"/>
  <c r="H88"/>
  <c r="I88"/>
  <c r="J88"/>
  <c r="L88"/>
  <c r="M88"/>
  <c r="N88"/>
  <c r="O89"/>
  <c r="F90"/>
  <c r="O90" s="1"/>
  <c r="P90" s="1"/>
  <c r="G90"/>
  <c r="K90"/>
  <c r="L90"/>
  <c r="D91"/>
  <c r="O91" s="1"/>
  <c r="P91" s="1"/>
  <c r="E91"/>
  <c r="F91"/>
  <c r="G91"/>
  <c r="H91"/>
  <c r="I91"/>
  <c r="J91"/>
  <c r="K91"/>
  <c r="L91"/>
  <c r="M91"/>
  <c r="N91"/>
  <c r="F92"/>
  <c r="I92"/>
  <c r="I108" s="1"/>
  <c r="K92"/>
  <c r="O93"/>
  <c r="L94"/>
  <c r="O94"/>
  <c r="O95"/>
  <c r="E96"/>
  <c r="F96"/>
  <c r="G96"/>
  <c r="I96"/>
  <c r="J96"/>
  <c r="M96"/>
  <c r="N96"/>
  <c r="G97"/>
  <c r="O97" s="1"/>
  <c r="O98"/>
  <c r="E99"/>
  <c r="F99"/>
  <c r="G99"/>
  <c r="H99"/>
  <c r="I99"/>
  <c r="J99"/>
  <c r="K99"/>
  <c r="L99"/>
  <c r="M99"/>
  <c r="N99"/>
  <c r="O100"/>
  <c r="O101"/>
  <c r="O102"/>
  <c r="F103"/>
  <c r="O103" s="1"/>
  <c r="M103"/>
  <c r="O104"/>
  <c r="O105"/>
  <c r="O107"/>
  <c r="H16" i="1"/>
  <c r="K17"/>
  <c r="E18"/>
  <c r="P18" s="1"/>
  <c r="H19"/>
  <c r="H25" s="1"/>
  <c r="I19"/>
  <c r="L19"/>
  <c r="D20"/>
  <c r="E20"/>
  <c r="O20" s="1"/>
  <c r="P20" s="1"/>
  <c r="F20"/>
  <c r="G20"/>
  <c r="I20"/>
  <c r="J20"/>
  <c r="J25" s="1"/>
  <c r="K20"/>
  <c r="L20"/>
  <c r="M20"/>
  <c r="M25" s="1"/>
  <c r="N20"/>
  <c r="N25" s="1"/>
  <c r="G21"/>
  <c r="K21"/>
  <c r="I22"/>
  <c r="L22"/>
  <c r="F23"/>
  <c r="O23" s="1"/>
  <c r="P23" s="1"/>
  <c r="D24"/>
  <c r="E24"/>
  <c r="P24" s="1"/>
  <c r="C25"/>
  <c r="C26" s="1"/>
  <c r="C30"/>
  <c r="F30"/>
  <c r="I30"/>
  <c r="K30"/>
  <c r="P31"/>
  <c r="C32"/>
  <c r="F32"/>
  <c r="I32"/>
  <c r="K32"/>
  <c r="P33"/>
  <c r="O34"/>
  <c r="P34" s="1"/>
  <c r="C35"/>
  <c r="E35"/>
  <c r="E47" s="1"/>
  <c r="K35"/>
  <c r="P35" s="1"/>
  <c r="M35"/>
  <c r="N35" s="1"/>
  <c r="K36"/>
  <c r="L36"/>
  <c r="M36"/>
  <c r="N36"/>
  <c r="K37"/>
  <c r="L37"/>
  <c r="M37"/>
  <c r="N37"/>
  <c r="K38"/>
  <c r="L38"/>
  <c r="M38"/>
  <c r="N38"/>
  <c r="K39"/>
  <c r="L39"/>
  <c r="M39"/>
  <c r="N39"/>
  <c r="I43"/>
  <c r="K43"/>
  <c r="L43"/>
  <c r="F44"/>
  <c r="I44"/>
  <c r="L44"/>
  <c r="N44"/>
  <c r="N47" s="1"/>
  <c r="P45"/>
  <c r="I46"/>
  <c r="J46"/>
  <c r="J47" s="1"/>
  <c r="K46"/>
  <c r="L46"/>
  <c r="N46"/>
  <c r="D47"/>
  <c r="G47"/>
  <c r="G107" s="1"/>
  <c r="H47"/>
  <c r="H107" s="1"/>
  <c r="O47"/>
  <c r="I49"/>
  <c r="P49" s="1"/>
  <c r="P50"/>
  <c r="E51"/>
  <c r="F51"/>
  <c r="I51"/>
  <c r="J51"/>
  <c r="K51"/>
  <c r="L51"/>
  <c r="M51"/>
  <c r="N51"/>
  <c r="C52"/>
  <c r="D52"/>
  <c r="E52"/>
  <c r="I52"/>
  <c r="D53"/>
  <c r="F53"/>
  <c r="I53"/>
  <c r="J53"/>
  <c r="K53"/>
  <c r="L53"/>
  <c r="M53"/>
  <c r="N53"/>
  <c r="D54"/>
  <c r="P54" s="1"/>
  <c r="K54"/>
  <c r="P55"/>
  <c r="P56"/>
  <c r="P57"/>
  <c r="P58"/>
  <c r="P59"/>
  <c r="P60"/>
  <c r="P61"/>
  <c r="F62"/>
  <c r="K62"/>
  <c r="M62"/>
  <c r="P63"/>
  <c r="K64"/>
  <c r="L64"/>
  <c r="M64"/>
  <c r="N64"/>
  <c r="P65"/>
  <c r="P66"/>
  <c r="P67"/>
  <c r="F68"/>
  <c r="I68"/>
  <c r="J68"/>
  <c r="N68"/>
  <c r="F69"/>
  <c r="I69"/>
  <c r="P69" s="1"/>
  <c r="J69"/>
  <c r="K69"/>
  <c r="L69"/>
  <c r="M69"/>
  <c r="P70"/>
  <c r="P71"/>
  <c r="P72"/>
  <c r="P73"/>
  <c r="F74"/>
  <c r="P74" s="1"/>
  <c r="P75"/>
  <c r="P76"/>
  <c r="C77"/>
  <c r="D77"/>
  <c r="I77"/>
  <c r="J77"/>
  <c r="K77"/>
  <c r="L77"/>
  <c r="M77"/>
  <c r="N77"/>
  <c r="P78"/>
  <c r="P79"/>
  <c r="E80"/>
  <c r="P80" s="1"/>
  <c r="P81"/>
  <c r="P82"/>
  <c r="P83"/>
  <c r="P84"/>
  <c r="F85"/>
  <c r="N85"/>
  <c r="K86"/>
  <c r="P86" s="1"/>
  <c r="L86"/>
  <c r="F87"/>
  <c r="L87"/>
  <c r="M87"/>
  <c r="G88"/>
  <c r="I88"/>
  <c r="J88"/>
  <c r="K88"/>
  <c r="L88"/>
  <c r="M88"/>
  <c r="N88"/>
  <c r="P89"/>
  <c r="N90"/>
  <c r="P90" s="1"/>
  <c r="D91"/>
  <c r="E91"/>
  <c r="F91"/>
  <c r="I91"/>
  <c r="J91"/>
  <c r="K91"/>
  <c r="L91"/>
  <c r="M91"/>
  <c r="N91"/>
  <c r="E92"/>
  <c r="J92"/>
  <c r="P93"/>
  <c r="J94"/>
  <c r="P94" s="1"/>
  <c r="P95"/>
  <c r="D96"/>
  <c r="L96"/>
  <c r="E97"/>
  <c r="G97"/>
  <c r="I97"/>
  <c r="J97"/>
  <c r="K97"/>
  <c r="N97"/>
  <c r="P98"/>
  <c r="E99"/>
  <c r="F99"/>
  <c r="G99"/>
  <c r="I99"/>
  <c r="J99"/>
  <c r="K99"/>
  <c r="L99"/>
  <c r="M99"/>
  <c r="N99"/>
  <c r="P100"/>
  <c r="P101"/>
  <c r="P102"/>
  <c r="N103"/>
  <c r="P103" s="1"/>
  <c r="P104"/>
  <c r="P105"/>
  <c r="G24" i="2"/>
  <c r="G43" i="8"/>
  <c r="M43"/>
  <c r="E39"/>
  <c r="C40" i="9" s="1"/>
  <c r="I39" i="8"/>
  <c r="L39"/>
  <c r="N39"/>
  <c r="C39" i="9" s="1"/>
  <c r="M37" i="8"/>
  <c r="E36"/>
  <c r="I36"/>
  <c r="L36"/>
  <c r="N36"/>
  <c r="C36" i="9" s="1"/>
  <c r="E44"/>
  <c r="I44"/>
  <c r="N44"/>
  <c r="E40"/>
  <c r="I40"/>
  <c r="N40"/>
  <c r="E39"/>
  <c r="G39"/>
  <c r="I39"/>
  <c r="K39"/>
  <c r="N39"/>
  <c r="P23"/>
  <c r="AH23" s="1"/>
  <c r="R23"/>
  <c r="L43" i="8"/>
  <c r="I43"/>
  <c r="D39"/>
  <c r="I37"/>
  <c r="D36"/>
  <c r="O25"/>
  <c r="P96" i="9"/>
  <c r="AH96" s="1"/>
  <c r="R75"/>
  <c r="R67"/>
  <c r="F44"/>
  <c r="G42"/>
  <c r="F40"/>
  <c r="J39"/>
  <c r="F39"/>
  <c r="H38"/>
  <c r="H36"/>
  <c r="W55" i="10"/>
  <c r="E41" i="8"/>
  <c r="I41"/>
  <c r="L41"/>
  <c r="N41"/>
  <c r="P79" i="9"/>
  <c r="AH79" s="1"/>
  <c r="R79"/>
  <c r="G38"/>
  <c r="K38"/>
  <c r="E36"/>
  <c r="I36"/>
  <c r="N36"/>
  <c r="K34"/>
  <c r="R75" i="8"/>
  <c r="R47"/>
  <c r="R49" s="1"/>
  <c r="R112" s="1"/>
  <c r="N43"/>
  <c r="C45" i="9" s="1"/>
  <c r="E43" i="8"/>
  <c r="D41"/>
  <c r="M39"/>
  <c r="G39"/>
  <c r="M36"/>
  <c r="G36"/>
  <c r="O28"/>
  <c r="R24"/>
  <c r="J38" i="9"/>
  <c r="J36"/>
  <c r="F36"/>
  <c r="P27"/>
  <c r="AH27" s="1"/>
  <c r="R25"/>
  <c r="M44" i="8"/>
  <c r="N42"/>
  <c r="C44" i="9" s="1"/>
  <c r="L42" i="8"/>
  <c r="I42"/>
  <c r="M40"/>
  <c r="G40"/>
  <c r="M38"/>
  <c r="G38"/>
  <c r="I35"/>
  <c r="M34"/>
  <c r="G34"/>
  <c r="P104" i="9"/>
  <c r="AH104" s="1"/>
  <c r="AH103"/>
  <c r="P94"/>
  <c r="AH94" s="1"/>
  <c r="P92"/>
  <c r="AH92" s="1"/>
  <c r="P67"/>
  <c r="AH67" s="1"/>
  <c r="P54"/>
  <c r="AH54" s="1"/>
  <c r="J112"/>
  <c r="L46"/>
  <c r="J46"/>
  <c r="H46"/>
  <c r="F46"/>
  <c r="L45"/>
  <c r="J45"/>
  <c r="H45"/>
  <c r="N43"/>
  <c r="K43"/>
  <c r="I43"/>
  <c r="G43"/>
  <c r="N41"/>
  <c r="K41"/>
  <c r="I41"/>
  <c r="G41"/>
  <c r="L37"/>
  <c r="J37"/>
  <c r="H37"/>
  <c r="F37"/>
  <c r="L35"/>
  <c r="J35"/>
  <c r="H35"/>
  <c r="F35"/>
  <c r="AH24"/>
  <c r="W53" i="10"/>
  <c r="W44"/>
  <c r="P52" i="9"/>
  <c r="AH52" s="1"/>
  <c r="D44" i="8"/>
  <c r="N44"/>
  <c r="E44"/>
  <c r="E42"/>
  <c r="M42"/>
  <c r="O42" s="1"/>
  <c r="M41"/>
  <c r="L40"/>
  <c r="D38"/>
  <c r="L38"/>
  <c r="I38"/>
  <c r="D34"/>
  <c r="L34"/>
  <c r="I34"/>
  <c r="O17"/>
  <c r="AI103" i="9"/>
  <c r="AI101"/>
  <c r="AI97"/>
  <c r="AI96"/>
  <c r="AI93"/>
  <c r="AI92"/>
  <c r="R78"/>
  <c r="P78"/>
  <c r="AH78" s="1"/>
  <c r="AI76"/>
  <c r="P75"/>
  <c r="AH75"/>
  <c r="AI73"/>
  <c r="P72"/>
  <c r="AH72" s="1"/>
  <c r="R71"/>
  <c r="P71"/>
  <c r="AH71" s="1"/>
  <c r="AI59"/>
  <c r="D46"/>
  <c r="N46"/>
  <c r="I46"/>
  <c r="E46"/>
  <c r="K45"/>
  <c r="J43"/>
  <c r="N42"/>
  <c r="E42"/>
  <c r="J41"/>
  <c r="K37"/>
  <c r="D35"/>
  <c r="N35"/>
  <c r="I35"/>
  <c r="E35"/>
  <c r="AI23"/>
  <c r="L44" i="8"/>
  <c r="N38"/>
  <c r="C38" i="9" s="1"/>
  <c r="N34" i="8"/>
  <c r="C34" i="9" s="1"/>
  <c r="AI104"/>
  <c r="AI95"/>
  <c r="AI94"/>
  <c r="AI74"/>
  <c r="AI72"/>
  <c r="AI68"/>
  <c r="AI67"/>
  <c r="AI58"/>
  <c r="K46"/>
  <c r="K35"/>
  <c r="AI27"/>
  <c r="AI25"/>
  <c r="AI24"/>
  <c r="O73" i="13"/>
  <c r="G17" i="2"/>
  <c r="O43" i="13"/>
  <c r="O24" i="14"/>
  <c r="O27"/>
  <c r="E45" i="9"/>
  <c r="N45"/>
  <c r="G45"/>
  <c r="D41"/>
  <c r="L41"/>
  <c r="F41"/>
  <c r="AI26"/>
  <c r="P26"/>
  <c r="AH26" s="1"/>
  <c r="D112"/>
  <c r="C29"/>
  <c r="E37"/>
  <c r="N37"/>
  <c r="G37"/>
  <c r="F27" i="3"/>
  <c r="I40" i="8"/>
  <c r="N40"/>
  <c r="E35"/>
  <c r="C29"/>
  <c r="R17"/>
  <c r="R104" i="9"/>
  <c r="R96"/>
  <c r="S96" s="1"/>
  <c r="R94"/>
  <c r="R73"/>
  <c r="P66"/>
  <c r="AH66" s="1"/>
  <c r="R56"/>
  <c r="F45"/>
  <c r="I45"/>
  <c r="E41"/>
  <c r="H41"/>
  <c r="R24"/>
  <c r="E29"/>
  <c r="R88"/>
  <c r="P88"/>
  <c r="AH88" s="1"/>
  <c r="M28" i="10"/>
  <c r="M26"/>
  <c r="O72" i="8"/>
  <c r="H44" i="9"/>
  <c r="D40"/>
  <c r="D39"/>
  <c r="M52" i="10"/>
  <c r="K52"/>
  <c r="N28"/>
  <c r="N26"/>
  <c r="N31" s="1"/>
  <c r="J52"/>
  <c r="H52"/>
  <c r="F52"/>
  <c r="D52"/>
  <c r="N52"/>
  <c r="L49"/>
  <c r="L47"/>
  <c r="L45"/>
  <c r="G38" i="2"/>
  <c r="J38"/>
  <c r="E38"/>
  <c r="G193"/>
  <c r="K186"/>
  <c r="L186" s="1"/>
  <c r="J193"/>
  <c r="E25" i="1"/>
  <c r="O89" i="8"/>
  <c r="R89"/>
  <c r="O73"/>
  <c r="R73"/>
  <c r="R64"/>
  <c r="O64"/>
  <c r="R54"/>
  <c r="O54"/>
  <c r="R51"/>
  <c r="O51"/>
  <c r="O23"/>
  <c r="R23"/>
  <c r="P101" i="9"/>
  <c r="AH101" s="1"/>
  <c r="R101"/>
  <c r="L44"/>
  <c r="G44"/>
  <c r="K44"/>
  <c r="J44"/>
  <c r="Y58" i="10"/>
  <c r="O58"/>
  <c r="T58"/>
  <c r="Y61"/>
  <c r="O61"/>
  <c r="W61"/>
  <c r="Y72"/>
  <c r="T72"/>
  <c r="W72"/>
  <c r="Y76"/>
  <c r="T76"/>
  <c r="W76"/>
  <c r="Y85"/>
  <c r="O85"/>
  <c r="T85"/>
  <c r="W85"/>
  <c r="Y96"/>
  <c r="W96"/>
  <c r="Y98"/>
  <c r="T98"/>
  <c r="Y111"/>
  <c r="O111"/>
  <c r="T111"/>
  <c r="Y99"/>
  <c r="T99"/>
  <c r="W99"/>
  <c r="O17"/>
  <c r="E31"/>
  <c r="T17"/>
  <c r="O71"/>
  <c r="Y71"/>
  <c r="W71"/>
  <c r="Y107"/>
  <c r="T107"/>
  <c r="W107"/>
  <c r="O107"/>
  <c r="O60"/>
  <c r="E115"/>
  <c r="Y106"/>
  <c r="T106"/>
  <c r="W106"/>
  <c r="Y100"/>
  <c r="W100"/>
  <c r="O19"/>
  <c r="T19"/>
  <c r="O23"/>
  <c r="T23"/>
  <c r="Y63"/>
  <c r="O63"/>
  <c r="T63"/>
  <c r="H16" i="15"/>
  <c r="H32" s="1"/>
  <c r="H27" i="3"/>
  <c r="R71" i="8"/>
  <c r="P51" i="1"/>
  <c r="O96" i="3"/>
  <c r="O92"/>
  <c r="P92"/>
  <c r="H43"/>
  <c r="I43"/>
  <c r="O24"/>
  <c r="L27"/>
  <c r="O22"/>
  <c r="R101" i="8"/>
  <c r="O101"/>
  <c r="O98"/>
  <c r="R94"/>
  <c r="S94" s="1"/>
  <c r="R91"/>
  <c r="R88"/>
  <c r="O56"/>
  <c r="R56"/>
  <c r="F110"/>
  <c r="G110"/>
  <c r="R22"/>
  <c r="R103" i="9"/>
  <c r="R74"/>
  <c r="L29"/>
  <c r="G31" i="10"/>
  <c r="H115"/>
  <c r="J115"/>
  <c r="O16" i="1"/>
  <c r="P16" s="1"/>
  <c r="C27" i="3"/>
  <c r="P17" i="1"/>
  <c r="O17" i="3" s="1"/>
  <c r="P17" s="1"/>
  <c r="R105" i="8"/>
  <c r="O105"/>
  <c r="O99"/>
  <c r="R99"/>
  <c r="O96"/>
  <c r="R96"/>
  <c r="O93"/>
  <c r="R93"/>
  <c r="S93" s="1"/>
  <c r="R92"/>
  <c r="S92" s="1"/>
  <c r="O92"/>
  <c r="O65"/>
  <c r="R65"/>
  <c r="C110"/>
  <c r="O53"/>
  <c r="I42" i="9"/>
  <c r="D42"/>
  <c r="H42"/>
  <c r="L42"/>
  <c r="K42"/>
  <c r="D36"/>
  <c r="L36"/>
  <c r="G36"/>
  <c r="K36"/>
  <c r="R17"/>
  <c r="P17"/>
  <c r="AH17" s="1"/>
  <c r="O27" i="10"/>
  <c r="T27"/>
  <c r="C31"/>
  <c r="Y91"/>
  <c r="T91"/>
  <c r="W91"/>
  <c r="O91"/>
  <c r="P36" i="1"/>
  <c r="I47"/>
  <c r="O68" i="3"/>
  <c r="O53"/>
  <c r="L108"/>
  <c r="M108"/>
  <c r="E108"/>
  <c r="O46"/>
  <c r="O90" i="8"/>
  <c r="R79"/>
  <c r="O75"/>
  <c r="I110"/>
  <c r="M110"/>
  <c r="J110"/>
  <c r="R76" i="9"/>
  <c r="G112"/>
  <c r="C112"/>
  <c r="T53" i="10"/>
  <c r="W40"/>
  <c r="O45" i="14"/>
  <c r="L43" i="9"/>
  <c r="D43"/>
  <c r="F43"/>
  <c r="Y56" i="10"/>
  <c r="C115"/>
  <c r="Y60"/>
  <c r="T60"/>
  <c r="W60"/>
  <c r="Y62"/>
  <c r="T62"/>
  <c r="W62"/>
  <c r="Y77"/>
  <c r="O77"/>
  <c r="Y95"/>
  <c r="O95"/>
  <c r="T95"/>
  <c r="W95"/>
  <c r="Y97"/>
  <c r="O97"/>
  <c r="T97"/>
  <c r="W97"/>
  <c r="Y104"/>
  <c r="T104"/>
  <c r="W104"/>
  <c r="Y79"/>
  <c r="T79"/>
  <c r="W79"/>
  <c r="Y94"/>
  <c r="T94"/>
  <c r="W94"/>
  <c r="Y70"/>
  <c r="T70"/>
  <c r="W70"/>
  <c r="K16" i="14"/>
  <c r="N16" s="1"/>
  <c r="K49" i="10"/>
  <c r="M49"/>
  <c r="W49" s="1"/>
  <c r="E49"/>
  <c r="G49"/>
  <c r="I49"/>
  <c r="K47"/>
  <c r="M47"/>
  <c r="D47"/>
  <c r="F47"/>
  <c r="H47"/>
  <c r="J47"/>
  <c r="K45"/>
  <c r="M45"/>
  <c r="E45"/>
  <c r="G45"/>
  <c r="I45"/>
  <c r="J45"/>
  <c r="K43"/>
  <c r="L43"/>
  <c r="M43"/>
  <c r="E43"/>
  <c r="G43"/>
  <c r="I43"/>
  <c r="K41"/>
  <c r="L41"/>
  <c r="M41"/>
  <c r="E41"/>
  <c r="G41"/>
  <c r="I41"/>
  <c r="K39"/>
  <c r="L39"/>
  <c r="M39"/>
  <c r="E39"/>
  <c r="G39"/>
  <c r="I39"/>
  <c r="K37"/>
  <c r="L37"/>
  <c r="M37"/>
  <c r="E37"/>
  <c r="G37"/>
  <c r="I37"/>
  <c r="K211" i="2"/>
  <c r="H29" i="9"/>
  <c r="K112"/>
  <c r="L112"/>
  <c r="T55" i="10"/>
  <c r="O30"/>
  <c r="J50"/>
  <c r="I48"/>
  <c r="E48"/>
  <c r="T44"/>
  <c r="T40"/>
  <c r="G36"/>
  <c r="M36"/>
  <c r="K50"/>
  <c r="L50"/>
  <c r="N50"/>
  <c r="D50"/>
  <c r="E50"/>
  <c r="G50"/>
  <c r="I50"/>
  <c r="K48"/>
  <c r="N48"/>
  <c r="F48"/>
  <c r="H48"/>
  <c r="J48"/>
  <c r="K46"/>
  <c r="L46"/>
  <c r="N46"/>
  <c r="D46"/>
  <c r="E46"/>
  <c r="G46"/>
  <c r="I46"/>
  <c r="K36"/>
  <c r="N36"/>
  <c r="D36"/>
  <c r="F36"/>
  <c r="H36"/>
  <c r="J36"/>
  <c r="O41" i="13"/>
  <c r="C40" i="8"/>
  <c r="N43" i="3"/>
  <c r="O39"/>
  <c r="O34"/>
  <c r="P41" i="9"/>
  <c r="AH41" s="1"/>
  <c r="R95" i="8"/>
  <c r="O100"/>
  <c r="I25" i="1"/>
  <c r="O77" i="3"/>
  <c r="L48" i="10"/>
  <c r="C89" i="13"/>
  <c r="F89"/>
  <c r="G89"/>
  <c r="H89"/>
  <c r="D89"/>
  <c r="E89"/>
  <c r="G259" i="2"/>
  <c r="P44" i="9" l="1"/>
  <c r="AH44" s="1"/>
  <c r="D108" i="3"/>
  <c r="O45"/>
  <c r="E40" i="8"/>
  <c r="R27"/>
  <c r="N29"/>
  <c r="P95" i="9"/>
  <c r="AH95" s="1"/>
  <c r="R92"/>
  <c r="E43"/>
  <c r="T77" i="10"/>
  <c r="T100"/>
  <c r="G115"/>
  <c r="I115"/>
  <c r="F31" i="13"/>
  <c r="H31"/>
  <c r="O86"/>
  <c r="I31"/>
  <c r="P29" i="9"/>
  <c r="AH29" s="1"/>
  <c r="W39" i="10"/>
  <c r="P94" i="3"/>
  <c r="C108"/>
  <c r="E27"/>
  <c r="O24" i="8"/>
  <c r="O74" i="18"/>
  <c r="P62" i="1"/>
  <c r="D25"/>
  <c r="O33" i="3"/>
  <c r="O79" i="8"/>
  <c r="P108" i="9"/>
  <c r="AH108" s="1"/>
  <c r="AI82"/>
  <c r="P58"/>
  <c r="AH58" s="1"/>
  <c r="E112"/>
  <c r="AI54"/>
  <c r="N29"/>
  <c r="D31" i="10"/>
  <c r="I31"/>
  <c r="O91" i="14"/>
  <c r="O27" i="13"/>
  <c r="T36" i="10"/>
  <c r="O40" i="8"/>
  <c r="I107" i="1"/>
  <c r="O51" i="3"/>
  <c r="M31" i="10"/>
  <c r="P46" i="1"/>
  <c r="P36" i="9"/>
  <c r="AH36" s="1"/>
  <c r="O43" i="8"/>
  <c r="O99" i="1"/>
  <c r="P99" s="1"/>
  <c r="N107"/>
  <c r="D107"/>
  <c r="P88"/>
  <c r="P85"/>
  <c r="P43"/>
  <c r="O21"/>
  <c r="P21" s="1"/>
  <c r="L43" i="3"/>
  <c r="K27"/>
  <c r="R70" i="8"/>
  <c r="R68"/>
  <c r="R53"/>
  <c r="K29"/>
  <c r="R20"/>
  <c r="J31" i="10"/>
  <c r="M50"/>
  <c r="O74" i="19"/>
  <c r="C31" i="13"/>
  <c r="C32" s="1"/>
  <c r="C90" s="1"/>
  <c r="D12" s="1"/>
  <c r="D32" s="1"/>
  <c r="D90" s="1"/>
  <c r="E12" s="1"/>
  <c r="E32" s="1"/>
  <c r="E90" s="1"/>
  <c r="F12" s="1"/>
  <c r="F32" s="1"/>
  <c r="F90" s="1"/>
  <c r="G12" s="1"/>
  <c r="G32" s="1"/>
  <c r="G90" s="1"/>
  <c r="H12" s="1"/>
  <c r="H32" s="1"/>
  <c r="H90" s="1"/>
  <c r="I12" s="1"/>
  <c r="I32" s="1"/>
  <c r="P24"/>
  <c r="Q24" s="1"/>
  <c r="Q159" i="2"/>
  <c r="P169"/>
  <c r="P245" s="1"/>
  <c r="V154"/>
  <c r="Q197"/>
  <c r="P200"/>
  <c r="M250"/>
  <c r="M258" s="1"/>
  <c r="AA250"/>
  <c r="AA258" s="1"/>
  <c r="AA183"/>
  <c r="AA246" s="1"/>
  <c r="D43" i="19"/>
  <c r="D43" i="20"/>
  <c r="F43" i="19"/>
  <c r="F43" i="20"/>
  <c r="H43" i="19"/>
  <c r="H43" i="20"/>
  <c r="J43" i="19"/>
  <c r="J43" i="20"/>
  <c r="L43" i="19"/>
  <c r="L43" i="20"/>
  <c r="N43" i="19"/>
  <c r="N43" i="20"/>
  <c r="E43" i="19"/>
  <c r="E43" i="20"/>
  <c r="G43" i="19"/>
  <c r="G43" i="20"/>
  <c r="I43" i="19"/>
  <c r="I43" i="20"/>
  <c r="K43" i="19"/>
  <c r="K43" i="20"/>
  <c r="M43" i="19"/>
  <c r="M43" i="20"/>
  <c r="T46" i="9"/>
  <c r="M24" i="20"/>
  <c r="L31"/>
  <c r="H31" i="19"/>
  <c r="K16" i="15"/>
  <c r="N16" s="1"/>
  <c r="N32" s="1"/>
  <c r="N16" i="19"/>
  <c r="N31" s="1"/>
  <c r="H99" i="14"/>
  <c r="G100"/>
  <c r="G101" s="1"/>
  <c r="G92" s="1"/>
  <c r="P59" i="9"/>
  <c r="AH59" s="1"/>
  <c r="P56"/>
  <c r="AH56" s="1"/>
  <c r="I34"/>
  <c r="D34"/>
  <c r="H34"/>
  <c r="E34"/>
  <c r="N34"/>
  <c r="F34"/>
  <c r="R82" i="8"/>
  <c r="O82"/>
  <c r="T37" i="10"/>
  <c r="W47"/>
  <c r="P43" i="9"/>
  <c r="AH43" s="1"/>
  <c r="S95" i="8"/>
  <c r="R54" i="9"/>
  <c r="H112"/>
  <c r="O34" i="8"/>
  <c r="E43" i="3"/>
  <c r="P57" i="9"/>
  <c r="AH57" s="1"/>
  <c r="G34"/>
  <c r="R72" i="8"/>
  <c r="R55"/>
  <c r="N110"/>
  <c r="J29"/>
  <c r="F42" i="9"/>
  <c r="J42"/>
  <c r="J29"/>
  <c r="T47" i="10"/>
  <c r="P82" i="9"/>
  <c r="AH82" s="1"/>
  <c r="R59"/>
  <c r="T59" s="1"/>
  <c r="R58"/>
  <c r="AI108"/>
  <c r="T45"/>
  <c r="F108" i="3"/>
  <c r="G108"/>
  <c r="R98" i="8"/>
  <c r="O94"/>
  <c r="D37"/>
  <c r="G37"/>
  <c r="N37"/>
  <c r="C37" i="9" s="1"/>
  <c r="L37" i="8"/>
  <c r="E37"/>
  <c r="M35"/>
  <c r="N35"/>
  <c r="C35" i="9" s="1"/>
  <c r="T35" s="1"/>
  <c r="G35" i="8"/>
  <c r="H35" s="1"/>
  <c r="K35" s="1"/>
  <c r="L35"/>
  <c r="E29"/>
  <c r="R25"/>
  <c r="P97" i="9"/>
  <c r="AH97" s="1"/>
  <c r="R97"/>
  <c r="S97" s="1"/>
  <c r="P93"/>
  <c r="AH93" s="1"/>
  <c r="P68"/>
  <c r="D38"/>
  <c r="I38"/>
  <c r="L38"/>
  <c r="E38"/>
  <c r="N38"/>
  <c r="F38"/>
  <c r="F49" s="1"/>
  <c r="O32" i="3"/>
  <c r="W37" i="10"/>
  <c r="T49"/>
  <c r="W36"/>
  <c r="T50"/>
  <c r="W43"/>
  <c r="O115"/>
  <c r="T43" i="9"/>
  <c r="R82"/>
  <c r="E110" i="8"/>
  <c r="F25" i="1"/>
  <c r="AI57" i="9"/>
  <c r="AI56"/>
  <c r="T44"/>
  <c r="J34"/>
  <c r="R57"/>
  <c r="J43" i="3"/>
  <c r="L34" i="9"/>
  <c r="P77" i="1"/>
  <c r="O80" i="8"/>
  <c r="R80"/>
  <c r="I44"/>
  <c r="G44"/>
  <c r="O44" s="1"/>
  <c r="I112" i="9"/>
  <c r="P76"/>
  <c r="AH76" s="1"/>
  <c r="P74"/>
  <c r="AH74" s="1"/>
  <c r="H40"/>
  <c r="H49" s="1"/>
  <c r="K40"/>
  <c r="K49" s="1"/>
  <c r="L40"/>
  <c r="G40"/>
  <c r="J40"/>
  <c r="G29"/>
  <c r="R27"/>
  <c r="R29" s="1"/>
  <c r="P97" i="1"/>
  <c r="P92"/>
  <c r="P91"/>
  <c r="P87"/>
  <c r="P53"/>
  <c r="O19"/>
  <c r="P19" s="1"/>
  <c r="O88" i="3"/>
  <c r="N108"/>
  <c r="H108"/>
  <c r="M43"/>
  <c r="G43"/>
  <c r="N27"/>
  <c r="I27"/>
  <c r="M27"/>
  <c r="O91" i="8"/>
  <c r="O71"/>
  <c r="K110"/>
  <c r="G29"/>
  <c r="H29"/>
  <c r="F112" i="9"/>
  <c r="Y34"/>
  <c r="X39" s="1"/>
  <c r="H45" i="10"/>
  <c r="M29" i="9"/>
  <c r="M30" s="1"/>
  <c r="G52" i="10"/>
  <c r="D48"/>
  <c r="D41"/>
  <c r="H38"/>
  <c r="D38"/>
  <c r="F31"/>
  <c r="H31"/>
  <c r="L38"/>
  <c r="K38"/>
  <c r="O28" i="13"/>
  <c r="M112" i="9"/>
  <c r="N112"/>
  <c r="P27" i="13"/>
  <c r="P96" i="1"/>
  <c r="P64"/>
  <c r="L47"/>
  <c r="P32"/>
  <c r="F47"/>
  <c r="F107" s="1"/>
  <c r="L25"/>
  <c r="G25"/>
  <c r="K25"/>
  <c r="O99" i="3"/>
  <c r="O87"/>
  <c r="O54"/>
  <c r="J108"/>
  <c r="O23"/>
  <c r="G27"/>
  <c r="R108" i="8"/>
  <c r="O63"/>
  <c r="O55"/>
  <c r="R28"/>
  <c r="M29"/>
  <c r="I29"/>
  <c r="R95" i="9"/>
  <c r="S95" s="1"/>
  <c r="S98" s="1"/>
  <c r="R93"/>
  <c r="R72"/>
  <c r="D37"/>
  <c r="T37" s="1"/>
  <c r="I29"/>
  <c r="W59" i="10"/>
  <c r="D115"/>
  <c r="D45"/>
  <c r="H41"/>
  <c r="J38"/>
  <c r="F38"/>
  <c r="N38"/>
  <c r="N56" s="1"/>
  <c r="N115" s="1"/>
  <c r="O25" i="13"/>
  <c r="P68" i="1"/>
  <c r="P52"/>
  <c r="P44"/>
  <c r="P39"/>
  <c r="P38"/>
  <c r="P37"/>
  <c r="K47"/>
  <c r="O49" i="3"/>
  <c r="O48" i="8"/>
  <c r="O41"/>
  <c r="O36"/>
  <c r="R100"/>
  <c r="O70"/>
  <c r="D110"/>
  <c r="H110"/>
  <c r="L110"/>
  <c r="O49"/>
  <c r="L29"/>
  <c r="R108" i="9"/>
  <c r="X40"/>
  <c r="I52" i="10"/>
  <c r="G48"/>
  <c r="F41"/>
  <c r="I38"/>
  <c r="E38"/>
  <c r="M46"/>
  <c r="W46" s="1"/>
  <c r="O43" i="18"/>
  <c r="P39" i="9"/>
  <c r="AH39" s="1"/>
  <c r="P46"/>
  <c r="AH46" s="1"/>
  <c r="K51"/>
  <c r="K32" i="14"/>
  <c r="D219" i="2"/>
  <c r="D230" s="1"/>
  <c r="D233" s="1"/>
  <c r="R48" i="9" s="1"/>
  <c r="I48" s="1"/>
  <c r="H24" i="2"/>
  <c r="E169"/>
  <c r="E245" s="1"/>
  <c r="E207"/>
  <c r="E222" s="1"/>
  <c r="E227" s="1"/>
  <c r="J24"/>
  <c r="M51" i="9"/>
  <c r="H17" i="2"/>
  <c r="C219"/>
  <c r="C230" s="1"/>
  <c r="C233" s="1"/>
  <c r="L26"/>
  <c r="K27"/>
  <c r="L27" s="1"/>
  <c r="M27" s="1"/>
  <c r="AA27" s="1"/>
  <c r="J31"/>
  <c r="B219"/>
  <c r="B230" s="1"/>
  <c r="B233" s="1"/>
  <c r="K200"/>
  <c r="L193"/>
  <c r="M186"/>
  <c r="K45"/>
  <c r="L45" s="1"/>
  <c r="L183"/>
  <c r="L246" s="1"/>
  <c r="K214"/>
  <c r="L210"/>
  <c r="M210" s="1"/>
  <c r="N210" s="1"/>
  <c r="G169"/>
  <c r="G245" s="1"/>
  <c r="K61"/>
  <c r="L61" s="1"/>
  <c r="M61" s="1"/>
  <c r="AA61" s="1"/>
  <c r="L41"/>
  <c r="M41" s="1"/>
  <c r="AA41" s="1"/>
  <c r="M183"/>
  <c r="M246" s="1"/>
  <c r="J214"/>
  <c r="K34"/>
  <c r="L211"/>
  <c r="J200"/>
  <c r="E229"/>
  <c r="H51" i="9"/>
  <c r="J183" i="2"/>
  <c r="J246" s="1"/>
  <c r="K193"/>
  <c r="G31"/>
  <c r="K6"/>
  <c r="G183"/>
  <c r="G246" s="1"/>
  <c r="K9"/>
  <c r="L9" s="1"/>
  <c r="M9" s="1"/>
  <c r="AA9" s="1"/>
  <c r="K183"/>
  <c r="K246" s="1"/>
  <c r="G214"/>
  <c r="E31"/>
  <c r="E219" s="1"/>
  <c r="E51" i="9"/>
  <c r="I51"/>
  <c r="N51"/>
  <c r="F51"/>
  <c r="D51"/>
  <c r="L51"/>
  <c r="J51"/>
  <c r="P45"/>
  <c r="AH45" s="1"/>
  <c r="O16" i="13"/>
  <c r="L56" i="10"/>
  <c r="L115" s="1"/>
  <c r="K32" i="15"/>
  <c r="O16"/>
  <c r="T48" i="10"/>
  <c r="G244" i="2"/>
  <c r="M7"/>
  <c r="AA7" s="1"/>
  <c r="N32" i="14"/>
  <c r="O16"/>
  <c r="P38" i="9"/>
  <c r="AH38" s="1"/>
  <c r="T41"/>
  <c r="K107" i="1"/>
  <c r="T43" i="10"/>
  <c r="W50"/>
  <c r="T36" i="9"/>
  <c r="T39"/>
  <c r="T39" i="10"/>
  <c r="O38" i="8"/>
  <c r="J107" i="1"/>
  <c r="O39" i="8"/>
  <c r="K43" i="3"/>
  <c r="N49" i="9"/>
  <c r="L107" i="1"/>
  <c r="E107"/>
  <c r="M47"/>
  <c r="M107" s="1"/>
  <c r="C47"/>
  <c r="C107" s="1"/>
  <c r="C108" s="1"/>
  <c r="D12" s="1"/>
  <c r="D26" s="1"/>
  <c r="D108" s="1"/>
  <c r="E12" s="1"/>
  <c r="E26" s="1"/>
  <c r="O40" i="3"/>
  <c r="F35"/>
  <c r="F43" s="1"/>
  <c r="O76" i="8"/>
  <c r="O69"/>
  <c r="D35"/>
  <c r="O35" s="1"/>
  <c r="K29" i="9"/>
  <c r="P30" i="1"/>
  <c r="O22"/>
  <c r="C45" i="8"/>
  <c r="O45" s="1"/>
  <c r="O27"/>
  <c r="O29" s="1"/>
  <c r="L31" i="10"/>
  <c r="K28"/>
  <c r="K26"/>
  <c r="K42"/>
  <c r="T42" s="1"/>
  <c r="E52"/>
  <c r="H16" i="18"/>
  <c r="P35" i="9" l="1"/>
  <c r="AH35" s="1"/>
  <c r="C49"/>
  <c r="O43" i="19"/>
  <c r="M211" i="2"/>
  <c r="N211" s="1"/>
  <c r="S111" i="9"/>
  <c r="M56" i="10"/>
  <c r="M115" s="1"/>
  <c r="T41"/>
  <c r="J49" i="9"/>
  <c r="W48" i="10"/>
  <c r="L49" i="9"/>
  <c r="R111" i="8"/>
  <c r="R113" s="1"/>
  <c r="E49" i="9"/>
  <c r="E108" i="1"/>
  <c r="F12" s="1"/>
  <c r="P112" i="9"/>
  <c r="R30" i="8"/>
  <c r="R114" s="1"/>
  <c r="P42" i="9"/>
  <c r="AH42" s="1"/>
  <c r="R159" i="2"/>
  <c r="Q169"/>
  <c r="Q245" s="1"/>
  <c r="W154"/>
  <c r="R197"/>
  <c r="Q200"/>
  <c r="O210"/>
  <c r="M193"/>
  <c r="AA186"/>
  <c r="AA193" s="1"/>
  <c r="O43" i="20"/>
  <c r="N24"/>
  <c r="M31"/>
  <c r="O16" i="19"/>
  <c r="I99" i="14"/>
  <c r="H100"/>
  <c r="H101" s="1"/>
  <c r="H92" s="1"/>
  <c r="AH112" i="9"/>
  <c r="P113"/>
  <c r="R116" i="8"/>
  <c r="O110"/>
  <c r="F26" i="1"/>
  <c r="F108" s="1"/>
  <c r="G12" s="1"/>
  <c r="G26" s="1"/>
  <c r="G108" s="1"/>
  <c r="H12" s="1"/>
  <c r="H26" s="1"/>
  <c r="H108" s="1"/>
  <c r="I12" s="1"/>
  <c r="I26" s="1"/>
  <c r="I108" s="1"/>
  <c r="J12" s="1"/>
  <c r="J26" s="1"/>
  <c r="J108" s="1"/>
  <c r="K12" s="1"/>
  <c r="K26" s="1"/>
  <c r="K108" s="1"/>
  <c r="L12" s="1"/>
  <c r="L26" s="1"/>
  <c r="L108" s="1"/>
  <c r="M12" s="1"/>
  <c r="M26" s="1"/>
  <c r="M108" s="1"/>
  <c r="N12" s="1"/>
  <c r="N26" s="1"/>
  <c r="N108" s="1"/>
  <c r="C12" i="3" s="1"/>
  <c r="C28" s="1"/>
  <c r="C109" s="1"/>
  <c r="D12" s="1"/>
  <c r="D28" s="1"/>
  <c r="D109" s="1"/>
  <c r="E12" s="1"/>
  <c r="E28" s="1"/>
  <c r="E109" s="1"/>
  <c r="F12" s="1"/>
  <c r="F28" s="1"/>
  <c r="F109" s="1"/>
  <c r="G12" s="1"/>
  <c r="G28" s="1"/>
  <c r="G109" s="1"/>
  <c r="H12" s="1"/>
  <c r="H28" s="1"/>
  <c r="H109" s="1"/>
  <c r="I12" s="1"/>
  <c r="I28" s="1"/>
  <c r="I109" s="1"/>
  <c r="J12" s="1"/>
  <c r="J28" s="1"/>
  <c r="J109" s="1"/>
  <c r="K12" s="1"/>
  <c r="K28" s="1"/>
  <c r="K109" s="1"/>
  <c r="L12" s="1"/>
  <c r="L28" s="1"/>
  <c r="L109" s="1"/>
  <c r="M12" s="1"/>
  <c r="M28" s="1"/>
  <c r="M109" s="1"/>
  <c r="N12" s="1"/>
  <c r="N28" s="1"/>
  <c r="N109" s="1"/>
  <c r="C12" i="8" s="1"/>
  <c r="O12" s="1"/>
  <c r="O30" s="1"/>
  <c r="O111" s="1"/>
  <c r="T40" i="9"/>
  <c r="O31" i="13"/>
  <c r="P34" i="9"/>
  <c r="AH34" s="1"/>
  <c r="W45" i="10"/>
  <c r="T45"/>
  <c r="O37" i="8"/>
  <c r="T46" i="10"/>
  <c r="P40" i="9"/>
  <c r="AH40" s="1"/>
  <c r="T38" i="10"/>
  <c r="W38"/>
  <c r="T38" i="9"/>
  <c r="D49"/>
  <c r="T34"/>
  <c r="M113"/>
  <c r="N12" s="1"/>
  <c r="N30" s="1"/>
  <c r="N113" s="1"/>
  <c r="C12" i="10" s="1"/>
  <c r="C32" s="1"/>
  <c r="C116" s="1"/>
  <c r="D12" s="1"/>
  <c r="D32" s="1"/>
  <c r="D116" s="1"/>
  <c r="E12" s="1"/>
  <c r="E32" s="1"/>
  <c r="E116" s="1"/>
  <c r="F12" s="1"/>
  <c r="F32" s="1"/>
  <c r="F116" s="1"/>
  <c r="G12" s="1"/>
  <c r="G32" s="1"/>
  <c r="G116" s="1"/>
  <c r="H12" s="1"/>
  <c r="H32" s="1"/>
  <c r="H116" s="1"/>
  <c r="I12" s="1"/>
  <c r="I32" s="1"/>
  <c r="I116" s="1"/>
  <c r="J12" s="1"/>
  <c r="J32" s="1"/>
  <c r="J116" s="1"/>
  <c r="K12" s="1"/>
  <c r="AH68" i="9"/>
  <c r="S68"/>
  <c r="P37"/>
  <c r="AH37" s="1"/>
  <c r="W41" i="10"/>
  <c r="G49" i="9"/>
  <c r="I49"/>
  <c r="R52"/>
  <c r="S108" s="1"/>
  <c r="S112" s="1"/>
  <c r="S113" s="1"/>
  <c r="K20" i="2"/>
  <c r="L20" s="1"/>
  <c r="E48" i="9"/>
  <c r="G48"/>
  <c r="L214" i="2"/>
  <c r="K31"/>
  <c r="L169"/>
  <c r="M45"/>
  <c r="J17"/>
  <c r="E221"/>
  <c r="E223" s="1"/>
  <c r="E228" s="1"/>
  <c r="E230"/>
  <c r="H48" i="9"/>
  <c r="J48"/>
  <c r="M26" i="2"/>
  <c r="L31"/>
  <c r="L6"/>
  <c r="K17"/>
  <c r="L34"/>
  <c r="K38"/>
  <c r="M200"/>
  <c r="L200"/>
  <c r="F48" i="9"/>
  <c r="L48"/>
  <c r="K169" i="2"/>
  <c r="J169"/>
  <c r="J245" s="1"/>
  <c r="G207"/>
  <c r="G219" s="1"/>
  <c r="G230" s="1"/>
  <c r="K204"/>
  <c r="D48" i="9"/>
  <c r="C48"/>
  <c r="N48"/>
  <c r="E247" i="2"/>
  <c r="P51" i="9"/>
  <c r="AH51" s="1"/>
  <c r="T51"/>
  <c r="C30" i="8"/>
  <c r="C111" s="1"/>
  <c r="D12" s="1"/>
  <c r="D30" s="1"/>
  <c r="D111" s="1"/>
  <c r="E12" s="1"/>
  <c r="E30" s="1"/>
  <c r="E111" s="1"/>
  <c r="F12" s="1"/>
  <c r="F30" s="1"/>
  <c r="F111" s="1"/>
  <c r="G12" s="1"/>
  <c r="G30" s="1"/>
  <c r="G111" s="1"/>
  <c r="H12" s="1"/>
  <c r="H30" s="1"/>
  <c r="H111" s="1"/>
  <c r="I12" s="1"/>
  <c r="I30" s="1"/>
  <c r="I111" s="1"/>
  <c r="J12" s="1"/>
  <c r="J30" s="1"/>
  <c r="J111" s="1"/>
  <c r="K12" s="1"/>
  <c r="K30" s="1"/>
  <c r="K111" s="1"/>
  <c r="L12" s="1"/>
  <c r="L30" s="1"/>
  <c r="L111" s="1"/>
  <c r="M12" s="1"/>
  <c r="M30" s="1"/>
  <c r="M111" s="1"/>
  <c r="N12" s="1"/>
  <c r="N30" s="1"/>
  <c r="N111" s="1"/>
  <c r="C12" i="9" s="1"/>
  <c r="T52" i="10"/>
  <c r="W52"/>
  <c r="M214" i="2"/>
  <c r="W42" i="10"/>
  <c r="K56"/>
  <c r="P22" i="1"/>
  <c r="O25"/>
  <c r="K31" i="10"/>
  <c r="T26"/>
  <c r="O26"/>
  <c r="H31" i="18"/>
  <c r="K16"/>
  <c r="O28" i="10"/>
  <c r="T28"/>
  <c r="O43" i="3"/>
  <c r="O35"/>
  <c r="O26" i="1"/>
  <c r="K32" i="10" l="1"/>
  <c r="P49" i="9"/>
  <c r="AH49" s="1"/>
  <c r="O211" i="2"/>
  <c r="P211" s="1"/>
  <c r="Q211" s="1"/>
  <c r="R211" s="1"/>
  <c r="S211" s="1"/>
  <c r="T211" s="1"/>
  <c r="U211" s="1"/>
  <c r="V211" s="1"/>
  <c r="W211" s="1"/>
  <c r="X211" s="1"/>
  <c r="Y211" s="1"/>
  <c r="Z211" s="1"/>
  <c r="AA211" s="1"/>
  <c r="N214"/>
  <c r="T49" i="9"/>
  <c r="O31" i="10"/>
  <c r="O32" s="1"/>
  <c r="S159" i="2"/>
  <c r="R169"/>
  <c r="R245" s="1"/>
  <c r="X154"/>
  <c r="M31"/>
  <c r="AA26"/>
  <c r="AA31" s="1"/>
  <c r="M169"/>
  <c r="AA45"/>
  <c r="N222"/>
  <c r="N227" s="1"/>
  <c r="N219"/>
  <c r="N247"/>
  <c r="S197"/>
  <c r="R200"/>
  <c r="O214"/>
  <c r="P210"/>
  <c r="N31" i="20"/>
  <c r="O24"/>
  <c r="J99" i="14"/>
  <c r="I100"/>
  <c r="I101" s="1"/>
  <c r="I92" s="1"/>
  <c r="K24" i="2"/>
  <c r="K245" s="1"/>
  <c r="E233"/>
  <c r="E241" s="1"/>
  <c r="G247"/>
  <c r="G256" s="1"/>
  <c r="P48" i="9"/>
  <c r="AH48" s="1"/>
  <c r="G222" i="2"/>
  <c r="G227" s="1"/>
  <c r="L24"/>
  <c r="L245" s="1"/>
  <c r="M20"/>
  <c r="L38"/>
  <c r="M34"/>
  <c r="K203"/>
  <c r="J207"/>
  <c r="J219" s="1"/>
  <c r="M6"/>
  <c r="L17"/>
  <c r="J244"/>
  <c r="T48" i="9"/>
  <c r="L204" i="2"/>
  <c r="K244"/>
  <c r="T32" i="10"/>
  <c r="O56"/>
  <c r="O116" s="1"/>
  <c r="T56"/>
  <c r="T115" s="1"/>
  <c r="K115"/>
  <c r="K116" s="1"/>
  <c r="L12" s="1"/>
  <c r="L32" s="1"/>
  <c r="L116" s="1"/>
  <c r="M12" s="1"/>
  <c r="M32" s="1"/>
  <c r="M116" s="1"/>
  <c r="N12" s="1"/>
  <c r="N32" s="1"/>
  <c r="N116" s="1"/>
  <c r="W56"/>
  <c r="W115" s="1"/>
  <c r="K31" i="18"/>
  <c r="N16"/>
  <c r="P12" i="9"/>
  <c r="C30"/>
  <c r="C113" s="1"/>
  <c r="D12" s="1"/>
  <c r="D30" s="1"/>
  <c r="D113" s="1"/>
  <c r="E12" s="1"/>
  <c r="E30" s="1"/>
  <c r="E113" s="1"/>
  <c r="F12" s="1"/>
  <c r="F30" s="1"/>
  <c r="F113" s="1"/>
  <c r="G12" s="1"/>
  <c r="G30" s="1"/>
  <c r="G113" s="1"/>
  <c r="H12" s="1"/>
  <c r="H30" s="1"/>
  <c r="H113" s="1"/>
  <c r="I12" s="1"/>
  <c r="I30" s="1"/>
  <c r="I113" s="1"/>
  <c r="J12" s="1"/>
  <c r="J30" s="1"/>
  <c r="J113" s="1"/>
  <c r="K12" s="1"/>
  <c r="K30" s="1"/>
  <c r="K113" s="1"/>
  <c r="L12" s="1"/>
  <c r="L30" s="1"/>
  <c r="L113" s="1"/>
  <c r="T159" i="2" l="1"/>
  <c r="S169"/>
  <c r="S245" s="1"/>
  <c r="Y154"/>
  <c r="M38"/>
  <c r="AA34"/>
  <c r="AA38" s="1"/>
  <c r="M24"/>
  <c r="M245" s="1"/>
  <c r="AA20"/>
  <c r="AA24" s="1"/>
  <c r="P214"/>
  <c r="Q210"/>
  <c r="N256"/>
  <c r="M17"/>
  <c r="AA6"/>
  <c r="AA17" s="1"/>
  <c r="AA244" s="1"/>
  <c r="O222"/>
  <c r="O227" s="1"/>
  <c r="O247"/>
  <c r="O219"/>
  <c r="T197"/>
  <c r="S200"/>
  <c r="N230"/>
  <c r="N221"/>
  <c r="N223" s="1"/>
  <c r="N228" s="1"/>
  <c r="K99" i="14"/>
  <c r="J100"/>
  <c r="J101" s="1"/>
  <c r="J92" s="1"/>
  <c r="E249" i="2"/>
  <c r="E253" s="1"/>
  <c r="G221"/>
  <c r="G223" s="1"/>
  <c r="G228" s="1"/>
  <c r="G233" s="1"/>
  <c r="G260" s="1"/>
  <c r="J230"/>
  <c r="K207"/>
  <c r="L203"/>
  <c r="J222"/>
  <c r="J227" s="1"/>
  <c r="J247"/>
  <c r="J256" s="1"/>
  <c r="L244"/>
  <c r="M204"/>
  <c r="AA204" s="1"/>
  <c r="M244"/>
  <c r="T116" i="10"/>
  <c r="W116"/>
  <c r="N31" i="18"/>
  <c r="O16"/>
  <c r="U159" i="2" l="1"/>
  <c r="T169"/>
  <c r="T245" s="1"/>
  <c r="Z154"/>
  <c r="O230"/>
  <c r="O221"/>
  <c r="O223" s="1"/>
  <c r="O228" s="1"/>
  <c r="P222"/>
  <c r="P227" s="1"/>
  <c r="P219"/>
  <c r="P247"/>
  <c r="N233"/>
  <c r="N249" s="1"/>
  <c r="U197"/>
  <c r="T200"/>
  <c r="O256"/>
  <c r="R210"/>
  <c r="Q214"/>
  <c r="L99" i="14"/>
  <c r="K100"/>
  <c r="K101" s="1"/>
  <c r="K92" s="1"/>
  <c r="G241" i="2"/>
  <c r="G242" s="1"/>
  <c r="G249"/>
  <c r="G253" s="1"/>
  <c r="L207"/>
  <c r="M203"/>
  <c r="J221"/>
  <c r="J223" s="1"/>
  <c r="J228" s="1"/>
  <c r="J233" s="1"/>
  <c r="K222"/>
  <c r="K227" s="1"/>
  <c r="K219"/>
  <c r="K247"/>
  <c r="K256" s="1"/>
  <c r="V159" l="1"/>
  <c r="U169"/>
  <c r="U245" s="1"/>
  <c r="O233"/>
  <c r="O249" s="1"/>
  <c r="O257" s="1"/>
  <c r="AA154"/>
  <c r="M207"/>
  <c r="AA207" s="1"/>
  <c r="AA203"/>
  <c r="Q222"/>
  <c r="Q227" s="1"/>
  <c r="Q219"/>
  <c r="Q247"/>
  <c r="N257"/>
  <c r="N253"/>
  <c r="P230"/>
  <c r="P221"/>
  <c r="P223" s="1"/>
  <c r="P228" s="1"/>
  <c r="S210"/>
  <c r="R214"/>
  <c r="V197"/>
  <c r="U200"/>
  <c r="P256"/>
  <c r="M99" i="14"/>
  <c r="L100"/>
  <c r="L101" s="1"/>
  <c r="L92" s="1"/>
  <c r="G257" i="2"/>
  <c r="M222"/>
  <c r="M227" s="1"/>
  <c r="M219"/>
  <c r="M247"/>
  <c r="M256" s="1"/>
  <c r="L222"/>
  <c r="L227" s="1"/>
  <c r="L247"/>
  <c r="L256" s="1"/>
  <c r="L219"/>
  <c r="K230"/>
  <c r="K221"/>
  <c r="K223" s="1"/>
  <c r="K228" s="1"/>
  <c r="J249"/>
  <c r="J241"/>
  <c r="J242" s="1"/>
  <c r="P37" i="14" s="1"/>
  <c r="L89" i="13"/>
  <c r="J89"/>
  <c r="M36"/>
  <c r="M89" s="1"/>
  <c r="K89"/>
  <c r="N36"/>
  <c r="O253" i="2" l="1"/>
  <c r="W159"/>
  <c r="V169"/>
  <c r="V245" s="1"/>
  <c r="P233"/>
  <c r="P249" s="1"/>
  <c r="P257" s="1"/>
  <c r="W197"/>
  <c r="V200"/>
  <c r="T210"/>
  <c r="S214"/>
  <c r="Q256"/>
  <c r="R222"/>
  <c r="R227" s="1"/>
  <c r="R247"/>
  <c r="R219"/>
  <c r="Q230"/>
  <c r="Q221"/>
  <c r="Q223" s="1"/>
  <c r="Q228" s="1"/>
  <c r="N99" i="14"/>
  <c r="M100"/>
  <c r="M101" s="1"/>
  <c r="M92" s="1"/>
  <c r="K233" i="2"/>
  <c r="K249" s="1"/>
  <c r="J257"/>
  <c r="J253"/>
  <c r="M221"/>
  <c r="M223" s="1"/>
  <c r="M228" s="1"/>
  <c r="M230"/>
  <c r="L230"/>
  <c r="L221"/>
  <c r="L223" s="1"/>
  <c r="L228" s="1"/>
  <c r="N89" i="13"/>
  <c r="C37" i="14"/>
  <c r="I89" i="13"/>
  <c r="I90" s="1"/>
  <c r="J12" s="1"/>
  <c r="J32" s="1"/>
  <c r="J90" s="1"/>
  <c r="K12" s="1"/>
  <c r="K32" s="1"/>
  <c r="K90" s="1"/>
  <c r="L12" s="1"/>
  <c r="L32" s="1"/>
  <c r="L90" s="1"/>
  <c r="M12" s="1"/>
  <c r="M32" s="1"/>
  <c r="M90" s="1"/>
  <c r="N12" s="1"/>
  <c r="N32" s="1"/>
  <c r="O36"/>
  <c r="O89" s="1"/>
  <c r="X159" i="2" l="1"/>
  <c r="W169"/>
  <c r="W245" s="1"/>
  <c r="P253"/>
  <c r="Q233"/>
  <c r="Q249" s="1"/>
  <c r="Q257" s="1"/>
  <c r="R256"/>
  <c r="U210"/>
  <c r="T214"/>
  <c r="W200"/>
  <c r="X197"/>
  <c r="R230"/>
  <c r="R221"/>
  <c r="R223" s="1"/>
  <c r="R228" s="1"/>
  <c r="S222"/>
  <c r="S227" s="1"/>
  <c r="S219"/>
  <c r="S247"/>
  <c r="N100" i="14"/>
  <c r="N101" s="1"/>
  <c r="N92" s="1"/>
  <c r="O92" s="1"/>
  <c r="C98" i="15"/>
  <c r="C99" s="1"/>
  <c r="C100" s="1"/>
  <c r="M233" i="2"/>
  <c r="K241"/>
  <c r="K242" s="1"/>
  <c r="K253"/>
  <c r="K257"/>
  <c r="K37" i="14"/>
  <c r="K94" s="1"/>
  <c r="J37"/>
  <c r="J94" s="1"/>
  <c r="I37"/>
  <c r="I94" s="1"/>
  <c r="G37"/>
  <c r="G94" s="1"/>
  <c r="N37"/>
  <c r="L37"/>
  <c r="L94" s="1"/>
  <c r="E37"/>
  <c r="E94" s="1"/>
  <c r="F37"/>
  <c r="F94" s="1"/>
  <c r="H37"/>
  <c r="H94" s="1"/>
  <c r="M37"/>
  <c r="M94" s="1"/>
  <c r="L233" i="2"/>
  <c r="C12" i="14"/>
  <c r="C33" s="1"/>
  <c r="C94"/>
  <c r="V92" l="1"/>
  <c r="Y159" i="2"/>
  <c r="X169"/>
  <c r="X245" s="1"/>
  <c r="R233"/>
  <c r="R249" s="1"/>
  <c r="R257" s="1"/>
  <c r="Q253"/>
  <c r="S256"/>
  <c r="V210"/>
  <c r="U214"/>
  <c r="S230"/>
  <c r="S221"/>
  <c r="S223" s="1"/>
  <c r="S228" s="1"/>
  <c r="X200"/>
  <c r="Y197"/>
  <c r="T222"/>
  <c r="T227" s="1"/>
  <c r="T219"/>
  <c r="T247"/>
  <c r="R253"/>
  <c r="M249"/>
  <c r="D37" i="14"/>
  <c r="D94" s="1"/>
  <c r="L249" i="2"/>
  <c r="L241"/>
  <c r="D37" i="15"/>
  <c r="D94" s="1"/>
  <c r="K37"/>
  <c r="K94" s="1"/>
  <c r="E37"/>
  <c r="E94" s="1"/>
  <c r="N37"/>
  <c r="C36" i="20" s="1"/>
  <c r="C91" s="1"/>
  <c r="M37" i="15"/>
  <c r="M94" s="1"/>
  <c r="J37"/>
  <c r="J94" s="1"/>
  <c r="F37"/>
  <c r="F94" s="1"/>
  <c r="I37"/>
  <c r="I94" s="1"/>
  <c r="N36" i="18"/>
  <c r="N91" s="1"/>
  <c r="L37" i="15"/>
  <c r="L94" s="1"/>
  <c r="G37"/>
  <c r="G94" s="1"/>
  <c r="H37"/>
  <c r="H94" s="1"/>
  <c r="N94" i="14"/>
  <c r="C37" i="15"/>
  <c r="C95" i="14"/>
  <c r="D12" s="1"/>
  <c r="D33" s="1"/>
  <c r="Z159" i="2" l="1"/>
  <c r="Y169"/>
  <c r="Y245" s="1"/>
  <c r="S233"/>
  <c r="S249" s="1"/>
  <c r="S253" s="1"/>
  <c r="T221"/>
  <c r="T223" s="1"/>
  <c r="T228" s="1"/>
  <c r="T230"/>
  <c r="Z197"/>
  <c r="Y200"/>
  <c r="V214"/>
  <c r="W210"/>
  <c r="T256"/>
  <c r="U222"/>
  <c r="U227" s="1"/>
  <c r="U219"/>
  <c r="U247"/>
  <c r="L242"/>
  <c r="M241"/>
  <c r="AA241" s="1"/>
  <c r="M253"/>
  <c r="K36" i="19" s="1"/>
  <c r="K91" s="1"/>
  <c r="M257" i="2"/>
  <c r="L253"/>
  <c r="D36" i="20" s="1"/>
  <c r="L257" i="2"/>
  <c r="O37" i="14"/>
  <c r="D95"/>
  <c r="E12" s="1"/>
  <c r="E33" s="1"/>
  <c r="E95" s="1"/>
  <c r="F12" s="1"/>
  <c r="F33" s="1"/>
  <c r="F95" s="1"/>
  <c r="G12" s="1"/>
  <c r="G33" s="1"/>
  <c r="G95" s="1"/>
  <c r="H12" s="1"/>
  <c r="H33" s="1"/>
  <c r="H95" s="1"/>
  <c r="I12" s="1"/>
  <c r="I33" s="1"/>
  <c r="I95" s="1"/>
  <c r="J12" s="1"/>
  <c r="J33" s="1"/>
  <c r="J95" s="1"/>
  <c r="K12" s="1"/>
  <c r="K33" s="1"/>
  <c r="K95" s="1"/>
  <c r="L12" s="1"/>
  <c r="L33" s="1"/>
  <c r="L95" s="1"/>
  <c r="M12" s="1"/>
  <c r="M33" s="1"/>
  <c r="M95" s="1"/>
  <c r="N12" s="1"/>
  <c r="N33" s="1"/>
  <c r="N95" s="1"/>
  <c r="C12" i="15" s="1"/>
  <c r="C33" s="1"/>
  <c r="O37"/>
  <c r="P37" s="1"/>
  <c r="C36" i="19"/>
  <c r="C36" i="18"/>
  <c r="N94" i="15"/>
  <c r="S257" i="2" l="1"/>
  <c r="AA159"/>
  <c r="AA169" s="1"/>
  <c r="AA245" s="1"/>
  <c r="Z169"/>
  <c r="Z245" s="1"/>
  <c r="T233"/>
  <c r="T249" s="1"/>
  <c r="T257" s="1"/>
  <c r="D36" i="19"/>
  <c r="D91" s="1"/>
  <c r="L36" i="18"/>
  <c r="L91" s="1"/>
  <c r="I36" i="19"/>
  <c r="I91" s="1"/>
  <c r="H36" i="18"/>
  <c r="H91" s="1"/>
  <c r="F36"/>
  <c r="F91" s="1"/>
  <c r="G36"/>
  <c r="G91" s="1"/>
  <c r="G36" i="19"/>
  <c r="G91" s="1"/>
  <c r="U256" i="2"/>
  <c r="V222"/>
  <c r="V227" s="1"/>
  <c r="V219"/>
  <c r="V247"/>
  <c r="AA197"/>
  <c r="AA200" s="1"/>
  <c r="Z200"/>
  <c r="U221"/>
  <c r="U223" s="1"/>
  <c r="U228" s="1"/>
  <c r="U230"/>
  <c r="X210"/>
  <c r="W214"/>
  <c r="K36" i="18"/>
  <c r="K91" s="1"/>
  <c r="I36"/>
  <c r="I91" s="1"/>
  <c r="J36"/>
  <c r="J91" s="1"/>
  <c r="M36"/>
  <c r="M91" s="1"/>
  <c r="E36"/>
  <c r="E91" s="1"/>
  <c r="N36" i="19"/>
  <c r="N91" s="1"/>
  <c r="M36"/>
  <c r="M91" s="1"/>
  <c r="E36"/>
  <c r="E91" s="1"/>
  <c r="J36"/>
  <c r="J91" s="1"/>
  <c r="F36"/>
  <c r="F91" s="1"/>
  <c r="L36"/>
  <c r="L91" s="1"/>
  <c r="M242" i="2"/>
  <c r="AA242" s="1"/>
  <c r="H36" i="19"/>
  <c r="H91" s="1"/>
  <c r="M36" i="20"/>
  <c r="M91" s="1"/>
  <c r="I36"/>
  <c r="I91" s="1"/>
  <c r="E36"/>
  <c r="E91" s="1"/>
  <c r="L36"/>
  <c r="L91" s="1"/>
  <c r="H36"/>
  <c r="H91" s="1"/>
  <c r="K36"/>
  <c r="K91" s="1"/>
  <c r="G36"/>
  <c r="G91" s="1"/>
  <c r="N36"/>
  <c r="N91" s="1"/>
  <c r="J36"/>
  <c r="J91" s="1"/>
  <c r="F36"/>
  <c r="F91" s="1"/>
  <c r="D36" i="18"/>
  <c r="D91" s="1"/>
  <c r="D91" i="20"/>
  <c r="C91" i="19"/>
  <c r="C91" i="18"/>
  <c r="O93" i="15"/>
  <c r="O49"/>
  <c r="O47"/>
  <c r="O50"/>
  <c r="O48"/>
  <c r="O51"/>
  <c r="O46"/>
  <c r="O45"/>
  <c r="O86"/>
  <c r="O88"/>
  <c r="O85"/>
  <c r="O89"/>
  <c r="O90"/>
  <c r="O87"/>
  <c r="O52"/>
  <c r="O53"/>
  <c r="C54"/>
  <c r="O62"/>
  <c r="O63"/>
  <c r="O66"/>
  <c r="O67"/>
  <c r="O71"/>
  <c r="O82"/>
  <c r="O75"/>
  <c r="O79"/>
  <c r="T253" i="2" l="1"/>
  <c r="O36" i="19"/>
  <c r="P36" s="1"/>
  <c r="U233" i="2"/>
  <c r="U249" s="1"/>
  <c r="U257" s="1"/>
  <c r="Y210"/>
  <c r="X214"/>
  <c r="V256"/>
  <c r="W222"/>
  <c r="W227" s="1"/>
  <c r="W247"/>
  <c r="W219"/>
  <c r="V221"/>
  <c r="V223" s="1"/>
  <c r="V228" s="1"/>
  <c r="V230"/>
  <c r="O36" i="18"/>
  <c r="P36" s="1"/>
  <c r="O36" i="20"/>
  <c r="P36" s="1"/>
  <c r="U253" i="2" l="1"/>
  <c r="V233"/>
  <c r="V249" s="1"/>
  <c r="V257" s="1"/>
  <c r="W230"/>
  <c r="W221"/>
  <c r="W223" s="1"/>
  <c r="W228" s="1"/>
  <c r="W233" s="1"/>
  <c r="W249" s="1"/>
  <c r="W257" s="1"/>
  <c r="X222"/>
  <c r="X227" s="1"/>
  <c r="X247"/>
  <c r="X219"/>
  <c r="W256"/>
  <c r="Z210"/>
  <c r="Y214"/>
  <c r="V253" l="1"/>
  <c r="W253"/>
  <c r="Y222"/>
  <c r="Y227" s="1"/>
  <c r="Y247"/>
  <c r="Y219"/>
  <c r="X230"/>
  <c r="X221"/>
  <c r="X223" s="1"/>
  <c r="X228" s="1"/>
  <c r="AA210"/>
  <c r="AA214" s="1"/>
  <c r="Z214"/>
  <c r="X256"/>
  <c r="X233" l="1"/>
  <c r="X249" s="1"/>
  <c r="X257" s="1"/>
  <c r="AA222"/>
  <c r="AA227" s="1"/>
  <c r="AA219"/>
  <c r="AA247"/>
  <c r="Y221"/>
  <c r="Y223" s="1"/>
  <c r="Y228" s="1"/>
  <c r="Y230"/>
  <c r="Z222"/>
  <c r="Z227" s="1"/>
  <c r="Z219"/>
  <c r="Z247"/>
  <c r="Y256"/>
  <c r="X253" l="1"/>
  <c r="Y233"/>
  <c r="Y249" s="1"/>
  <c r="Y257" s="1"/>
  <c r="Z256"/>
  <c r="AA256"/>
  <c r="Z230"/>
  <c r="Z221"/>
  <c r="Z223" s="1"/>
  <c r="Z228" s="1"/>
  <c r="AA230"/>
  <c r="AA221"/>
  <c r="AA223" s="1"/>
  <c r="AA228" s="1"/>
  <c r="AA233" l="1"/>
  <c r="AA249" s="1"/>
  <c r="AA257" s="1"/>
  <c r="Z233"/>
  <c r="Z249" s="1"/>
  <c r="Z253" s="1"/>
  <c r="Y253"/>
  <c r="Z257" l="1"/>
  <c r="AA253"/>
  <c r="N92" i="19"/>
  <c r="N32"/>
  <c r="M12" i="20"/>
  <c r="M32"/>
  <c r="M92"/>
  <c r="N12"/>
  <c r="N32"/>
  <c r="N92"/>
  <c r="L92"/>
  <c r="N12" i="19"/>
  <c r="L32" i="20"/>
  <c r="J12" i="19"/>
  <c r="J32"/>
  <c r="J92"/>
  <c r="K12"/>
  <c r="K32"/>
  <c r="K92"/>
  <c r="L12"/>
  <c r="L32"/>
  <c r="L92"/>
  <c r="M12"/>
  <c r="M32"/>
  <c r="M92"/>
  <c r="D92"/>
  <c r="E12"/>
  <c r="E32"/>
  <c r="E92"/>
  <c r="F12"/>
  <c r="F32"/>
  <c r="F92"/>
  <c r="G12"/>
  <c r="G32"/>
  <c r="G92"/>
  <c r="H12"/>
  <c r="H32"/>
  <c r="H92"/>
  <c r="I12"/>
  <c r="I32"/>
  <c r="I92"/>
  <c r="K32" i="20"/>
  <c r="K92"/>
  <c r="L12"/>
  <c r="O69" i="15"/>
  <c r="C69"/>
  <c r="C12" i="19"/>
  <c r="C32"/>
  <c r="C92"/>
  <c r="D12"/>
  <c r="D32"/>
  <c r="O68" i="15"/>
  <c r="C68"/>
  <c r="C94"/>
  <c r="C95"/>
  <c r="D12"/>
  <c r="D33"/>
  <c r="D95"/>
  <c r="E12"/>
  <c r="E33"/>
  <c r="E95"/>
  <c r="F12"/>
  <c r="F33"/>
  <c r="F95"/>
  <c r="G12"/>
  <c r="G33"/>
  <c r="G95"/>
  <c r="H12"/>
  <c r="H33"/>
  <c r="H95"/>
  <c r="I12"/>
  <c r="I33"/>
  <c r="I95"/>
  <c r="J12"/>
  <c r="J33"/>
  <c r="J95"/>
  <c r="K12"/>
  <c r="K33"/>
  <c r="K95"/>
  <c r="L12"/>
  <c r="L33"/>
  <c r="L95"/>
  <c r="M12"/>
  <c r="M33"/>
  <c r="M95"/>
  <c r="N12"/>
  <c r="N33"/>
  <c r="N95"/>
  <c r="C12" i="18"/>
  <c r="C32"/>
  <c r="C92"/>
  <c r="D12"/>
  <c r="D32"/>
  <c r="D92"/>
  <c r="E12"/>
  <c r="E32"/>
  <c r="E92"/>
  <c r="F12"/>
  <c r="F32"/>
  <c r="F92"/>
  <c r="G12"/>
  <c r="G32"/>
  <c r="G92"/>
  <c r="H12"/>
  <c r="H32"/>
  <c r="H92"/>
  <c r="I12"/>
  <c r="I32"/>
  <c r="I92"/>
  <c r="J12"/>
  <c r="J32"/>
  <c r="J92"/>
  <c r="K12"/>
  <c r="K32"/>
  <c r="K92"/>
  <c r="L12"/>
  <c r="L32"/>
  <c r="L92"/>
  <c r="M12"/>
  <c r="M32"/>
  <c r="M92"/>
  <c r="N12"/>
  <c r="N32"/>
  <c r="N92"/>
  <c r="C12" i="20"/>
  <c r="C32"/>
  <c r="C92"/>
  <c r="D12"/>
  <c r="D32"/>
  <c r="D92"/>
  <c r="E12"/>
  <c r="E32"/>
  <c r="E92"/>
  <c r="F12"/>
  <c r="F32"/>
  <c r="F92"/>
  <c r="G12"/>
  <c r="G32"/>
  <c r="G92"/>
  <c r="H12"/>
  <c r="H32"/>
  <c r="H92"/>
  <c r="I12"/>
  <c r="I32"/>
  <c r="I92"/>
  <c r="J12"/>
  <c r="J32"/>
  <c r="J92"/>
  <c r="K12"/>
</calcChain>
</file>

<file path=xl/comments1.xml><?xml version="1.0" encoding="utf-8"?>
<comments xmlns="http://schemas.openxmlformats.org/spreadsheetml/2006/main">
  <authors>
    <author xml:space="preserve"> Anita Maloney</author>
  </authors>
  <commentList>
    <comment ref="N27" authorId="0">
      <text>
        <r>
          <rPr>
            <b/>
            <sz val="8"/>
            <color indexed="81"/>
            <rFont val="Tahoma"/>
            <family val="2"/>
          </rPr>
          <t xml:space="preserve"> Anita Maloney:</t>
        </r>
        <r>
          <rPr>
            <sz val="8"/>
            <color indexed="81"/>
            <rFont val="Tahoma"/>
            <family val="2"/>
          </rPr>
          <t xml:space="preserve">
3384.66 Medicade reimb
</t>
        </r>
      </text>
    </comment>
  </commentList>
</comments>
</file>

<file path=xl/comments2.xml><?xml version="1.0" encoding="utf-8"?>
<comments xmlns="http://schemas.openxmlformats.org/spreadsheetml/2006/main">
  <authors>
    <author xml:space="preserve"> Anita Maloney</author>
  </authors>
  <commentList>
    <comment ref="A236" authorId="0">
      <text>
        <r>
          <rPr>
            <b/>
            <sz val="8"/>
            <color indexed="81"/>
            <rFont val="Tahoma"/>
            <family val="2"/>
          </rPr>
          <t xml:space="preserve"> Anita Maloney:</t>
        </r>
        <r>
          <rPr>
            <sz val="8"/>
            <color indexed="81"/>
            <rFont val="Tahoma"/>
            <family val="2"/>
          </rPr>
          <t xml:space="preserve">
Avverage cost per indiviual $700 based on 2013 actual cost. 60% participation and 3% cost escalator
</t>
        </r>
      </text>
    </comment>
  </commentList>
</comments>
</file>

<file path=xl/sharedStrings.xml><?xml version="1.0" encoding="utf-8"?>
<sst xmlns="http://schemas.openxmlformats.org/spreadsheetml/2006/main" count="1807" uniqueCount="436">
  <si>
    <t>Pioneer Valley Chinese Immersion Charter School</t>
  </si>
  <si>
    <t>Page 1</t>
  </si>
  <si>
    <t>FY 2009</t>
  </si>
  <si>
    <t xml:space="preserve">July </t>
  </si>
  <si>
    <t>August</t>
  </si>
  <si>
    <t>Sept</t>
  </si>
  <si>
    <t>Oct</t>
  </si>
  <si>
    <t>Nov</t>
  </si>
  <si>
    <t>Dec</t>
  </si>
  <si>
    <t>Jan</t>
  </si>
  <si>
    <t>Feb.</t>
  </si>
  <si>
    <t>March</t>
  </si>
  <si>
    <t>April</t>
  </si>
  <si>
    <t>May</t>
  </si>
  <si>
    <t>June</t>
  </si>
  <si>
    <t>Budget</t>
  </si>
  <si>
    <t>Revenues</t>
  </si>
  <si>
    <t xml:space="preserve">                    Tuition</t>
  </si>
  <si>
    <t xml:space="preserve">                    Transportation &amp; Lunch Fees</t>
  </si>
  <si>
    <t xml:space="preserve">                    Contributions &amp; Fundraising</t>
  </si>
  <si>
    <t xml:space="preserve">                    After School Fees</t>
  </si>
  <si>
    <t xml:space="preserve">                    Other Income</t>
  </si>
  <si>
    <t xml:space="preserve">                    Principal</t>
  </si>
  <si>
    <t xml:space="preserve">                    Director of Education</t>
  </si>
  <si>
    <t xml:space="preserve">                    Business Manager</t>
  </si>
  <si>
    <t xml:space="preserve">                    FLAP Project Assistant</t>
  </si>
  <si>
    <t xml:space="preserve">                    Counselor</t>
  </si>
  <si>
    <t xml:space="preserve">                    Teachers</t>
  </si>
  <si>
    <t xml:space="preserve">                    Nurse</t>
  </si>
  <si>
    <t xml:space="preserve">                    Bus Drivers</t>
  </si>
  <si>
    <t xml:space="preserve">                    Maintenance/Building &amp; Grounds</t>
  </si>
  <si>
    <t xml:space="preserve">                    Other Support Staff</t>
  </si>
  <si>
    <t xml:space="preserve">                    Payroll Taxes</t>
  </si>
  <si>
    <t xml:space="preserve">                    Workers Compensation Insurance</t>
  </si>
  <si>
    <t xml:space="preserve">                    MTRS</t>
  </si>
  <si>
    <t xml:space="preserve">                    Other Fringe Benefits</t>
  </si>
  <si>
    <t xml:space="preserve">                    Equipment &amp; Furniture</t>
  </si>
  <si>
    <t xml:space="preserve">                    Maintenance of Equipment</t>
  </si>
  <si>
    <t xml:space="preserve">                    Maitenance Bldg &amp; Grounds</t>
  </si>
  <si>
    <t xml:space="preserve">                    Utilities</t>
  </si>
  <si>
    <t xml:space="preserve">                    Rental/Lease of Building &amp; Grounds</t>
  </si>
  <si>
    <t xml:space="preserve">                    Rental/Lease Equipment</t>
  </si>
  <si>
    <t xml:space="preserve">                    Deprec. Information Technology</t>
  </si>
  <si>
    <t xml:space="preserve">                    Deprec. Furniture</t>
  </si>
  <si>
    <t xml:space="preserve">                    Deprec. Instructional Tech.</t>
  </si>
  <si>
    <t xml:space="preserve">                    Deprec. Equipment &amp; Building</t>
  </si>
  <si>
    <t xml:space="preserve">                    Professional Fees</t>
  </si>
  <si>
    <t xml:space="preserve">                    Audit</t>
  </si>
  <si>
    <t xml:space="preserve">                    Out Source Accounting</t>
  </si>
  <si>
    <t xml:space="preserve">                    Legal</t>
  </si>
  <si>
    <t xml:space="preserve">                    Payroll Services</t>
  </si>
  <si>
    <t xml:space="preserve">                    Contigency Fund</t>
  </si>
  <si>
    <t xml:space="preserve">                    Professional Development-Admin</t>
  </si>
  <si>
    <t xml:space="preserve">                    Dues/Licenses/Subscriptions</t>
  </si>
  <si>
    <t xml:space="preserve">                    Office Supplies</t>
  </si>
  <si>
    <t xml:space="preserve">                    Telephone</t>
  </si>
  <si>
    <t xml:space="preserve">                    Printing/Reproduction</t>
  </si>
  <si>
    <t xml:space="preserve">                    Postage</t>
  </si>
  <si>
    <t xml:space="preserve">                    Contributions</t>
  </si>
  <si>
    <t xml:space="preserve">                    Bank/Finance Charges</t>
  </si>
  <si>
    <t xml:space="preserve">                    Travel Expense-Admin.</t>
  </si>
  <si>
    <t xml:space="preserve">                    Dissemination Activities</t>
  </si>
  <si>
    <t xml:space="preserve">                    Civic Activities</t>
  </si>
  <si>
    <t xml:space="preserve">                    Recruitment/advertising</t>
  </si>
  <si>
    <t xml:space="preserve">                    Insurance</t>
  </si>
  <si>
    <t xml:space="preserve">                    Directors &amp; Officers Insurance</t>
  </si>
  <si>
    <t xml:space="preserve">                    Property/Liability Insurance</t>
  </si>
  <si>
    <t xml:space="preserve">                    Fundraising-School</t>
  </si>
  <si>
    <t xml:space="preserve">                    Staff Stipends</t>
  </si>
  <si>
    <t xml:space="preserve">                    Board Expenses</t>
  </si>
  <si>
    <t xml:space="preserve">                    Other Administrative</t>
  </si>
  <si>
    <t xml:space="preserve">                    Contracted Services Instructional</t>
  </si>
  <si>
    <t xml:space="preserve">                    Consultant</t>
  </si>
  <si>
    <t xml:space="preserve">                    Professional Development Instructional</t>
  </si>
  <si>
    <t xml:space="preserve">                    Special Education</t>
  </si>
  <si>
    <t xml:space="preserve">                    Student Health Services</t>
  </si>
  <si>
    <t xml:space="preserve">                    Program Supplies and Materials</t>
  </si>
  <si>
    <t xml:space="preserve">                    Instructional Materials &amp; Supplies</t>
  </si>
  <si>
    <t xml:space="preserve">                    Instructional Technology and Software</t>
  </si>
  <si>
    <t xml:space="preserve">                    Information Mgmnt In Classrooms</t>
  </si>
  <si>
    <t xml:space="preserve">                    Non-Instructional Supplies</t>
  </si>
  <si>
    <t xml:space="preserve">                    Depreciation Transport. Vehicles</t>
  </si>
  <si>
    <t xml:space="preserve">                    Transportation Vehicle Insurance</t>
  </si>
  <si>
    <t xml:space="preserve">                    Student Transportation</t>
  </si>
  <si>
    <t xml:space="preserve">                    Travel Expense-Staff</t>
  </si>
  <si>
    <t xml:space="preserve">                    Food Services</t>
  </si>
  <si>
    <t xml:space="preserve">                    Athletic Services</t>
  </si>
  <si>
    <t xml:space="preserve">                    Community Services Honorarium</t>
  </si>
  <si>
    <t xml:space="preserve">                    Parent Functions</t>
  </si>
  <si>
    <t xml:space="preserve">                    Field Trips/Recreation</t>
  </si>
  <si>
    <t xml:space="preserve">                    Fundraising-Students</t>
  </si>
  <si>
    <t xml:space="preserve">                    Testing and Assessment</t>
  </si>
  <si>
    <t xml:space="preserve"> </t>
  </si>
  <si>
    <t>Total</t>
  </si>
  <si>
    <t>Cash Flow</t>
  </si>
  <si>
    <t>Beginning Cash</t>
  </si>
  <si>
    <t>Additions to cash</t>
  </si>
  <si>
    <t>Total Cash Payments</t>
  </si>
  <si>
    <t>Available Cash</t>
  </si>
  <si>
    <t>Cash outflows</t>
  </si>
  <si>
    <t xml:space="preserve">                    Building Renovation/Construction/Aquis</t>
  </si>
  <si>
    <t xml:space="preserve">Loan </t>
  </si>
  <si>
    <t>Loan Repayments</t>
  </si>
  <si>
    <t>Balance Remaining</t>
  </si>
  <si>
    <t>Ending Cash Balance</t>
  </si>
  <si>
    <t xml:space="preserve">     Subtotal Administation</t>
  </si>
  <si>
    <t>Total Wages</t>
  </si>
  <si>
    <t xml:space="preserve">    TTL PTAX</t>
  </si>
  <si>
    <t xml:space="preserve">Fringe = </t>
  </si>
  <si>
    <t>admin</t>
  </si>
  <si>
    <t>teachers</t>
  </si>
  <si>
    <t>Paraprofessional</t>
  </si>
  <si>
    <t>Support</t>
  </si>
  <si>
    <t>MTRS</t>
  </si>
  <si>
    <t>Ptax</t>
  </si>
  <si>
    <t>Fringe</t>
  </si>
  <si>
    <t>Insurance (25% down + 8 payments)</t>
  </si>
  <si>
    <t>Building</t>
  </si>
  <si>
    <t>Business</t>
  </si>
  <si>
    <t>Workers Comp</t>
  </si>
  <si>
    <t>Vehicles</t>
  </si>
  <si>
    <t>Directors</t>
  </si>
  <si>
    <t>TOTAL</t>
  </si>
  <si>
    <t>FY 2010</t>
  </si>
  <si>
    <t>Actual</t>
  </si>
  <si>
    <t>Janitor/Maitenance</t>
  </si>
  <si>
    <t>New Admin</t>
  </si>
  <si>
    <t>NET WAGES</t>
  </si>
  <si>
    <t>EE &amp; ER TAXES</t>
  </si>
  <si>
    <t>SUBTOTAL PERSONNEL:</t>
  </si>
  <si>
    <t>FLAP</t>
  </si>
  <si>
    <t>Other Grants</t>
  </si>
  <si>
    <t>Start Up Grant</t>
  </si>
  <si>
    <t>Grant</t>
  </si>
  <si>
    <t>RE Taxes</t>
  </si>
  <si>
    <t xml:space="preserve">Actual plus budget </t>
  </si>
  <si>
    <t xml:space="preserve">                    Consultant/curriculum</t>
  </si>
  <si>
    <t xml:space="preserve">                                                                                                                               </t>
  </si>
  <si>
    <t>149*900.00=134100</t>
  </si>
  <si>
    <t>134100/4=33525</t>
  </si>
  <si>
    <t>FY 2011</t>
  </si>
  <si>
    <t>FY 2012</t>
  </si>
  <si>
    <t>FY 2013</t>
  </si>
  <si>
    <t>Cash Inflows</t>
  </si>
  <si>
    <t>Subtotal Personnel</t>
  </si>
  <si>
    <t>Director of Education</t>
  </si>
  <si>
    <t xml:space="preserve">  Total Bus Drivers</t>
  </si>
  <si>
    <t>H Curtain 10,000 MTEL 5000 plus 6000 annual for other msic trainings</t>
  </si>
  <si>
    <t>G duncan 15000+ CLASS 10,000</t>
  </si>
  <si>
    <t>Mortgage</t>
  </si>
  <si>
    <t>Loan and LOC</t>
  </si>
  <si>
    <t>Interest on LOC</t>
  </si>
  <si>
    <t>Interst on LOC</t>
  </si>
  <si>
    <t>Rent/Mortgage/RE Tax</t>
  </si>
  <si>
    <t xml:space="preserve">                    Other Receipts</t>
  </si>
  <si>
    <t>Bus Loan</t>
  </si>
  <si>
    <t>ACT</t>
  </si>
  <si>
    <t>SPED running very high- have not adjusted budget</t>
  </si>
  <si>
    <t>Executive Director</t>
  </si>
  <si>
    <t>Vice Principal</t>
  </si>
  <si>
    <t>Hanban</t>
  </si>
  <si>
    <t>760 Grant</t>
  </si>
  <si>
    <t>240 Grant</t>
  </si>
  <si>
    <t>Curriculum Coordinator</t>
  </si>
  <si>
    <t>FY 2014</t>
  </si>
  <si>
    <t>FY 2015</t>
  </si>
  <si>
    <t>K-8</t>
  </si>
  <si>
    <t>K-9</t>
  </si>
  <si>
    <t>K-10</t>
  </si>
  <si>
    <t>Paraprofessionals</t>
  </si>
  <si>
    <t>140 Grant</t>
  </si>
  <si>
    <t>FLAP related</t>
  </si>
  <si>
    <t>Wks @ .0049</t>
  </si>
  <si>
    <t>Counselor</t>
  </si>
  <si>
    <t>Maint Equipment</t>
  </si>
  <si>
    <t>Capital Additions &amp; Renovations</t>
  </si>
  <si>
    <t>Office Temp</t>
  </si>
  <si>
    <t xml:space="preserve">Personnel is low in Sept- No payment made to Fallon for health Insurance during the month.  </t>
  </si>
  <si>
    <t>REAP</t>
  </si>
  <si>
    <t>MM &amp; Hanban Grant</t>
  </si>
  <si>
    <t>240/241 Grant</t>
  </si>
  <si>
    <t>Snow removal</t>
  </si>
  <si>
    <t>Perosnnel high in Jan lump sum payout to Si Chin</t>
  </si>
  <si>
    <t>Summer School Fees</t>
  </si>
  <si>
    <t>FY 2016</t>
  </si>
  <si>
    <t xml:space="preserve">                    Bank/Finance Charges/Interest</t>
  </si>
  <si>
    <t>Reading Specialist - RH</t>
  </si>
  <si>
    <t>Instructional Support</t>
  </si>
  <si>
    <t>Principal</t>
  </si>
  <si>
    <t>Student Support Services (S3)</t>
  </si>
  <si>
    <t>Projected Enrollment</t>
  </si>
  <si>
    <t>Grades</t>
  </si>
  <si>
    <t>K-3,6</t>
  </si>
  <si>
    <t>K-4, 6-7</t>
  </si>
  <si>
    <t>Instructional Staff</t>
  </si>
  <si>
    <t>Transportation</t>
  </si>
  <si>
    <t>Maintenance</t>
  </si>
  <si>
    <t>School Doctor (flat rate)</t>
  </si>
  <si>
    <t>Health</t>
  </si>
  <si>
    <t>Dir of Education</t>
  </si>
  <si>
    <t>Office support</t>
  </si>
  <si>
    <t>Student support services</t>
  </si>
  <si>
    <t>Other Speccials (Arts, PE)</t>
  </si>
  <si>
    <t>SS &amp; Medicare</t>
  </si>
  <si>
    <t>Medicare only</t>
  </si>
  <si>
    <t>Wks comp</t>
  </si>
  <si>
    <t>Fringe (estimate only)</t>
  </si>
  <si>
    <t>$500.00 per ind per month X 75%</t>
  </si>
  <si>
    <t>Fiscal Yr 2012</t>
  </si>
  <si>
    <t xml:space="preserve">      Subtotal Instructional Staff</t>
  </si>
  <si>
    <t>Other HR  Specials (Arts, )</t>
  </si>
  <si>
    <t>Total other hourly  support</t>
  </si>
  <si>
    <t>MTRS Exp FLAP</t>
  </si>
  <si>
    <t>12 month</t>
  </si>
  <si>
    <t>Loan  and mortgage proceeds</t>
  </si>
  <si>
    <t>Pioneer Valley Chinese Immersion Charter School and Foundation</t>
  </si>
  <si>
    <t>Actual Personnel</t>
  </si>
  <si>
    <t>Director of Student Services</t>
  </si>
  <si>
    <t>Foundation Grants</t>
  </si>
  <si>
    <t>final FLAP</t>
  </si>
  <si>
    <t>SPED 240</t>
  </si>
  <si>
    <t>Teacher Quality Improvement 140</t>
  </si>
  <si>
    <t>actual</t>
  </si>
  <si>
    <t>3 Payrolls</t>
  </si>
  <si>
    <t>Director o f Education</t>
  </si>
  <si>
    <t>Student Support Services</t>
  </si>
  <si>
    <t>Other Specials</t>
  </si>
  <si>
    <t>Nurse</t>
  </si>
  <si>
    <t>Bus Drivers</t>
  </si>
  <si>
    <t>3 payroll</t>
  </si>
  <si>
    <t>Actual 3-10</t>
  </si>
  <si>
    <t>REAP Grant</t>
  </si>
  <si>
    <t>Aiya Duffy (K)</t>
  </si>
  <si>
    <t xml:space="preserve">Aiping Wevodan CLA (1) </t>
  </si>
  <si>
    <t>Special Education</t>
  </si>
  <si>
    <t>HS Administration</t>
  </si>
  <si>
    <t>SPED Instructors</t>
  </si>
  <si>
    <t># of Payrolls</t>
  </si>
  <si>
    <t xml:space="preserve">total allocated </t>
  </si>
  <si>
    <t>Origional</t>
  </si>
  <si>
    <t>Approved</t>
  </si>
  <si>
    <t>Variance</t>
  </si>
  <si>
    <t>ACT &amp; Budget</t>
  </si>
  <si>
    <t>305 Grant</t>
  </si>
  <si>
    <t>274 Grant</t>
  </si>
  <si>
    <t xml:space="preserve">Teacher defense funding - Insurance </t>
  </si>
  <si>
    <t>Teacher defense funding - Insurance</t>
  </si>
  <si>
    <t>Summer School</t>
  </si>
  <si>
    <t>Asia Society</t>
  </si>
  <si>
    <t>Medicaid Reimbursement</t>
  </si>
  <si>
    <t>total Cash Flow</t>
  </si>
  <si>
    <t>2013 Budget</t>
  </si>
  <si>
    <t>Payroll</t>
  </si>
  <si>
    <t>change in cash flow 2013</t>
  </si>
  <si>
    <t xml:space="preserve"> Increase to ma hi TAX</t>
  </si>
  <si>
    <t xml:space="preserve">Annual </t>
  </si>
  <si>
    <t>Remaining</t>
  </si>
  <si>
    <t xml:space="preserve">Approved </t>
  </si>
  <si>
    <t>Pioneer Valley Chinese Immersion Charter School and PVCI Educational Foundation</t>
  </si>
  <si>
    <t>should be considered together</t>
  </si>
  <si>
    <t>21025 FY 2012 carry over &amp; 19079 FY 2013 allocation</t>
  </si>
  <si>
    <t>2 large invoices Omasta Landscaping</t>
  </si>
  <si>
    <t>DeRenzey document expenses for printing causing the variance</t>
  </si>
  <si>
    <t>FY2017</t>
  </si>
  <si>
    <t>FY2018</t>
  </si>
  <si>
    <t>Janitorial - Total</t>
  </si>
  <si>
    <t>Shannon, Emily, Myra are around $26,000. Myra does additional duties</t>
  </si>
  <si>
    <t>Full year salary basis</t>
  </si>
  <si>
    <t xml:space="preserve">Salary Split 50/50 </t>
  </si>
  <si>
    <t>$25X10 hoursX36 weeks</t>
  </si>
  <si>
    <t>Full year - full time</t>
  </si>
  <si>
    <t>Total Nursing</t>
  </si>
  <si>
    <t>HS Guidance Counselor</t>
  </si>
  <si>
    <t>Taiwan TAs</t>
  </si>
  <si>
    <t>K-11</t>
  </si>
  <si>
    <t>K-12</t>
  </si>
  <si>
    <t>$25X 5 hoursX36 weeks</t>
  </si>
  <si>
    <t>298 Grant</t>
  </si>
  <si>
    <t xml:space="preserve">                    Transportation</t>
  </si>
  <si>
    <t xml:space="preserve">                    Lunch Fees</t>
  </si>
  <si>
    <t>Lunch Fees</t>
  </si>
  <si>
    <t>Lease</t>
  </si>
  <si>
    <t>+</t>
  </si>
  <si>
    <t>Para Assistant - See Paras</t>
  </si>
  <si>
    <t>22,000 per teacher</t>
  </si>
  <si>
    <t>$17,500 per TA per year</t>
  </si>
  <si>
    <t>Regualr Ptax</t>
  </si>
  <si>
    <t xml:space="preserve">   Mediare .0145</t>
  </si>
  <si>
    <t xml:space="preserve">  Social Security  .0620</t>
  </si>
  <si>
    <t xml:space="preserve">   SUTA  .0058 first 14000 each</t>
  </si>
  <si>
    <t>averge cost per individual</t>
  </si>
  <si>
    <t xml:space="preserve">   # At or above 14,000</t>
  </si>
  <si>
    <t xml:space="preserve"> 700-X 70%</t>
  </si>
  <si>
    <t>60% paticiapation rate</t>
  </si>
  <si>
    <t>new health insurance estimate</t>
  </si>
  <si>
    <t>3% cost escalatation for policy</t>
  </si>
  <si>
    <t>Total Ptax and Health</t>
  </si>
  <si>
    <t>MTRS participants</t>
  </si>
  <si>
    <t>Payperiods</t>
  </si>
  <si>
    <t>cash  per pay period</t>
  </si>
  <si>
    <t>(does not include health)</t>
  </si>
  <si>
    <t xml:space="preserve">                   Other Insurance</t>
  </si>
  <si>
    <t xml:space="preserve">                    Construction Insurance</t>
  </si>
  <si>
    <t xml:space="preserve">                 Other   Insurance</t>
  </si>
  <si>
    <t>Payroll, payroll tax and benefits</t>
  </si>
  <si>
    <t>Paryroll, Payroll Tax &amp; Benefits</t>
  </si>
  <si>
    <t xml:space="preserve">   Workers Comp X .005</t>
  </si>
  <si>
    <t>Check Salary figure annual</t>
  </si>
  <si>
    <t>Check ptax figure annual</t>
  </si>
  <si>
    <t>Check Health &amp; dental annual</t>
  </si>
  <si>
    <t>Check figure cash flow</t>
  </si>
  <si>
    <t>check figure personnel</t>
  </si>
  <si>
    <t>Student Services</t>
  </si>
  <si>
    <t>ELA Teacher (4) - LG</t>
  </si>
  <si>
    <t>CLA Teacher (3) - XY</t>
  </si>
  <si>
    <t>Science (5) - MC</t>
  </si>
  <si>
    <t>After school - part time support</t>
  </si>
  <si>
    <t>Psychologist</t>
  </si>
  <si>
    <t>MS Music Teacher - YS</t>
  </si>
  <si>
    <t xml:space="preserve">MS CLA Teacher </t>
  </si>
  <si>
    <t xml:space="preserve">MS English Teacher </t>
  </si>
  <si>
    <t xml:space="preserve">HS CLA Teacher - </t>
  </si>
  <si>
    <t xml:space="preserve">HS Math Teacher </t>
  </si>
  <si>
    <t xml:space="preserve">HS Arts Teacher </t>
  </si>
  <si>
    <t>MS Science Teacher</t>
  </si>
  <si>
    <t>HS Science Teacher - AB</t>
  </si>
  <si>
    <t xml:space="preserve">HS History Teacher </t>
  </si>
  <si>
    <t>Classroom &amp; Office Furniture &amp; Equipment Loan</t>
  </si>
  <si>
    <t>Copier leases</t>
  </si>
  <si>
    <t>Copier Leases</t>
  </si>
  <si>
    <t>Copier  leases</t>
  </si>
  <si>
    <t>Total Personnel</t>
  </si>
  <si>
    <t>Part Time Reading &amp; ELL</t>
  </si>
  <si>
    <t>HS Para</t>
  </si>
  <si>
    <t>FY 2017</t>
  </si>
  <si>
    <t>Equip&amp; furnish</t>
  </si>
  <si>
    <t>Construction Loan interest</t>
  </si>
  <si>
    <t>FY 2018</t>
  </si>
  <si>
    <t xml:space="preserve">                    Office Suppliesand Printing</t>
  </si>
  <si>
    <t>cash back at closing</t>
  </si>
  <si>
    <t>ESB equipment &amp; Furnitur loans</t>
  </si>
  <si>
    <t>Actual per PR 8/30</t>
  </si>
  <si>
    <t>Equip &amp;    Maintenance of Equipment</t>
  </si>
  <si>
    <t>Private Grants</t>
  </si>
  <si>
    <t>3&amp;HS</t>
  </si>
  <si>
    <t>Art &amp; SPED</t>
  </si>
  <si>
    <t xml:space="preserve">Five Star - Field trips </t>
  </si>
  <si>
    <t xml:space="preserve">HS CLA Teacher </t>
  </si>
  <si>
    <t>Paraprofessional &amp; Sub</t>
  </si>
  <si>
    <t>Substitute</t>
  </si>
  <si>
    <t xml:space="preserve">MS History Teacher </t>
  </si>
  <si>
    <t>HS ELA Teacher</t>
  </si>
  <si>
    <t xml:space="preserve">Library Support </t>
  </si>
  <si>
    <t xml:space="preserve">ELA Teacher (1) - </t>
  </si>
  <si>
    <t>HS PE Teacher</t>
  </si>
  <si>
    <t>Nurse -</t>
  </si>
  <si>
    <t xml:space="preserve">Constuction Loan </t>
  </si>
  <si>
    <t>Constuction loan bal</t>
  </si>
  <si>
    <t xml:space="preserve">Constuction  Loan </t>
  </si>
  <si>
    <t>Furnit &amp; Equipment Loan</t>
  </si>
  <si>
    <t>Furniture &amp; Equipment</t>
  </si>
  <si>
    <t>Interest @ 5.5% Annual</t>
  </si>
  <si>
    <t>1/12th</t>
  </si>
  <si>
    <t>Construciton Loan</t>
  </si>
  <si>
    <t>Constuction loan interst</t>
  </si>
  <si>
    <t>?</t>
  </si>
  <si>
    <t>FY 2019</t>
  </si>
  <si>
    <t>-</t>
  </si>
  <si>
    <t>keyed in 6/30 cash balance</t>
  </si>
  <si>
    <t>MS Math Teacher</t>
  </si>
  <si>
    <t xml:space="preserve"> Additional Leased Classroom space</t>
  </si>
  <si>
    <t>Leased space increased need</t>
  </si>
  <si>
    <t>SPED Teacher/</t>
  </si>
  <si>
    <t>Addl Para</t>
  </si>
  <si>
    <t xml:space="preserve">Director of Education </t>
  </si>
  <si>
    <t>MS &amp; HS Coordinator - (0.6)</t>
  </si>
  <si>
    <t xml:space="preserve">IB Planning &amp; Coaching </t>
  </si>
  <si>
    <t xml:space="preserve">Vice Principal </t>
  </si>
  <si>
    <t xml:space="preserve">Office Manager </t>
  </si>
  <si>
    <t>Office Support -</t>
  </si>
  <si>
    <t xml:space="preserve">After School </t>
  </si>
  <si>
    <t xml:space="preserve">SPED Teacher </t>
  </si>
  <si>
    <t xml:space="preserve">SPED Bilingual Teacher </t>
  </si>
  <si>
    <t>Counselor -</t>
  </si>
  <si>
    <t xml:space="preserve">Counselor </t>
  </si>
  <si>
    <t xml:space="preserve">Counselor - bilingual  </t>
  </si>
  <si>
    <t xml:space="preserve">Reading Specialist </t>
  </si>
  <si>
    <t xml:space="preserve">Speech </t>
  </si>
  <si>
    <t xml:space="preserve">ELL - </t>
  </si>
  <si>
    <t>Elementary Music -  (.45 FTE)</t>
  </si>
  <si>
    <t>PE Teacher -</t>
  </si>
  <si>
    <t xml:space="preserve">ELA Teacher (KAB) </t>
  </si>
  <si>
    <t xml:space="preserve">ELA Assistant (KAB) </t>
  </si>
  <si>
    <t xml:space="preserve">CLA Teacher (KA) </t>
  </si>
  <si>
    <t xml:space="preserve">CLA Teacher (KB) </t>
  </si>
  <si>
    <t xml:space="preserve">ELA Teacher (1) </t>
  </si>
  <si>
    <t xml:space="preserve">CLA  Teacher (1A)  </t>
  </si>
  <si>
    <t xml:space="preserve">CLA  Teacher (1A) </t>
  </si>
  <si>
    <t xml:space="preserve">CLA Teacher (1B) </t>
  </si>
  <si>
    <t>CLA Teacher (1)</t>
  </si>
  <si>
    <t xml:space="preserve">ELA Teacher (2) </t>
  </si>
  <si>
    <t xml:space="preserve">CLA Teacher (2) </t>
  </si>
  <si>
    <t xml:space="preserve">ELATeacher (3) </t>
  </si>
  <si>
    <t xml:space="preserve">ELA Teacher (3) </t>
  </si>
  <si>
    <t>CLA Teacher (3)</t>
  </si>
  <si>
    <t xml:space="preserve">CLA Teacher (3) </t>
  </si>
  <si>
    <t xml:space="preserve">ELA Teacher (4) </t>
  </si>
  <si>
    <t>ELA Assistant (4)</t>
  </si>
  <si>
    <t xml:space="preserve">CLA Teacher (4) </t>
  </si>
  <si>
    <t xml:space="preserve">ELA Teacher (5) </t>
  </si>
  <si>
    <t>ELA Assistant (5)</t>
  </si>
  <si>
    <t xml:space="preserve">CLA Teacher (5) </t>
  </si>
  <si>
    <t xml:space="preserve">MS Math Teacher (3X6) &amp; 7 </t>
  </si>
  <si>
    <t xml:space="preserve">MS Math Teacher 8  </t>
  </si>
  <si>
    <t xml:space="preserve">MS MathTeacher (8) </t>
  </si>
  <si>
    <t>MS English  (3X6) &amp; 7</t>
  </si>
  <si>
    <t xml:space="preserve">MS English Teacher (8) </t>
  </si>
  <si>
    <t xml:space="preserve">MS Science (3X6 &amp; 7) </t>
  </si>
  <si>
    <t xml:space="preserve">MS Science Teacher (8) </t>
  </si>
  <si>
    <t>MS History (3X6 &amp; 7)</t>
  </si>
  <si>
    <t xml:space="preserve">MS History Teacher (8) </t>
  </si>
  <si>
    <t xml:space="preserve">MS Music Teacher </t>
  </si>
  <si>
    <t xml:space="preserve">HS ELA Teacher (9&amp;10) </t>
  </si>
  <si>
    <t xml:space="preserve">HS Math Teacher (9&amp;10) </t>
  </si>
  <si>
    <t xml:space="preserve">HS History Teacher (9&amp;10) </t>
  </si>
  <si>
    <t xml:space="preserve">HS Science Teacher - 10 </t>
  </si>
  <si>
    <t>HS Science Teacher - (PT)</t>
  </si>
  <si>
    <t xml:space="preserve">HS Arts Teacher   </t>
  </si>
  <si>
    <t>Paraprofessional -  (PT)</t>
  </si>
  <si>
    <t xml:space="preserve">Paraprofessional - </t>
  </si>
  <si>
    <t>HS PE Teacher -</t>
  </si>
  <si>
    <t xml:space="preserve">Art Teacher 1-6 </t>
  </si>
  <si>
    <t xml:space="preserve">Nurse </t>
  </si>
  <si>
    <t>Van Driver -</t>
  </si>
  <si>
    <t xml:space="preserve">Janitorial </t>
  </si>
  <si>
    <t>Page 2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</si>
</sst>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\/d\/yyyy&quot;  &quot;hh&quot;:&quot;mm&quot;:&quot;ss\ AM/PM"/>
    <numFmt numFmtId="165" formatCode="&quot;$&quot;#,##0.00"/>
  </numFmts>
  <fonts count="42">
    <font>
      <sz val="10"/>
      <color indexed="8"/>
      <name val="MS Sans Serif"/>
    </font>
    <font>
      <b/>
      <sz val="13.9"/>
      <color indexed="8"/>
      <name val="Arial"/>
      <family val="2"/>
    </font>
    <font>
      <sz val="8.0500000000000007"/>
      <color indexed="8"/>
      <name val="Arial"/>
      <family val="2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b/>
      <sz val="8.0500000000000007"/>
      <color indexed="8"/>
      <name val="Times New Roman"/>
      <family val="1"/>
    </font>
    <font>
      <sz val="8"/>
      <name val="MS Sans Serif"/>
      <family val="2"/>
    </font>
    <font>
      <b/>
      <sz val="8.5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10"/>
      <name val="MS Sans Serif"/>
      <family val="2"/>
    </font>
    <font>
      <sz val="8.0500000000000007"/>
      <color indexed="48"/>
      <name val="Times New Roman"/>
      <family val="1"/>
    </font>
    <font>
      <sz val="10"/>
      <color indexed="48"/>
      <name val="MS Sans Serif"/>
      <family val="2"/>
    </font>
    <font>
      <sz val="8.0500000000000007"/>
      <color indexed="57"/>
      <name val="Times New Roman"/>
      <family val="1"/>
    </font>
    <font>
      <sz val="10"/>
      <color indexed="57"/>
      <name val="MS Sans Serif"/>
      <family val="2"/>
    </font>
    <font>
      <sz val="10"/>
      <color indexed="53"/>
      <name val="MS Sans Serif"/>
      <family val="2"/>
    </font>
    <font>
      <sz val="8.0500000000000007"/>
      <color indexed="17"/>
      <name val="Times New Roman"/>
      <family val="1"/>
    </font>
    <font>
      <sz val="8.0500000000000007"/>
      <name val="Times New Roman"/>
      <family val="1"/>
    </font>
    <font>
      <sz val="10"/>
      <name val="MS Sans Serif"/>
      <family val="2"/>
    </font>
    <font>
      <sz val="8.0500000000000007"/>
      <color indexed="8"/>
      <name val="Times New Roman"/>
      <family val="1"/>
    </font>
    <font>
      <b/>
      <sz val="7.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trike/>
      <sz val="10"/>
      <color indexed="8"/>
      <name val="Cambria"/>
      <family val="1"/>
    </font>
    <font>
      <i/>
      <sz val="10"/>
      <name val="Cambria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MS Sans Serif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9" fillId="9" borderId="0" applyNumberFormat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7" fontId="9" fillId="0" borderId="0" xfId="0" applyNumberFormat="1" applyFont="1" applyAlignment="1">
      <alignment horizontal="right" vertical="center"/>
    </xf>
    <xf numFmtId="7" fontId="10" fillId="0" borderId="2" xfId="0" applyNumberFormat="1" applyFont="1" applyBorder="1" applyAlignment="1">
      <alignment horizontal="right" vertical="center"/>
    </xf>
    <xf numFmtId="7" fontId="11" fillId="0" borderId="1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right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/>
    <xf numFmtId="7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7" fontId="13" fillId="0" borderId="3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8" fillId="0" borderId="0" xfId="0" applyFont="1" applyAlignment="1">
      <alignment horizontal="left" vertical="center"/>
    </xf>
    <xf numFmtId="39" fontId="0" fillId="0" borderId="0" xfId="0" applyNumberFormat="1" applyFill="1" applyBorder="1" applyAlignment="1" applyProtection="1"/>
    <xf numFmtId="7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Border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7" fontId="8" fillId="0" borderId="0" xfId="0" applyNumberFormat="1" applyFont="1" applyAlignment="1">
      <alignment horizontal="right" vertical="center"/>
    </xf>
    <xf numFmtId="7" fontId="8" fillId="0" borderId="0" xfId="0" applyNumberFormat="1" applyFont="1" applyFill="1" applyBorder="1" applyAlignment="1" applyProtection="1">
      <alignment horizontal="right" vertical="center"/>
    </xf>
    <xf numFmtId="7" fontId="8" fillId="0" borderId="2" xfId="0" applyNumberFormat="1" applyFont="1" applyBorder="1" applyAlignment="1">
      <alignment horizontal="right" vertical="center"/>
    </xf>
    <xf numFmtId="7" fontId="7" fillId="0" borderId="1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NumberFormat="1" applyFill="1" applyBorder="1" applyAlignment="1" applyProtection="1"/>
    <xf numFmtId="7" fontId="9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7" fontId="9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Fill="1" applyBorder="1" applyAlignment="1" applyProtection="1">
      <alignment horizontal="right"/>
    </xf>
    <xf numFmtId="4" fontId="16" fillId="0" borderId="3" xfId="0" applyNumberFormat="1" applyFont="1" applyFill="1" applyBorder="1" applyAlignment="1" applyProtection="1">
      <alignment horizontal="right"/>
    </xf>
    <xf numFmtId="7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7" fontId="7" fillId="0" borderId="1" xfId="0" applyNumberFormat="1" applyFont="1" applyFill="1" applyBorder="1" applyAlignment="1">
      <alignment horizontal="right" vertical="center"/>
    </xf>
    <xf numFmtId="7" fontId="8" fillId="0" borderId="3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9" fillId="0" borderId="0" xfId="0" applyNumberFormat="1" applyFont="1" applyFill="1" applyBorder="1" applyAlignment="1" applyProtection="1"/>
    <xf numFmtId="7" fontId="20" fillId="0" borderId="0" xfId="0" applyNumberFormat="1" applyFont="1" applyAlignment="1">
      <alignment horizontal="right" vertical="center"/>
    </xf>
    <xf numFmtId="0" fontId="21" fillId="0" borderId="0" xfId="0" applyNumberFormat="1" applyFont="1" applyFill="1" applyBorder="1" applyAlignment="1" applyProtection="1"/>
    <xf numFmtId="7" fontId="22" fillId="0" borderId="0" xfId="0" applyNumberFormat="1" applyFont="1" applyAlignment="1">
      <alignment horizontal="right" vertical="center"/>
    </xf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0" fillId="0" borderId="3" xfId="0" applyNumberFormat="1" applyFill="1" applyBorder="1" applyAlignment="1" applyProtection="1"/>
    <xf numFmtId="7" fontId="2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7" fontId="0" fillId="0" borderId="3" xfId="0" applyNumberFormat="1" applyFill="1" applyBorder="1" applyAlignment="1" applyProtection="1"/>
    <xf numFmtId="7" fontId="40" fillId="0" borderId="0" xfId="3" applyNumberFormat="1" applyFill="1" applyBorder="1" applyAlignment="1" applyProtection="1"/>
    <xf numFmtId="7" fontId="26" fillId="0" borderId="0" xfId="0" applyNumberFormat="1" applyFont="1" applyAlignment="1">
      <alignment horizontal="right" vertical="center"/>
    </xf>
    <xf numFmtId="7" fontId="8" fillId="2" borderId="0" xfId="0" applyNumberFormat="1" applyFont="1" applyFill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6" fillId="0" borderId="0" xfId="0" applyNumberFormat="1" applyFont="1" applyFill="1" applyBorder="1" applyAlignment="1" applyProtection="1"/>
    <xf numFmtId="4" fontId="0" fillId="2" borderId="0" xfId="0" applyNumberFormat="1" applyFill="1" applyBorder="1"/>
    <xf numFmtId="0" fontId="0" fillId="0" borderId="0" xfId="0" applyNumberForma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7" fontId="8" fillId="0" borderId="0" xfId="0" applyNumberFormat="1" applyFont="1" applyBorder="1" applyAlignment="1">
      <alignment horizontal="right" vertical="center"/>
    </xf>
    <xf numFmtId="7" fontId="7" fillId="0" borderId="0" xfId="0" applyNumberFormat="1" applyFont="1" applyBorder="1" applyAlignment="1">
      <alignment horizontal="right" vertical="center"/>
    </xf>
    <xf numFmtId="7" fontId="8" fillId="0" borderId="4" xfId="0" applyNumberFormat="1" applyFont="1" applyBorder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4" fontId="16" fillId="0" borderId="0" xfId="0" applyNumberFormat="1" applyFont="1" applyFill="1" applyBorder="1" applyAlignment="1" applyProtection="1"/>
    <xf numFmtId="4" fontId="28" fillId="0" borderId="0" xfId="0" applyNumberFormat="1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7" fontId="19" fillId="0" borderId="0" xfId="0" applyNumberFormat="1" applyFont="1" applyFill="1" applyBorder="1" applyAlignment="1" applyProtection="1"/>
    <xf numFmtId="0" fontId="29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28" fillId="0" borderId="0" xfId="0" applyFont="1" applyAlignment="1">
      <alignment horizontal="right" vertical="center"/>
    </xf>
    <xf numFmtId="7" fontId="28" fillId="0" borderId="0" xfId="0" applyNumberFormat="1" applyFont="1" applyAlignment="1">
      <alignment horizontal="right" vertical="center"/>
    </xf>
    <xf numFmtId="0" fontId="26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7" fontId="17" fillId="0" borderId="0" xfId="0" applyNumberFormat="1" applyFont="1" applyFill="1" applyBorder="1" applyAlignment="1" applyProtection="1"/>
    <xf numFmtId="7" fontId="8" fillId="4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center"/>
    </xf>
    <xf numFmtId="7" fontId="0" fillId="0" borderId="4" xfId="0" applyNumberFormat="1" applyFill="1" applyBorder="1" applyAlignment="1" applyProtection="1"/>
    <xf numFmtId="7" fontId="7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5" borderId="5" xfId="0" applyNumberFormat="1" applyFill="1" applyBorder="1" applyAlignment="1" applyProtection="1">
      <alignment horizontal="center"/>
    </xf>
    <xf numFmtId="0" fontId="0" fillId="5" borderId="6" xfId="0" applyNumberFormat="1" applyFill="1" applyBorder="1" applyAlignment="1" applyProtection="1">
      <alignment horizontal="center"/>
    </xf>
    <xf numFmtId="7" fontId="0" fillId="5" borderId="6" xfId="0" applyNumberFormat="1" applyFill="1" applyBorder="1" applyAlignment="1" applyProtection="1"/>
    <xf numFmtId="7" fontId="0" fillId="5" borderId="7" xfId="0" applyNumberFormat="1" applyFill="1" applyBorder="1" applyAlignment="1" applyProtection="1"/>
    <xf numFmtId="7" fontId="14" fillId="5" borderId="6" xfId="0" applyNumberFormat="1" applyFont="1" applyFill="1" applyBorder="1" applyAlignment="1" applyProtection="1"/>
    <xf numFmtId="7" fontId="14" fillId="5" borderId="8" xfId="0" applyNumberFormat="1" applyFont="1" applyFill="1" applyBorder="1" applyAlignment="1" applyProtection="1"/>
    <xf numFmtId="7" fontId="0" fillId="5" borderId="8" xfId="0" applyNumberFormat="1" applyFill="1" applyBorder="1" applyAlignment="1" applyProtection="1"/>
    <xf numFmtId="0" fontId="0" fillId="0" borderId="5" xfId="0" applyNumberForma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/>
    <xf numFmtId="7" fontId="0" fillId="0" borderId="6" xfId="0" applyNumberFormat="1" applyFill="1" applyBorder="1" applyAlignment="1" applyProtection="1"/>
    <xf numFmtId="7" fontId="14" fillId="0" borderId="6" xfId="0" applyNumberFormat="1" applyFont="1" applyFill="1" applyBorder="1" applyAlignment="1" applyProtection="1"/>
    <xf numFmtId="0" fontId="0" fillId="5" borderId="7" xfId="0" applyNumberFormat="1" applyFill="1" applyBorder="1" applyAlignment="1" applyProtection="1">
      <alignment horizontal="center"/>
    </xf>
    <xf numFmtId="0" fontId="0" fillId="5" borderId="7" xfId="0" applyNumberFormat="1" applyFill="1" applyBorder="1" applyAlignment="1" applyProtection="1"/>
    <xf numFmtId="8" fontId="0" fillId="0" borderId="6" xfId="0" applyNumberFormat="1" applyFill="1" applyBorder="1" applyAlignment="1" applyProtection="1"/>
    <xf numFmtId="8" fontId="14" fillId="0" borderId="8" xfId="0" applyNumberFormat="1" applyFont="1" applyFill="1" applyBorder="1" applyAlignment="1" applyProtection="1"/>
    <xf numFmtId="8" fontId="0" fillId="0" borderId="8" xfId="0" applyNumberFormat="1" applyFill="1" applyBorder="1" applyAlignment="1" applyProtection="1"/>
    <xf numFmtId="0" fontId="29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/>
    </xf>
    <xf numFmtId="7" fontId="0" fillId="6" borderId="0" xfId="0" applyNumberFormat="1" applyFill="1" applyBorder="1" applyAlignment="1" applyProtection="1"/>
    <xf numFmtId="7" fontId="8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0" fillId="7" borderId="0" xfId="0" applyNumberFormat="1" applyFill="1" applyBorder="1" applyAlignment="1" applyProtection="1"/>
    <xf numFmtId="7" fontId="0" fillId="7" borderId="0" xfId="0" applyNumberForma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7" fontId="8" fillId="2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ill="1" applyBorder="1" applyAlignment="1" applyProtection="1"/>
    <xf numFmtId="7" fontId="37" fillId="0" borderId="0" xfId="0" applyNumberFormat="1" applyFont="1" applyAlignment="1">
      <alignment horizontal="right" vertical="center"/>
    </xf>
    <xf numFmtId="165" fontId="37" fillId="0" borderId="0" xfId="0" applyNumberFormat="1" applyFont="1" applyFill="1" applyBorder="1" applyAlignment="1" applyProtection="1"/>
    <xf numFmtId="165" fontId="37" fillId="0" borderId="0" xfId="0" applyNumberFormat="1" applyFont="1" applyAlignment="1">
      <alignment horizontal="right" vertical="center"/>
    </xf>
    <xf numFmtId="7" fontId="0" fillId="2" borderId="0" xfId="0" applyNumberFormat="1" applyFill="1" applyBorder="1" applyAlignment="1" applyProtection="1"/>
    <xf numFmtId="0" fontId="32" fillId="8" borderId="0" xfId="0" applyNumberFormat="1" applyFont="1" applyFill="1" applyBorder="1" applyAlignment="1" applyProtection="1"/>
    <xf numFmtId="7" fontId="8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7" fontId="26" fillId="0" borderId="0" xfId="0" applyNumberFormat="1" applyFont="1" applyFill="1" applyAlignment="1">
      <alignment horizontal="right" vertical="center"/>
    </xf>
    <xf numFmtId="37" fontId="38" fillId="0" borderId="0" xfId="1" applyNumberFormat="1" applyFont="1" applyFill="1" applyBorder="1" applyAlignment="1" applyProtection="1"/>
    <xf numFmtId="7" fontId="25" fillId="0" borderId="0" xfId="0" applyNumberFormat="1" applyFont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0" fontId="32" fillId="10" borderId="0" xfId="0" applyFont="1" applyFill="1"/>
    <xf numFmtId="4" fontId="32" fillId="10" borderId="0" xfId="0" applyNumberFormat="1" applyFont="1" applyFill="1" applyBorder="1"/>
    <xf numFmtId="0" fontId="17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32" fillId="10" borderId="0" xfId="0" applyNumberFormat="1" applyFont="1" applyFill="1" applyBorder="1" applyAlignment="1" applyProtection="1"/>
    <xf numFmtId="0" fontId="32" fillId="10" borderId="8" xfId="0" applyNumberFormat="1" applyFont="1" applyFill="1" applyBorder="1" applyAlignment="1" applyProtection="1"/>
    <xf numFmtId="4" fontId="32" fillId="10" borderId="0" xfId="0" applyNumberFormat="1" applyFont="1" applyFill="1"/>
    <xf numFmtId="4" fontId="32" fillId="10" borderId="8" xfId="0" applyNumberFormat="1" applyFont="1" applyFill="1" applyBorder="1"/>
    <xf numFmtId="4" fontId="32" fillId="10" borderId="0" xfId="0" applyNumberFormat="1" applyFont="1" applyFill="1" applyBorder="1" applyAlignment="1" applyProtection="1"/>
    <xf numFmtId="0" fontId="32" fillId="10" borderId="0" xfId="0" applyNumberFormat="1" applyFont="1" applyFill="1" applyBorder="1" applyAlignment="1" applyProtection="1">
      <alignment horizontal="center"/>
    </xf>
    <xf numFmtId="0" fontId="32" fillId="10" borderId="8" xfId="0" applyFont="1" applyFill="1" applyBorder="1" applyAlignment="1">
      <alignment horizontal="left"/>
    </xf>
    <xf numFmtId="0" fontId="32" fillId="10" borderId="8" xfId="0" applyNumberFormat="1" applyFont="1" applyFill="1" applyBorder="1" applyAlignment="1" applyProtection="1">
      <alignment horizontal="left"/>
    </xf>
    <xf numFmtId="0" fontId="32" fillId="10" borderId="0" xfId="0" applyFont="1" applyFill="1" applyBorder="1"/>
    <xf numFmtId="0" fontId="33" fillId="10" borderId="8" xfId="0" applyFont="1" applyFill="1" applyBorder="1" applyAlignment="1">
      <alignment horizontal="center"/>
    </xf>
    <xf numFmtId="0" fontId="33" fillId="10" borderId="8" xfId="0" applyNumberFormat="1" applyFont="1" applyFill="1" applyBorder="1" applyAlignment="1" applyProtection="1">
      <alignment horizontal="center"/>
    </xf>
    <xf numFmtId="165" fontId="32" fillId="10" borderId="0" xfId="0" applyNumberFormat="1" applyFont="1" applyFill="1" applyBorder="1" applyAlignment="1" applyProtection="1"/>
    <xf numFmtId="4" fontId="34" fillId="10" borderId="0" xfId="0" applyNumberFormat="1" applyFont="1" applyFill="1"/>
    <xf numFmtId="4" fontId="32" fillId="10" borderId="3" xfId="0" applyNumberFormat="1" applyFont="1" applyFill="1" applyBorder="1"/>
    <xf numFmtId="4" fontId="32" fillId="10" borderId="17" xfId="0" applyNumberFormat="1" applyFont="1" applyFill="1" applyBorder="1"/>
    <xf numFmtId="0" fontId="33" fillId="10" borderId="0" xfId="0" applyFont="1" applyFill="1"/>
    <xf numFmtId="0" fontId="32" fillId="10" borderId="4" xfId="0" applyFont="1" applyFill="1" applyBorder="1"/>
    <xf numFmtId="4" fontId="32" fillId="10" borderId="4" xfId="0" applyNumberFormat="1" applyFont="1" applyFill="1" applyBorder="1"/>
    <xf numFmtId="4" fontId="32" fillId="10" borderId="18" xfId="0" applyNumberFormat="1" applyFont="1" applyFill="1" applyBorder="1"/>
    <xf numFmtId="4" fontId="32" fillId="10" borderId="19" xfId="0" applyNumberFormat="1" applyFont="1" applyFill="1" applyBorder="1"/>
    <xf numFmtId="4" fontId="32" fillId="10" borderId="24" xfId="0" applyNumberFormat="1" applyFont="1" applyFill="1" applyBorder="1"/>
    <xf numFmtId="4" fontId="32" fillId="10" borderId="20" xfId="0" applyNumberFormat="1" applyFont="1" applyFill="1" applyBorder="1"/>
    <xf numFmtId="4" fontId="35" fillId="10" borderId="0" xfId="0" applyNumberFormat="1" applyFont="1" applyFill="1"/>
    <xf numFmtId="0" fontId="35" fillId="10" borderId="0" xfId="0" applyFont="1" applyFill="1"/>
    <xf numFmtId="4" fontId="35" fillId="10" borderId="0" xfId="0" applyNumberFormat="1" applyFont="1" applyFill="1" applyBorder="1"/>
    <xf numFmtId="4" fontId="35" fillId="10" borderId="0" xfId="0" applyNumberFormat="1" applyFont="1" applyFill="1" applyBorder="1" applyAlignment="1" applyProtection="1"/>
    <xf numFmtId="4" fontId="32" fillId="10" borderId="8" xfId="0" applyNumberFormat="1" applyFont="1" applyFill="1" applyBorder="1" applyAlignment="1" applyProtection="1"/>
    <xf numFmtId="4" fontId="34" fillId="10" borderId="0" xfId="0" applyNumberFormat="1" applyFont="1" applyFill="1" applyBorder="1"/>
    <xf numFmtId="4" fontId="34" fillId="10" borderId="8" xfId="0" applyNumberFormat="1" applyFont="1" applyFill="1" applyBorder="1"/>
    <xf numFmtId="0" fontId="32" fillId="10" borderId="17" xfId="0" applyFont="1" applyFill="1" applyBorder="1"/>
    <xf numFmtId="4" fontId="32" fillId="10" borderId="25" xfId="0" applyNumberFormat="1" applyFont="1" applyFill="1" applyBorder="1"/>
    <xf numFmtId="2" fontId="32" fillId="10" borderId="0" xfId="0" applyNumberFormat="1" applyFont="1" applyFill="1" applyBorder="1" applyAlignment="1" applyProtection="1"/>
    <xf numFmtId="4" fontId="32" fillId="10" borderId="16" xfId="0" applyNumberFormat="1" applyFont="1" applyFill="1" applyBorder="1"/>
    <xf numFmtId="0" fontId="35" fillId="10" borderId="0" xfId="0" applyNumberFormat="1" applyFont="1" applyFill="1" applyBorder="1" applyAlignment="1" applyProtection="1"/>
    <xf numFmtId="0" fontId="35" fillId="10" borderId="8" xfId="0" applyNumberFormat="1" applyFont="1" applyFill="1" applyBorder="1" applyAlignment="1" applyProtection="1"/>
    <xf numFmtId="0" fontId="32" fillId="10" borderId="4" xfId="0" applyNumberFormat="1" applyFont="1" applyFill="1" applyBorder="1" applyAlignment="1" applyProtection="1"/>
    <xf numFmtId="4" fontId="32" fillId="10" borderId="16" xfId="0" applyNumberFormat="1" applyFont="1" applyFill="1" applyBorder="1" applyAlignment="1" applyProtection="1"/>
    <xf numFmtId="4" fontId="32" fillId="10" borderId="26" xfId="0" applyNumberFormat="1" applyFont="1" applyFill="1" applyBorder="1" applyAlignment="1" applyProtection="1"/>
    <xf numFmtId="4" fontId="32" fillId="10" borderId="27" xfId="0" applyNumberFormat="1" applyFont="1" applyFill="1" applyBorder="1" applyAlignment="1" applyProtection="1"/>
    <xf numFmtId="4" fontId="32" fillId="10" borderId="24" xfId="0" applyNumberFormat="1" applyFont="1" applyFill="1" applyBorder="1" applyAlignment="1" applyProtection="1"/>
    <xf numFmtId="0" fontId="33" fillId="10" borderId="0" xfId="0" applyNumberFormat="1" applyFont="1" applyFill="1" applyBorder="1" applyAlignment="1" applyProtection="1"/>
    <xf numFmtId="165" fontId="32" fillId="10" borderId="4" xfId="0" applyNumberFormat="1" applyFont="1" applyFill="1" applyBorder="1" applyAlignment="1" applyProtection="1"/>
    <xf numFmtId="4" fontId="32" fillId="10" borderId="26" xfId="0" applyNumberFormat="1" applyFont="1" applyFill="1" applyBorder="1"/>
    <xf numFmtId="4" fontId="32" fillId="10" borderId="27" xfId="0" applyNumberFormat="1" applyFont="1" applyFill="1" applyBorder="1"/>
    <xf numFmtId="0" fontId="32" fillId="10" borderId="21" xfId="0" applyFont="1" applyFill="1" applyBorder="1"/>
    <xf numFmtId="4" fontId="32" fillId="10" borderId="21" xfId="0" applyNumberFormat="1" applyFont="1" applyFill="1" applyBorder="1"/>
    <xf numFmtId="0" fontId="33" fillId="10" borderId="16" xfId="0" applyFont="1" applyFill="1" applyBorder="1"/>
    <xf numFmtId="4" fontId="32" fillId="10" borderId="22" xfId="0" applyNumberFormat="1" applyFont="1" applyFill="1" applyBorder="1"/>
    <xf numFmtId="4" fontId="32" fillId="10" borderId="23" xfId="0" applyNumberFormat="1" applyFont="1" applyFill="1" applyBorder="1"/>
    <xf numFmtId="4" fontId="32" fillId="10" borderId="4" xfId="0" applyNumberFormat="1" applyFont="1" applyFill="1" applyBorder="1" applyAlignment="1">
      <alignment horizontal="center"/>
    </xf>
    <xf numFmtId="4" fontId="32" fillId="10" borderId="4" xfId="0" applyNumberFormat="1" applyFont="1" applyFill="1" applyBorder="1" applyAlignment="1" applyProtection="1"/>
    <xf numFmtId="4" fontId="32" fillId="10" borderId="17" xfId="0" applyNumberFormat="1" applyFont="1" applyFill="1" applyBorder="1" applyAlignment="1" applyProtection="1"/>
    <xf numFmtId="165" fontId="32" fillId="10" borderId="17" xfId="0" applyNumberFormat="1" applyFont="1" applyFill="1" applyBorder="1" applyAlignment="1" applyProtection="1"/>
    <xf numFmtId="37" fontId="32" fillId="10" borderId="0" xfId="0" applyNumberFormat="1" applyFont="1" applyFill="1"/>
    <xf numFmtId="37" fontId="32" fillId="10" borderId="0" xfId="0" applyNumberFormat="1" applyFont="1" applyFill="1" applyBorder="1" applyAlignment="1" applyProtection="1"/>
    <xf numFmtId="4" fontId="33" fillId="10" borderId="0" xfId="0" applyNumberFormat="1" applyFont="1" applyFill="1"/>
    <xf numFmtId="0" fontId="0" fillId="10" borderId="9" xfId="0" applyNumberFormat="1" applyFill="1" applyBorder="1" applyAlignment="1" applyProtection="1"/>
    <xf numFmtId="0" fontId="0" fillId="10" borderId="10" xfId="0" applyNumberFormat="1" applyFill="1" applyBorder="1" applyAlignment="1" applyProtection="1"/>
    <xf numFmtId="44" fontId="0" fillId="10" borderId="11" xfId="2" applyFont="1" applyFill="1" applyBorder="1" applyAlignment="1" applyProtection="1"/>
    <xf numFmtId="0" fontId="0" fillId="10" borderId="12" xfId="0" applyNumberFormat="1" applyFill="1" applyBorder="1" applyAlignment="1" applyProtection="1"/>
    <xf numFmtId="0" fontId="0" fillId="10" borderId="0" xfId="0" applyNumberFormat="1" applyFill="1" applyBorder="1" applyAlignment="1" applyProtection="1"/>
    <xf numFmtId="44" fontId="0" fillId="10" borderId="13" xfId="2" applyFont="1" applyFill="1" applyBorder="1" applyAlignment="1" applyProtection="1"/>
    <xf numFmtId="0" fontId="0" fillId="10" borderId="14" xfId="0" applyNumberFormat="1" applyFill="1" applyBorder="1" applyAlignment="1" applyProtection="1"/>
    <xf numFmtId="0" fontId="0" fillId="10" borderId="3" xfId="0" applyNumberFormat="1" applyFill="1" applyBorder="1" applyAlignment="1" applyProtection="1"/>
    <xf numFmtId="44" fontId="0" fillId="10" borderId="15" xfId="2" applyFont="1" applyFill="1" applyBorder="1" applyAlignment="1" applyProtection="1"/>
    <xf numFmtId="0" fontId="36" fillId="10" borderId="0" xfId="0" applyFont="1" applyFill="1"/>
    <xf numFmtId="7" fontId="0" fillId="10" borderId="0" xfId="0" applyNumberFormat="1" applyFill="1" applyBorder="1" applyAlignment="1" applyProtection="1"/>
    <xf numFmtId="44" fontId="32" fillId="1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10" borderId="3" xfId="0" applyNumberFormat="1" applyFont="1" applyFill="1" applyBorder="1" applyAlignment="1" applyProtection="1">
      <alignment horizontal="center"/>
    </xf>
  </cellXfs>
  <cellStyles count="4">
    <cellStyle name="Bad" xfId="1" builtinId="27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O17-@sum(E17:N17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opLeftCell="F11" workbookViewId="0">
      <selection activeCell="P17" sqref="P17"/>
    </sheetView>
  </sheetViews>
  <sheetFormatPr defaultColWidth="11.42578125" defaultRowHeight="12.75"/>
  <cols>
    <col min="1" max="1" width="8.7109375" customWidth="1"/>
    <col min="2" max="2" width="15.7109375" customWidth="1"/>
    <col min="3" max="14" width="11.42578125" customWidth="1"/>
    <col min="15" max="16" width="15.710937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1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8" t="s">
        <v>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6" hidden="1">
      <c r="B6" s="8"/>
    </row>
    <row r="7" spans="1:16" hidden="1">
      <c r="B7" s="8"/>
    </row>
    <row r="8" spans="1:16">
      <c r="B8" s="8"/>
    </row>
    <row r="9" spans="1:16">
      <c r="B9" s="8"/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12" t="s">
        <v>93</v>
      </c>
      <c r="P10" s="22" t="s">
        <v>103</v>
      </c>
    </row>
    <row r="11" spans="1:16">
      <c r="B11" s="8"/>
      <c r="C11" s="3" t="s">
        <v>124</v>
      </c>
      <c r="D11" s="3" t="s">
        <v>124</v>
      </c>
      <c r="E11" s="3" t="s">
        <v>124</v>
      </c>
      <c r="F11" s="3" t="s">
        <v>124</v>
      </c>
      <c r="G11" s="3" t="s">
        <v>124</v>
      </c>
      <c r="H11" s="3" t="s">
        <v>124</v>
      </c>
      <c r="I11" s="3" t="s">
        <v>124</v>
      </c>
      <c r="J11" s="3" t="s">
        <v>124</v>
      </c>
      <c r="K11" s="3" t="s">
        <v>124</v>
      </c>
      <c r="L11" s="3" t="s">
        <v>124</v>
      </c>
      <c r="M11" s="3" t="s">
        <v>124</v>
      </c>
      <c r="N11" s="3" t="s">
        <v>124</v>
      </c>
      <c r="O11" s="17" t="s">
        <v>15</v>
      </c>
    </row>
    <row r="12" spans="1:16">
      <c r="A12" s="18" t="s">
        <v>95</v>
      </c>
      <c r="B12" s="8"/>
      <c r="C12" s="20">
        <v>158781.82999999999</v>
      </c>
      <c r="D12" s="20">
        <f>C108</f>
        <v>66788.289999999994</v>
      </c>
      <c r="E12" s="20">
        <f t="shared" ref="E12:N12" si="0">D108</f>
        <v>34774.249999999985</v>
      </c>
      <c r="F12" s="20">
        <f t="shared" si="0"/>
        <v>238559.73</v>
      </c>
      <c r="G12" s="20">
        <f t="shared" si="0"/>
        <v>111411.82999999999</v>
      </c>
      <c r="H12" s="20">
        <f t="shared" si="0"/>
        <v>82551.50999999998</v>
      </c>
      <c r="I12" s="20">
        <f t="shared" si="0"/>
        <v>255157.65000000002</v>
      </c>
      <c r="J12" s="20">
        <f t="shared" si="0"/>
        <v>161845.09</v>
      </c>
      <c r="K12" s="20">
        <f t="shared" si="0"/>
        <v>92688.15</v>
      </c>
      <c r="L12" s="20">
        <f t="shared" si="0"/>
        <v>320507.14999999997</v>
      </c>
      <c r="M12" s="20">
        <f t="shared" si="0"/>
        <v>211588.71</v>
      </c>
      <c r="N12" s="20">
        <f t="shared" si="0"/>
        <v>176680.11999999997</v>
      </c>
      <c r="O12" s="20" t="s">
        <v>92</v>
      </c>
    </row>
    <row r="13" spans="1:16">
      <c r="A13" s="4" t="s">
        <v>16</v>
      </c>
      <c r="B13" s="8"/>
      <c r="O13" s="13"/>
    </row>
    <row r="14" spans="1:16">
      <c r="B14" s="8"/>
      <c r="O14" s="13"/>
    </row>
    <row r="15" spans="1:16">
      <c r="B15" s="8"/>
      <c r="O15" s="13"/>
      <c r="P15" s="35" t="s">
        <v>135</v>
      </c>
    </row>
    <row r="16" spans="1:16">
      <c r="B16" s="9" t="s">
        <v>17</v>
      </c>
      <c r="C16" s="5">
        <v>0</v>
      </c>
      <c r="D16" s="5">
        <v>0</v>
      </c>
      <c r="E16" s="5">
        <v>254457</v>
      </c>
      <c r="F16" s="5">
        <v>0</v>
      </c>
      <c r="G16" s="5">
        <v>0</v>
      </c>
      <c r="H16" s="21">
        <f>166095.83+80815.17</f>
        <v>246911</v>
      </c>
      <c r="I16" s="5">
        <v>0</v>
      </c>
      <c r="J16" s="5">
        <v>0</v>
      </c>
      <c r="K16" s="5">
        <v>246591</v>
      </c>
      <c r="L16" s="5">
        <v>0</v>
      </c>
      <c r="M16" s="5">
        <v>0</v>
      </c>
      <c r="N16" s="5">
        <v>215453</v>
      </c>
      <c r="O16" s="14">
        <f>SUM(C16:N16)</f>
        <v>963412</v>
      </c>
      <c r="P16" s="35">
        <f>O16-SUM(C16:N16)</f>
        <v>0</v>
      </c>
    </row>
    <row r="17" spans="1:16">
      <c r="B17" s="9" t="s">
        <v>130</v>
      </c>
      <c r="C17" s="5">
        <v>0</v>
      </c>
      <c r="D17" s="5">
        <v>0</v>
      </c>
      <c r="E17" s="5">
        <v>25460</v>
      </c>
      <c r="F17" s="5">
        <v>0</v>
      </c>
      <c r="G17" s="5">
        <v>21916.51</v>
      </c>
      <c r="H17" s="5">
        <v>20034.71</v>
      </c>
      <c r="I17" s="5">
        <v>0</v>
      </c>
      <c r="J17" s="5">
        <v>16240.28</v>
      </c>
      <c r="K17" s="5">
        <f>18184.53+40244.6</f>
        <v>58429.13</v>
      </c>
      <c r="L17" s="5">
        <v>0</v>
      </c>
      <c r="M17" s="5">
        <v>45549.45</v>
      </c>
      <c r="N17" s="5">
        <v>0</v>
      </c>
      <c r="O17" s="14">
        <v>291557</v>
      </c>
      <c r="P17" s="35">
        <f>O17-((SUM(C17:N17))+'Cash Flow 2010'!C17)</f>
        <v>17155.890000000014</v>
      </c>
    </row>
    <row r="18" spans="1:16">
      <c r="B18" s="9" t="s">
        <v>132</v>
      </c>
      <c r="C18" s="5"/>
      <c r="D18" s="5"/>
      <c r="E18" s="5">
        <f>11667+16762</f>
        <v>28429</v>
      </c>
      <c r="F18" s="5"/>
      <c r="G18" s="5">
        <v>42300</v>
      </c>
      <c r="H18" s="5">
        <v>17279</v>
      </c>
      <c r="I18" s="5">
        <v>19471</v>
      </c>
      <c r="J18" s="5">
        <v>14937</v>
      </c>
      <c r="K18" s="5">
        <v>17584</v>
      </c>
      <c r="L18" s="5">
        <v>0</v>
      </c>
      <c r="M18" s="5">
        <v>0</v>
      </c>
      <c r="N18" s="5">
        <v>0</v>
      </c>
      <c r="O18" s="14">
        <v>140000</v>
      </c>
      <c r="P18" s="35">
        <f>O18-(SUM(C18:N18))</f>
        <v>0</v>
      </c>
    </row>
    <row r="19" spans="1:16">
      <c r="B19" s="9" t="s">
        <v>131</v>
      </c>
      <c r="C19" s="5"/>
      <c r="D19" s="5"/>
      <c r="E19" s="5">
        <v>0</v>
      </c>
      <c r="F19" s="5">
        <v>508</v>
      </c>
      <c r="G19" s="5">
        <v>2943</v>
      </c>
      <c r="H19" s="5">
        <f>1848+5880+712</f>
        <v>8440</v>
      </c>
      <c r="I19" s="5">
        <f>293</f>
        <v>293</v>
      </c>
      <c r="J19" s="5">
        <v>0</v>
      </c>
      <c r="K19" s="5">
        <v>1974.19</v>
      </c>
      <c r="L19" s="5">
        <f>237+1161</f>
        <v>1398</v>
      </c>
      <c r="M19" s="5">
        <v>0</v>
      </c>
      <c r="N19" s="5">
        <v>0</v>
      </c>
      <c r="O19" s="14">
        <f>SUM(C19:N19)</f>
        <v>15556.19</v>
      </c>
      <c r="P19" s="35">
        <f t="shared" ref="P19:P24" si="1">O19-(SUM(C19:N19))</f>
        <v>0</v>
      </c>
    </row>
    <row r="20" spans="1:16">
      <c r="B20" s="9" t="s">
        <v>18</v>
      </c>
      <c r="C20" s="5">
        <v>1072.5</v>
      </c>
      <c r="D20" s="5">
        <f>1650+1945+1200+3250</f>
        <v>8045</v>
      </c>
      <c r="E20" s="5">
        <f>4613+3867.65+1615+0.5+7+487.5-253.5</f>
        <v>10337.15</v>
      </c>
      <c r="F20" s="5">
        <f>1482.2+106+355.75+270+739.5+187.66+156.85</f>
        <v>3297.9599999999996</v>
      </c>
      <c r="G20" s="5">
        <f>1296.45+135.8+2516.5</f>
        <v>3948.75</v>
      </c>
      <c r="H20" s="5">
        <v>2123.9499999999998</v>
      </c>
      <c r="I20" s="5">
        <f>1511.8+1616.5+226</f>
        <v>3354.3</v>
      </c>
      <c r="J20" s="5">
        <f>895.35+198.85+320+1007.75</f>
        <v>2421.9499999999998</v>
      </c>
      <c r="K20" s="5">
        <f>1422.8+136.75+1050+270+1422.8</f>
        <v>4302.3500000000004</v>
      </c>
      <c r="L20" s="5">
        <f>813.75+610+35</f>
        <v>1458.75</v>
      </c>
      <c r="M20" s="5">
        <f>1356.05+2526.5+1234.75</f>
        <v>5117.3</v>
      </c>
      <c r="N20" s="5">
        <f>670.55+644.2</f>
        <v>1314.75</v>
      </c>
      <c r="O20" s="14">
        <f>SUM(C20:N20)</f>
        <v>46794.71</v>
      </c>
      <c r="P20" s="35">
        <f t="shared" si="1"/>
        <v>0</v>
      </c>
    </row>
    <row r="21" spans="1:16">
      <c r="B21" s="9" t="s">
        <v>19</v>
      </c>
      <c r="C21" s="5">
        <v>0</v>
      </c>
      <c r="D21" s="5">
        <v>250</v>
      </c>
      <c r="E21" s="5">
        <v>0</v>
      </c>
      <c r="F21" s="5">
        <v>0</v>
      </c>
      <c r="G21" s="5">
        <f>1605.95+6197+29.5</f>
        <v>7832.45</v>
      </c>
      <c r="H21" s="5">
        <v>1762.5</v>
      </c>
      <c r="I21" s="5">
        <v>0</v>
      </c>
      <c r="J21" s="5">
        <v>140</v>
      </c>
      <c r="K21" s="5">
        <f>40+192</f>
        <v>232</v>
      </c>
      <c r="L21" s="5">
        <v>35.5</v>
      </c>
      <c r="M21" s="5">
        <v>300</v>
      </c>
      <c r="N21" s="5">
        <v>0</v>
      </c>
      <c r="O21" s="14">
        <f>SUM(C21:N21)</f>
        <v>10552.45</v>
      </c>
      <c r="P21" s="35">
        <f t="shared" si="1"/>
        <v>0</v>
      </c>
    </row>
    <row r="22" spans="1:16">
      <c r="B22" s="9" t="s">
        <v>20</v>
      </c>
      <c r="C22" s="5">
        <v>0</v>
      </c>
      <c r="D22" s="5">
        <v>0</v>
      </c>
      <c r="E22" s="5">
        <v>253.5</v>
      </c>
      <c r="F22" s="5">
        <v>0</v>
      </c>
      <c r="G22" s="5">
        <v>330</v>
      </c>
      <c r="H22" s="5">
        <v>0</v>
      </c>
      <c r="I22" s="5">
        <f>3047+1746</f>
        <v>4793</v>
      </c>
      <c r="J22" s="5">
        <v>500</v>
      </c>
      <c r="K22" s="5">
        <v>0</v>
      </c>
      <c r="L22" s="5">
        <f>524+756.5</f>
        <v>1280.5</v>
      </c>
      <c r="M22" s="5">
        <v>0</v>
      </c>
      <c r="N22" s="5">
        <v>0</v>
      </c>
      <c r="O22" s="14">
        <f>SUM(C22:N22)</f>
        <v>7157</v>
      </c>
      <c r="P22" s="35">
        <f t="shared" si="1"/>
        <v>0</v>
      </c>
    </row>
    <row r="23" spans="1:16">
      <c r="B23" s="9" t="s">
        <v>21</v>
      </c>
      <c r="C23" s="5">
        <v>0</v>
      </c>
      <c r="D23" s="5">
        <v>775</v>
      </c>
      <c r="E23" s="5">
        <v>2800</v>
      </c>
      <c r="F23" s="5">
        <f>2857+421+1505.15+2712</f>
        <v>7495.15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>
        <f>SUM(C23:N23)</f>
        <v>11070.15</v>
      </c>
      <c r="P23" s="35">
        <f t="shared" si="1"/>
        <v>0</v>
      </c>
    </row>
    <row r="24" spans="1:16">
      <c r="B24" s="9" t="s">
        <v>101</v>
      </c>
      <c r="C24" s="21">
        <v>0</v>
      </c>
      <c r="D24" s="5">
        <f>9800+9200+9500+9600</f>
        <v>38100</v>
      </c>
      <c r="E24" s="5">
        <f>9400+9800+9500</f>
        <v>28700</v>
      </c>
      <c r="F24" s="5"/>
      <c r="G24" s="5"/>
      <c r="H24" s="5"/>
      <c r="I24" s="5"/>
      <c r="J24" s="5"/>
      <c r="K24" s="5"/>
      <c r="L24" s="5"/>
      <c r="M24" s="5"/>
      <c r="N24" s="5"/>
      <c r="O24" s="14"/>
      <c r="P24" s="35">
        <f t="shared" si="1"/>
        <v>-66800</v>
      </c>
    </row>
    <row r="25" spans="1:16">
      <c r="A25" t="s">
        <v>96</v>
      </c>
      <c r="B25" s="9"/>
      <c r="C25" s="6">
        <f>SUM(C16:C24)</f>
        <v>1072.5</v>
      </c>
      <c r="D25" s="6">
        <f t="shared" ref="D25:N25" si="2">SUM(D16:D24)</f>
        <v>47170</v>
      </c>
      <c r="E25" s="6">
        <f t="shared" si="2"/>
        <v>350436.65</v>
      </c>
      <c r="F25" s="6">
        <f t="shared" si="2"/>
        <v>11301.109999999999</v>
      </c>
      <c r="G25" s="6">
        <f t="shared" si="2"/>
        <v>79270.709999999992</v>
      </c>
      <c r="H25" s="6">
        <f t="shared" si="2"/>
        <v>296551.16000000003</v>
      </c>
      <c r="I25" s="6">
        <f>SUM(I16:I24)</f>
        <v>27911.3</v>
      </c>
      <c r="J25" s="6">
        <f t="shared" si="2"/>
        <v>34239.229999999996</v>
      </c>
      <c r="K25" s="6">
        <f t="shared" si="2"/>
        <v>329112.67</v>
      </c>
      <c r="L25" s="6">
        <f t="shared" si="2"/>
        <v>4172.75</v>
      </c>
      <c r="M25" s="6">
        <f t="shared" si="2"/>
        <v>50966.75</v>
      </c>
      <c r="N25" s="6">
        <f t="shared" si="2"/>
        <v>216767.75</v>
      </c>
      <c r="O25" s="6">
        <f>SUM(O16:O23)</f>
        <v>1486099.4999999998</v>
      </c>
      <c r="P25" s="35"/>
    </row>
    <row r="26" spans="1:16">
      <c r="A26" t="s">
        <v>98</v>
      </c>
      <c r="B26" s="10"/>
      <c r="C26" s="7">
        <f>C25+C12</f>
        <v>159854.32999999999</v>
      </c>
      <c r="D26" s="7">
        <f t="shared" ref="D26:N26" si="3">D25+D12</f>
        <v>113958.29</v>
      </c>
      <c r="E26" s="7">
        <f t="shared" si="3"/>
        <v>385210.9</v>
      </c>
      <c r="F26" s="7">
        <f t="shared" si="3"/>
        <v>249860.84</v>
      </c>
      <c r="G26" s="7">
        <f t="shared" si="3"/>
        <v>190682.53999999998</v>
      </c>
      <c r="H26" s="7">
        <f t="shared" si="3"/>
        <v>379102.67000000004</v>
      </c>
      <c r="I26" s="7">
        <f t="shared" si="3"/>
        <v>283068.95</v>
      </c>
      <c r="J26" s="7">
        <f t="shared" si="3"/>
        <v>196084.32</v>
      </c>
      <c r="K26" s="7">
        <f t="shared" si="3"/>
        <v>421800.81999999995</v>
      </c>
      <c r="L26" s="7">
        <f t="shared" si="3"/>
        <v>324679.89999999997</v>
      </c>
      <c r="M26" s="7">
        <f t="shared" si="3"/>
        <v>262555.45999999996</v>
      </c>
      <c r="N26" s="7">
        <f t="shared" si="3"/>
        <v>393447.87</v>
      </c>
      <c r="O26" s="6">
        <f>SUM(O17:O25)</f>
        <v>2008786.9999999998</v>
      </c>
      <c r="P26" s="35"/>
    </row>
    <row r="27" spans="1:16">
      <c r="B27" s="8"/>
      <c r="O27" s="13"/>
      <c r="P27" s="35"/>
    </row>
    <row r="28" spans="1:16">
      <c r="A28" s="4" t="s">
        <v>99</v>
      </c>
      <c r="B28" s="8"/>
      <c r="O28" s="13"/>
      <c r="P28" s="35"/>
    </row>
    <row r="29" spans="1:16">
      <c r="A29" s="19" t="s">
        <v>92</v>
      </c>
      <c r="B29" s="8" t="s">
        <v>92</v>
      </c>
      <c r="O29" s="13"/>
      <c r="P29" s="35"/>
    </row>
    <row r="30" spans="1:16">
      <c r="B30" s="9" t="s">
        <v>22</v>
      </c>
      <c r="C30" s="5">
        <f>1846.15*3</f>
        <v>5538.4500000000007</v>
      </c>
      <c r="D30" s="5">
        <v>3692.3</v>
      </c>
      <c r="E30" s="5">
        <v>3692.26</v>
      </c>
      <c r="F30" s="5">
        <f>3692.26</f>
        <v>3692.26</v>
      </c>
      <c r="G30" s="5">
        <v>3692.26</v>
      </c>
      <c r="H30" s="5">
        <v>5538.39</v>
      </c>
      <c r="I30" s="5">
        <f>3692.3</f>
        <v>3692.3</v>
      </c>
      <c r="J30" s="5">
        <v>3692.3</v>
      </c>
      <c r="K30" s="5">
        <f>1846.15+1846.15</f>
        <v>3692.3</v>
      </c>
      <c r="L30" s="5">
        <v>3692.3</v>
      </c>
      <c r="M30" s="5">
        <v>3692.26</v>
      </c>
      <c r="N30" s="5">
        <v>3692.26</v>
      </c>
      <c r="O30" s="14">
        <v>49440</v>
      </c>
      <c r="P30" s="35">
        <f t="shared" ref="P30:P98" si="4">O30-SUM(C30:N30)</f>
        <v>1440.3599999999933</v>
      </c>
    </row>
    <row r="31" spans="1:16" hidden="1">
      <c r="B31" s="9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4">
        <v>0</v>
      </c>
      <c r="P31" s="35">
        <f t="shared" si="4"/>
        <v>0</v>
      </c>
    </row>
    <row r="32" spans="1:16">
      <c r="B32" s="9" t="s">
        <v>24</v>
      </c>
      <c r="C32" s="5">
        <f>1442.3*3</f>
        <v>4326.8999999999996</v>
      </c>
      <c r="D32" s="5">
        <v>2884.6</v>
      </c>
      <c r="E32" s="5">
        <v>2884.6</v>
      </c>
      <c r="F32" s="5">
        <f>2626+690</f>
        <v>3316</v>
      </c>
      <c r="G32" s="5">
        <v>3316.5</v>
      </c>
      <c r="H32" s="5">
        <v>4974.75</v>
      </c>
      <c r="I32" s="5">
        <f>2884.6</f>
        <v>2884.6</v>
      </c>
      <c r="J32" s="5">
        <v>2884.6</v>
      </c>
      <c r="K32" s="5">
        <f>1442.3+1442.3</f>
        <v>2884.6</v>
      </c>
      <c r="L32" s="5">
        <v>2884.6</v>
      </c>
      <c r="M32" s="5">
        <v>2884.6</v>
      </c>
      <c r="N32" s="5">
        <v>2884.6</v>
      </c>
      <c r="O32" s="14">
        <v>37500</v>
      </c>
      <c r="P32" s="35">
        <f t="shared" si="4"/>
        <v>-1510.9499999999898</v>
      </c>
    </row>
    <row r="33" spans="1:16" hidden="1">
      <c r="B33" s="9" t="s">
        <v>25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4">
        <v>0</v>
      </c>
      <c r="P33" s="35">
        <f t="shared" si="4"/>
        <v>0</v>
      </c>
    </row>
    <row r="34" spans="1:16" hidden="1">
      <c r="B34" s="9" t="s">
        <v>26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4">
        <f>SUM(C34:N34)</f>
        <v>0</v>
      </c>
      <c r="P34" s="35">
        <f t="shared" si="4"/>
        <v>0</v>
      </c>
    </row>
    <row r="35" spans="1:16">
      <c r="B35" s="9" t="s">
        <v>27</v>
      </c>
      <c r="C35" s="5">
        <f>21406.87+434.77</f>
        <v>21841.64</v>
      </c>
      <c r="D35" s="5">
        <v>19554.849999999999</v>
      </c>
      <c r="E35" s="5">
        <f>31002.06</f>
        <v>31002.06</v>
      </c>
      <c r="F35" s="5">
        <v>40882</v>
      </c>
      <c r="G35" s="5">
        <v>40882</v>
      </c>
      <c r="H35" s="5">
        <v>49844.88</v>
      </c>
      <c r="I35" s="5">
        <v>34288.080000000002</v>
      </c>
      <c r="J35" s="5">
        <v>33546.720000000001</v>
      </c>
      <c r="K35" s="5">
        <f>17509.43+17359.43</f>
        <v>34868.86</v>
      </c>
      <c r="L35" s="5">
        <v>34718.86</v>
      </c>
      <c r="M35" s="5">
        <f>17359.43+17359.43</f>
        <v>34718.86</v>
      </c>
      <c r="N35" s="5">
        <f>M35+4615.52</f>
        <v>39334.380000000005</v>
      </c>
      <c r="O35" s="14">
        <v>455773</v>
      </c>
      <c r="P35" s="35">
        <f t="shared" si="4"/>
        <v>40289.810000000056</v>
      </c>
    </row>
    <row r="36" spans="1:16">
      <c r="B36" s="9" t="s">
        <v>31</v>
      </c>
      <c r="C36" s="5">
        <v>0</v>
      </c>
      <c r="D36" s="5">
        <v>0</v>
      </c>
      <c r="E36" s="5">
        <v>1501.94</v>
      </c>
      <c r="F36" s="5">
        <v>4669.6000000000004</v>
      </c>
      <c r="G36" s="5">
        <v>3816</v>
      </c>
      <c r="H36" s="5">
        <v>2974.26</v>
      </c>
      <c r="I36" s="5">
        <v>3506.51</v>
      </c>
      <c r="J36" s="5">
        <v>4375.5200000000004</v>
      </c>
      <c r="K36" s="5">
        <f>1905.76+2099.76</f>
        <v>4005.5200000000004</v>
      </c>
      <c r="L36" s="5">
        <f>125+960+630.76+125+100+100+225+960+630.76+125+100</f>
        <v>4081.5200000000004</v>
      </c>
      <c r="M36" s="5">
        <f>125+960+630.76+75+100+230+960+630.76+175</f>
        <v>3886.5200000000004</v>
      </c>
      <c r="N36" s="5">
        <f>960+630.76+175+80+960+630.76+175</f>
        <v>3611.5200000000004</v>
      </c>
      <c r="O36" s="16">
        <v>60960</v>
      </c>
      <c r="P36" s="35">
        <f>O36-SUM(C36:N36)</f>
        <v>24531.089999999997</v>
      </c>
    </row>
    <row r="37" spans="1:16">
      <c r="B37" s="9" t="s">
        <v>28</v>
      </c>
      <c r="C37" s="5">
        <v>0</v>
      </c>
      <c r="D37" s="5">
        <v>200</v>
      </c>
      <c r="E37" s="5">
        <v>1300</v>
      </c>
      <c r="F37" s="5">
        <v>1558.75</v>
      </c>
      <c r="G37" s="5">
        <v>1558.75</v>
      </c>
      <c r="H37" s="5">
        <v>1912.5</v>
      </c>
      <c r="I37" s="5">
        <v>787.5</v>
      </c>
      <c r="J37" s="5">
        <v>1725</v>
      </c>
      <c r="K37" s="5">
        <f>512.5+925</f>
        <v>1437.5</v>
      </c>
      <c r="L37" s="5">
        <f>943.75+906.25</f>
        <v>1850</v>
      </c>
      <c r="M37" s="5">
        <f>1018.75+637.5</f>
        <v>1656.25</v>
      </c>
      <c r="N37" s="5">
        <f>900+1018.75</f>
        <v>1918.75</v>
      </c>
      <c r="O37" s="14">
        <v>19000</v>
      </c>
      <c r="P37" s="35">
        <f t="shared" si="4"/>
        <v>3095</v>
      </c>
    </row>
    <row r="38" spans="1:16">
      <c r="A38" t="s">
        <v>92</v>
      </c>
      <c r="B38" s="9" t="s">
        <v>29</v>
      </c>
      <c r="C38" s="5">
        <v>0</v>
      </c>
      <c r="D38" s="5">
        <v>160</v>
      </c>
      <c r="E38" s="5">
        <v>2040</v>
      </c>
      <c r="F38" s="5">
        <v>2395.1999999999998</v>
      </c>
      <c r="G38" s="5">
        <v>2395</v>
      </c>
      <c r="H38" s="5">
        <v>2972.8</v>
      </c>
      <c r="I38" s="5">
        <v>2176</v>
      </c>
      <c r="J38" s="5">
        <v>3040</v>
      </c>
      <c r="K38" s="5">
        <f>1296+1344</f>
        <v>2640</v>
      </c>
      <c r="L38" s="5">
        <f>728+744+680+680</f>
        <v>2832</v>
      </c>
      <c r="M38" s="5">
        <f>960+640+688+688</f>
        <v>2976</v>
      </c>
      <c r="N38" s="5">
        <f>1552+888+728</f>
        <v>3168</v>
      </c>
      <c r="O38" s="14">
        <v>30705</v>
      </c>
      <c r="P38" s="35">
        <f t="shared" si="4"/>
        <v>3910</v>
      </c>
    </row>
    <row r="39" spans="1:16">
      <c r="B39" s="9" t="s">
        <v>125</v>
      </c>
      <c r="C39" s="5">
        <v>0</v>
      </c>
      <c r="D39" s="5">
        <v>92</v>
      </c>
      <c r="E39" s="5">
        <v>689.75</v>
      </c>
      <c r="F39" s="5">
        <v>880.4</v>
      </c>
      <c r="G39" s="5">
        <v>880</v>
      </c>
      <c r="H39" s="5">
        <v>1426</v>
      </c>
      <c r="I39" s="5">
        <v>1240</v>
      </c>
      <c r="J39" s="5">
        <v>1240</v>
      </c>
      <c r="K39" s="5">
        <f>620+558</f>
        <v>1178</v>
      </c>
      <c r="L39" s="5">
        <f>620+620</f>
        <v>1240</v>
      </c>
      <c r="M39" s="5">
        <f>620+620</f>
        <v>1240</v>
      </c>
      <c r="N39" s="5">
        <f>620+620</f>
        <v>1240</v>
      </c>
      <c r="O39" s="14">
        <v>17982</v>
      </c>
      <c r="P39" s="35">
        <f t="shared" si="4"/>
        <v>6635.85</v>
      </c>
    </row>
    <row r="40" spans="1:16" hidden="1">
      <c r="B40" s="9" t="s">
        <v>127</v>
      </c>
      <c r="C40" s="5"/>
      <c r="D40" s="5"/>
      <c r="E40" s="5"/>
      <c r="F40" s="5"/>
      <c r="G40" s="5"/>
      <c r="H40" s="5" t="s">
        <v>92</v>
      </c>
      <c r="I40" s="5"/>
      <c r="J40" s="5" t="s">
        <v>92</v>
      </c>
      <c r="K40" s="5"/>
      <c r="L40" s="5"/>
      <c r="M40" s="5"/>
      <c r="N40" s="5"/>
      <c r="O40" s="14"/>
      <c r="P40" s="35"/>
    </row>
    <row r="41" spans="1:16" hidden="1">
      <c r="B41" s="33" t="s">
        <v>128</v>
      </c>
      <c r="C41" s="34"/>
      <c r="D41" s="34"/>
      <c r="E41" s="34"/>
      <c r="F41" s="34"/>
      <c r="G41" s="34"/>
      <c r="H41" s="34" t="s">
        <v>92</v>
      </c>
      <c r="I41" s="34"/>
      <c r="J41" s="34"/>
      <c r="K41" s="34"/>
      <c r="L41" s="34"/>
      <c r="M41" s="34"/>
      <c r="N41" s="34"/>
      <c r="O41" s="14"/>
      <c r="P41" s="35"/>
    </row>
    <row r="42" spans="1:16" hidden="1">
      <c r="P42" s="35"/>
    </row>
    <row r="43" spans="1:16">
      <c r="B43" s="9" t="s">
        <v>32</v>
      </c>
      <c r="C43" s="5">
        <v>1302.52</v>
      </c>
      <c r="D43" s="5">
        <v>945.63</v>
      </c>
      <c r="E43" s="5">
        <v>1801.65</v>
      </c>
      <c r="F43" s="5">
        <v>2286.2600000000002</v>
      </c>
      <c r="G43" s="5">
        <v>1800</v>
      </c>
      <c r="H43" s="5">
        <v>0</v>
      </c>
      <c r="I43" s="5">
        <f>719.8+9.96+249.04+625.43+9.47+236.71-180</f>
        <v>1670.41</v>
      </c>
      <c r="J43" s="5">
        <v>543.99</v>
      </c>
      <c r="K43" s="5">
        <f>251.31+10.05+723.88+757.73+10.23+255.75</f>
        <v>2008.95</v>
      </c>
      <c r="L43" s="5">
        <f>761.54+10.25+256.24</f>
        <v>1028.03</v>
      </c>
      <c r="M43" s="5">
        <v>2007.62</v>
      </c>
      <c r="N43" s="5">
        <v>2048.54</v>
      </c>
      <c r="O43" s="14">
        <v>20791</v>
      </c>
      <c r="P43" s="35">
        <f>O43-SUM(C43:N43)</f>
        <v>3347.3999999999978</v>
      </c>
    </row>
    <row r="44" spans="1:16">
      <c r="B44" s="9" t="s">
        <v>34</v>
      </c>
      <c r="C44" s="5">
        <v>2090.06</v>
      </c>
      <c r="D44" s="5">
        <v>3135.09</v>
      </c>
      <c r="E44" s="5">
        <v>2985.99</v>
      </c>
      <c r="F44" s="5">
        <f>4205.81-2004</f>
        <v>2201.8100000000004</v>
      </c>
      <c r="G44" s="5">
        <v>4471</v>
      </c>
      <c r="H44" s="5">
        <v>0</v>
      </c>
      <c r="I44" s="5">
        <f>-4177.88+6266.82</f>
        <v>2088.9399999999996</v>
      </c>
      <c r="J44" s="5">
        <v>4177.88</v>
      </c>
      <c r="K44" s="5">
        <v>0</v>
      </c>
      <c r="L44" s="5">
        <f>3895.26-3000</f>
        <v>895.26000000000022</v>
      </c>
      <c r="M44" s="5">
        <v>0</v>
      </c>
      <c r="N44" s="5">
        <f>-3981.74+4024.31</f>
        <v>42.570000000000164</v>
      </c>
      <c r="O44" s="14">
        <v>11286</v>
      </c>
      <c r="P44" s="35">
        <f>O44-SUM(C44:N44)</f>
        <v>-10802.599999999999</v>
      </c>
    </row>
    <row r="45" spans="1:16">
      <c r="B45" s="9" t="s">
        <v>33</v>
      </c>
      <c r="C45" s="5">
        <v>0</v>
      </c>
      <c r="D45" s="5">
        <v>0</v>
      </c>
      <c r="E45" s="5">
        <v>0</v>
      </c>
      <c r="F45" s="5">
        <v>345</v>
      </c>
      <c r="G45" s="5">
        <v>0</v>
      </c>
      <c r="H45" s="5">
        <v>345</v>
      </c>
      <c r="I45" s="5">
        <v>346</v>
      </c>
      <c r="J45" s="5">
        <v>345</v>
      </c>
      <c r="K45" s="5">
        <v>346</v>
      </c>
      <c r="L45" s="5">
        <v>345</v>
      </c>
      <c r="M45" s="5">
        <v>0</v>
      </c>
      <c r="N45" s="5">
        <v>0</v>
      </c>
      <c r="O45" s="14">
        <v>3750</v>
      </c>
      <c r="P45" s="35">
        <f>O45-SUM(C45:N45)</f>
        <v>1678</v>
      </c>
    </row>
    <row r="46" spans="1:16">
      <c r="B46" s="9" t="s">
        <v>35</v>
      </c>
      <c r="C46" s="32">
        <v>3674</v>
      </c>
      <c r="D46" s="32">
        <v>3058</v>
      </c>
      <c r="E46" s="32">
        <v>6564.2</v>
      </c>
      <c r="F46" s="32">
        <v>4590</v>
      </c>
      <c r="G46" s="32">
        <v>0</v>
      </c>
      <c r="H46" s="32">
        <v>4896</v>
      </c>
      <c r="I46" s="32">
        <f>-1101.44+4896</f>
        <v>3794.56</v>
      </c>
      <c r="J46" s="32">
        <f>-3893.91+4896</f>
        <v>1002.0900000000001</v>
      </c>
      <c r="K46" s="32">
        <f>-4996.69+4036.57+6732</f>
        <v>5771.880000000001</v>
      </c>
      <c r="L46" s="32">
        <f>-964.67+3060</f>
        <v>2095.33</v>
      </c>
      <c r="M46" s="32">
        <v>4896</v>
      </c>
      <c r="N46" s="32">
        <f>4896-1101.44</f>
        <v>3794.56</v>
      </c>
      <c r="O46" s="16">
        <v>85344</v>
      </c>
      <c r="P46" s="36">
        <f t="shared" si="4"/>
        <v>41207.379999999997</v>
      </c>
    </row>
    <row r="47" spans="1:16">
      <c r="A47" t="s">
        <v>129</v>
      </c>
      <c r="B47" s="9"/>
      <c r="C47" s="5">
        <f>SUM(C30:C46)</f>
        <v>38773.569999999992</v>
      </c>
      <c r="D47" s="5">
        <f t="shared" ref="D47:N47" si="5">SUM(D30:D46)</f>
        <v>33722.47</v>
      </c>
      <c r="E47" s="5">
        <f t="shared" si="5"/>
        <v>54462.45</v>
      </c>
      <c r="F47" s="5">
        <f t="shared" si="5"/>
        <v>66817.279999999999</v>
      </c>
      <c r="G47" s="5">
        <f t="shared" si="5"/>
        <v>62811.51</v>
      </c>
      <c r="H47" s="5">
        <f t="shared" si="5"/>
        <v>74884.58</v>
      </c>
      <c r="I47" s="5">
        <f t="shared" si="5"/>
        <v>56474.900000000009</v>
      </c>
      <c r="J47" s="5">
        <f t="shared" si="5"/>
        <v>56573.099999999991</v>
      </c>
      <c r="K47" s="5">
        <f t="shared" si="5"/>
        <v>58833.61</v>
      </c>
      <c r="L47" s="5">
        <f t="shared" si="5"/>
        <v>55662.9</v>
      </c>
      <c r="M47" s="5">
        <f t="shared" si="5"/>
        <v>57958.110000000008</v>
      </c>
      <c r="N47" s="5">
        <f t="shared" si="5"/>
        <v>61735.180000000008</v>
      </c>
      <c r="O47" s="14">
        <f>SUM(O43:O46)</f>
        <v>121171</v>
      </c>
      <c r="P47" s="35"/>
    </row>
    <row r="48" spans="1:16"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4"/>
      <c r="P48" s="35"/>
    </row>
    <row r="49" spans="1:16">
      <c r="A49" s="31"/>
      <c r="B49" s="30" t="s">
        <v>36</v>
      </c>
      <c r="C49" s="5">
        <v>0</v>
      </c>
      <c r="D49" s="5">
        <v>5003.4399999999996</v>
      </c>
      <c r="E49" s="5">
        <v>11674.69</v>
      </c>
      <c r="F49" s="21">
        <v>0</v>
      </c>
      <c r="G49" s="5">
        <v>0</v>
      </c>
      <c r="H49" s="5">
        <v>0</v>
      </c>
      <c r="I49" s="5">
        <f>6664.83+1464.32</f>
        <v>8129.15</v>
      </c>
      <c r="J49" s="5">
        <v>0</v>
      </c>
      <c r="K49" s="5">
        <v>0</v>
      </c>
      <c r="L49" s="5">
        <v>0</v>
      </c>
      <c r="M49" s="5">
        <v>412.5</v>
      </c>
      <c r="N49" s="5">
        <v>0</v>
      </c>
      <c r="O49" s="14">
        <v>0</v>
      </c>
      <c r="P49" s="35">
        <f t="shared" si="4"/>
        <v>-25219.78</v>
      </c>
    </row>
    <row r="50" spans="1:16">
      <c r="A50" s="31"/>
      <c r="B50" s="30" t="s">
        <v>37</v>
      </c>
      <c r="C50" s="5">
        <v>0</v>
      </c>
      <c r="D50" s="5">
        <v>0</v>
      </c>
      <c r="E50" s="5">
        <v>0</v>
      </c>
      <c r="F50" s="21">
        <v>0</v>
      </c>
      <c r="G50" s="5">
        <v>1055.45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4">
        <v>0</v>
      </c>
      <c r="P50" s="35">
        <f t="shared" si="4"/>
        <v>-1055.45</v>
      </c>
    </row>
    <row r="51" spans="1:16">
      <c r="A51" s="31"/>
      <c r="B51" s="30" t="s">
        <v>38</v>
      </c>
      <c r="C51" s="5">
        <v>65.23</v>
      </c>
      <c r="D51" s="5">
        <v>0</v>
      </c>
      <c r="E51" s="5">
        <f>352.7+303.11+400+267.5+825+300+354.8+910+45</f>
        <v>3758.11</v>
      </c>
      <c r="F51" s="5">
        <f>4914.75-165.07-1647.99+277+47+1952+1323+76+255+3782+800</f>
        <v>11613.69</v>
      </c>
      <c r="G51" s="5">
        <v>7793.37</v>
      </c>
      <c r="H51" s="5">
        <v>3587.15</v>
      </c>
      <c r="I51" s="5">
        <f>578.65+746.22+150+15+1833.17+562.77+165.36+235</f>
        <v>4286.17</v>
      </c>
      <c r="J51" s="5">
        <f>1442.17+505.53+125+581.65+395.47</f>
        <v>3049.8199999999997</v>
      </c>
      <c r="K51" s="5">
        <f>97.62+101.99+235+46.8+313.32</f>
        <v>794.73</v>
      </c>
      <c r="L51" s="5">
        <f>235+80.34</f>
        <v>315.34000000000003</v>
      </c>
      <c r="M51" s="5">
        <f>42.69+235+121.95+78+73.31+28.44+62</f>
        <v>641.3900000000001</v>
      </c>
      <c r="N51" s="5">
        <f>1273.72+235</f>
        <v>1508.72</v>
      </c>
      <c r="O51" s="14">
        <v>20000</v>
      </c>
      <c r="P51" s="35">
        <f t="shared" si="4"/>
        <v>-17413.72</v>
      </c>
    </row>
    <row r="52" spans="1:16">
      <c r="A52" s="31"/>
      <c r="B52" s="30" t="s">
        <v>100</v>
      </c>
      <c r="C52" s="5">
        <f>25000+1295</f>
        <v>26295</v>
      </c>
      <c r="D52" s="5">
        <f>4050+750+200</f>
        <v>5000</v>
      </c>
      <c r="E52" s="5">
        <f>24000+475.48+4000</f>
        <v>28475.48</v>
      </c>
      <c r="F52" s="5">
        <v>2795</v>
      </c>
      <c r="G52" s="5">
        <v>0</v>
      </c>
      <c r="H52" s="5">
        <v>1000</v>
      </c>
      <c r="I52" s="5">
        <f>1000+1995</f>
        <v>2995</v>
      </c>
      <c r="J52" s="5">
        <v>0</v>
      </c>
      <c r="K52" s="5" t="s">
        <v>137</v>
      </c>
      <c r="L52" s="5">
        <v>0</v>
      </c>
      <c r="M52" s="5">
        <v>0</v>
      </c>
      <c r="N52" s="5">
        <v>348</v>
      </c>
      <c r="O52" s="14">
        <v>10000</v>
      </c>
      <c r="P52" s="35">
        <f t="shared" si="4"/>
        <v>-56908.479999999996</v>
      </c>
    </row>
    <row r="53" spans="1:16">
      <c r="A53" s="31"/>
      <c r="B53" s="30" t="s">
        <v>39</v>
      </c>
      <c r="C53" s="5">
        <v>491.55</v>
      </c>
      <c r="D53" s="5">
        <f>450.13+73.7</f>
        <v>523.83000000000004</v>
      </c>
      <c r="E53" s="5">
        <v>37.35</v>
      </c>
      <c r="F53" s="5">
        <f>119.76+10.38+1857</f>
        <v>1987.14</v>
      </c>
      <c r="G53" s="5">
        <v>2865.34</v>
      </c>
      <c r="H53" s="5">
        <v>2865.34</v>
      </c>
      <c r="I53" s="5">
        <f>1115.78+2096.55</f>
        <v>3212.33</v>
      </c>
      <c r="J53" s="5">
        <f>2410.87+1293.12+69.98+69.98+235</f>
        <v>4078.95</v>
      </c>
      <c r="K53" s="5">
        <f>1136.74+1745.82</f>
        <v>2882.56</v>
      </c>
      <c r="L53" s="5">
        <f>62.19+113+1066.8+1215.5</f>
        <v>2457.4899999999998</v>
      </c>
      <c r="M53" s="5">
        <f>516.52+1319.7</f>
        <v>1836.22</v>
      </c>
      <c r="N53" s="5">
        <f>47.2+1377.26</f>
        <v>1424.46</v>
      </c>
      <c r="O53" s="14">
        <v>28000</v>
      </c>
      <c r="P53" s="35">
        <f t="shared" si="4"/>
        <v>3337.4400000000023</v>
      </c>
    </row>
    <row r="54" spans="1:16">
      <c r="A54" s="31"/>
      <c r="B54" s="30" t="s">
        <v>40</v>
      </c>
      <c r="C54" s="5">
        <v>18300</v>
      </c>
      <c r="D54" s="5">
        <f>15000+4515.45</f>
        <v>19515.45</v>
      </c>
      <c r="E54" s="5">
        <v>15000</v>
      </c>
      <c r="F54" s="5">
        <v>15000</v>
      </c>
      <c r="G54" s="5">
        <v>15000</v>
      </c>
      <c r="H54" s="5">
        <v>15000</v>
      </c>
      <c r="I54" s="5">
        <v>15000</v>
      </c>
      <c r="J54" s="5">
        <v>15000</v>
      </c>
      <c r="K54" s="5">
        <f>15000</f>
        <v>15000</v>
      </c>
      <c r="L54" s="5">
        <v>30000</v>
      </c>
      <c r="M54" s="5">
        <v>4779.12</v>
      </c>
      <c r="N54" s="5">
        <v>15000</v>
      </c>
      <c r="O54" s="14">
        <v>180000</v>
      </c>
      <c r="P54" s="35">
        <f t="shared" si="4"/>
        <v>-12594.570000000007</v>
      </c>
    </row>
    <row r="55" spans="1:16">
      <c r="A55" s="31"/>
      <c r="B55" s="30" t="s">
        <v>134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9353.68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4">
        <v>0</v>
      </c>
      <c r="P55" s="35">
        <f t="shared" si="4"/>
        <v>-9353.68</v>
      </c>
    </row>
    <row r="56" spans="1:16" hidden="1">
      <c r="A56" s="31"/>
      <c r="B56" s="30" t="s">
        <v>42</v>
      </c>
      <c r="C56" s="5">
        <v>0</v>
      </c>
      <c r="D56" s="5">
        <v>0</v>
      </c>
      <c r="E56" s="5">
        <v>0</v>
      </c>
      <c r="F56" s="5">
        <v>0</v>
      </c>
      <c r="G56" s="5">
        <v>135</v>
      </c>
      <c r="H56" s="5">
        <v>135</v>
      </c>
      <c r="I56" s="5">
        <v>135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4">
        <v>1620</v>
      </c>
      <c r="P56" s="35">
        <f t="shared" si="4"/>
        <v>1215</v>
      </c>
    </row>
    <row r="57" spans="1:16" hidden="1">
      <c r="A57" s="31"/>
      <c r="B57" s="30" t="s">
        <v>43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4">
        <v>0</v>
      </c>
      <c r="P57" s="35">
        <f t="shared" si="4"/>
        <v>0</v>
      </c>
    </row>
    <row r="58" spans="1:16" hidden="1">
      <c r="A58" s="31"/>
      <c r="B58" s="30" t="s">
        <v>44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4">
        <v>0</v>
      </c>
      <c r="P58" s="35">
        <f t="shared" si="4"/>
        <v>0</v>
      </c>
    </row>
    <row r="59" spans="1:16" hidden="1">
      <c r="A59" s="31"/>
      <c r="B59" s="30" t="s">
        <v>45</v>
      </c>
      <c r="C59" s="5">
        <v>0</v>
      </c>
      <c r="D59" s="5">
        <v>0</v>
      </c>
      <c r="E59" s="5">
        <v>0</v>
      </c>
      <c r="F59" s="5">
        <v>0</v>
      </c>
      <c r="G59" s="5">
        <v>45</v>
      </c>
      <c r="H59" s="5">
        <v>45</v>
      </c>
      <c r="I59" s="5">
        <v>45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v>540</v>
      </c>
      <c r="P59" s="35">
        <f t="shared" si="4"/>
        <v>405</v>
      </c>
    </row>
    <row r="60" spans="1:16" hidden="1">
      <c r="B60" s="9" t="s">
        <v>46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4">
        <v>0</v>
      </c>
      <c r="P60" s="35">
        <f t="shared" si="4"/>
        <v>0</v>
      </c>
    </row>
    <row r="61" spans="1:16">
      <c r="B61" s="9" t="s">
        <v>47</v>
      </c>
      <c r="C61" s="5">
        <v>0</v>
      </c>
      <c r="D61" s="5">
        <v>0</v>
      </c>
      <c r="E61" s="5">
        <v>2500</v>
      </c>
      <c r="F61" s="5">
        <v>0</v>
      </c>
      <c r="G61" s="5">
        <v>1250</v>
      </c>
      <c r="H61" s="5">
        <v>0</v>
      </c>
      <c r="I61" s="5">
        <v>2250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4">
        <v>8000</v>
      </c>
      <c r="P61" s="35">
        <f t="shared" si="4"/>
        <v>2000</v>
      </c>
    </row>
    <row r="62" spans="1:16">
      <c r="B62" s="9" t="s">
        <v>48</v>
      </c>
      <c r="C62" s="5">
        <v>1500</v>
      </c>
      <c r="D62" s="5">
        <v>500</v>
      </c>
      <c r="E62" s="5">
        <v>0</v>
      </c>
      <c r="F62" s="5">
        <f>1250-750+1000</f>
        <v>1500</v>
      </c>
      <c r="G62" s="5">
        <v>1250</v>
      </c>
      <c r="H62" s="5">
        <v>500</v>
      </c>
      <c r="I62" s="5">
        <v>2000</v>
      </c>
      <c r="J62" s="5">
        <v>0</v>
      </c>
      <c r="K62" s="5">
        <f>1000+500+500</f>
        <v>2000</v>
      </c>
      <c r="L62" s="5">
        <v>500</v>
      </c>
      <c r="M62" s="5">
        <f>1000</f>
        <v>1000</v>
      </c>
      <c r="N62" s="5">
        <v>1000</v>
      </c>
      <c r="O62" s="14">
        <v>13000</v>
      </c>
      <c r="P62" s="35">
        <f t="shared" si="4"/>
        <v>1250</v>
      </c>
    </row>
    <row r="63" spans="1:16">
      <c r="B63" s="9" t="s">
        <v>49</v>
      </c>
      <c r="C63" s="5">
        <v>0</v>
      </c>
      <c r="D63" s="5">
        <v>6000</v>
      </c>
      <c r="E63" s="5">
        <v>720</v>
      </c>
      <c r="F63" s="5">
        <v>0</v>
      </c>
      <c r="G63" s="5">
        <v>1170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4">
        <v>0</v>
      </c>
      <c r="P63" s="35">
        <f t="shared" si="4"/>
        <v>-7890</v>
      </c>
    </row>
    <row r="64" spans="1:16">
      <c r="B64" s="9" t="s">
        <v>50</v>
      </c>
      <c r="C64" s="5">
        <v>145.25</v>
      </c>
      <c r="D64" s="5">
        <v>115.5</v>
      </c>
      <c r="E64" s="5">
        <v>167.4</v>
      </c>
      <c r="F64" s="5">
        <v>135.69999999999999</v>
      </c>
      <c r="G64" s="5">
        <v>135.30000000000001</v>
      </c>
      <c r="H64" s="5">
        <v>204.5</v>
      </c>
      <c r="I64" s="5">
        <v>137.94999999999999</v>
      </c>
      <c r="J64" s="5">
        <v>332.7</v>
      </c>
      <c r="K64" s="5">
        <f>77.9+68.48</f>
        <v>146.38</v>
      </c>
      <c r="L64" s="5">
        <f>76.3+63.6</f>
        <v>139.9</v>
      </c>
      <c r="M64" s="5">
        <f>64.5+75.4</f>
        <v>139.9</v>
      </c>
      <c r="N64" s="5">
        <f>75.6+45.8+62.45</f>
        <v>183.85</v>
      </c>
      <c r="O64" s="14">
        <v>2250</v>
      </c>
      <c r="P64" s="35">
        <f t="shared" si="4"/>
        <v>265.67000000000007</v>
      </c>
    </row>
    <row r="65" spans="2:16">
      <c r="B65" s="9" t="s">
        <v>51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4">
        <v>0</v>
      </c>
      <c r="P65" s="35">
        <f t="shared" si="4"/>
        <v>0</v>
      </c>
    </row>
    <row r="66" spans="2:16">
      <c r="B66" s="9" t="s">
        <v>52</v>
      </c>
      <c r="C66" s="5">
        <v>345</v>
      </c>
      <c r="D66" s="5">
        <v>0</v>
      </c>
      <c r="E66" s="5">
        <v>0</v>
      </c>
      <c r="F66" s="5">
        <v>0</v>
      </c>
      <c r="G66" s="5">
        <v>600</v>
      </c>
      <c r="H66" s="5">
        <v>0</v>
      </c>
      <c r="I66" s="5">
        <v>1000</v>
      </c>
      <c r="J66" s="5">
        <v>0</v>
      </c>
      <c r="K66" s="5">
        <v>747</v>
      </c>
      <c r="L66" s="5">
        <v>0</v>
      </c>
      <c r="M66" s="5">
        <v>0</v>
      </c>
      <c r="N66" s="5">
        <v>0</v>
      </c>
      <c r="O66" s="14">
        <v>65948</v>
      </c>
      <c r="P66" s="35">
        <f t="shared" si="4"/>
        <v>63256</v>
      </c>
    </row>
    <row r="67" spans="2:16">
      <c r="B67" s="9" t="s">
        <v>53</v>
      </c>
      <c r="C67" s="5">
        <v>0</v>
      </c>
      <c r="D67" s="5">
        <v>0</v>
      </c>
      <c r="E67" s="5">
        <v>0</v>
      </c>
      <c r="F67" s="5">
        <v>3375</v>
      </c>
      <c r="G67" s="5">
        <v>0</v>
      </c>
      <c r="H67" s="5">
        <v>0</v>
      </c>
      <c r="I67" s="5">
        <v>0</v>
      </c>
      <c r="J67" s="5">
        <v>0</v>
      </c>
      <c r="K67" s="5">
        <v>139</v>
      </c>
      <c r="L67" s="5">
        <v>0</v>
      </c>
      <c r="M67" s="5">
        <v>0</v>
      </c>
      <c r="N67" s="5">
        <v>0</v>
      </c>
      <c r="O67" s="14">
        <v>2000</v>
      </c>
      <c r="P67" s="35">
        <f t="shared" si="4"/>
        <v>-1514</v>
      </c>
    </row>
    <row r="68" spans="2:16">
      <c r="B68" s="9" t="s">
        <v>54</v>
      </c>
      <c r="C68" s="5">
        <v>0</v>
      </c>
      <c r="D68" s="5">
        <v>23.27</v>
      </c>
      <c r="E68" s="5">
        <v>0</v>
      </c>
      <c r="F68" s="5">
        <f>522.02+152+68.46+18+88</f>
        <v>848.48</v>
      </c>
      <c r="G68" s="5">
        <v>101.16</v>
      </c>
      <c r="H68" s="5">
        <v>40.020000000000003</v>
      </c>
      <c r="I68" s="5">
        <f>38.97+208.98</f>
        <v>247.95</v>
      </c>
      <c r="J68" s="5">
        <f>1016.02+18.36</f>
        <v>1034.3799999999999</v>
      </c>
      <c r="K68" s="5">
        <v>0</v>
      </c>
      <c r="L68" s="5">
        <v>42</v>
      </c>
      <c r="M68" s="5">
        <v>18.309999999999999</v>
      </c>
      <c r="N68" s="5">
        <f>1.05+409.79</f>
        <v>410.84000000000003</v>
      </c>
      <c r="O68" s="14">
        <v>1200</v>
      </c>
      <c r="P68" s="35">
        <f t="shared" si="4"/>
        <v>-1566.4099999999999</v>
      </c>
    </row>
    <row r="69" spans="2:16">
      <c r="B69" s="9" t="s">
        <v>55</v>
      </c>
      <c r="C69" s="5">
        <v>191.54</v>
      </c>
      <c r="D69" s="5">
        <v>194.78</v>
      </c>
      <c r="E69" s="5">
        <v>0</v>
      </c>
      <c r="F69" s="5">
        <f>2150+598.16-135.35</f>
        <v>2612.81</v>
      </c>
      <c r="G69" s="5">
        <v>208.42</v>
      </c>
      <c r="H69" s="5">
        <v>804.17</v>
      </c>
      <c r="I69" s="5">
        <f>174+158.22+22.67+104.99</f>
        <v>459.88000000000005</v>
      </c>
      <c r="J69" s="5">
        <f>139.3+0.6</f>
        <v>139.9</v>
      </c>
      <c r="K69" s="5">
        <f>135.08+69.98</f>
        <v>205.06</v>
      </c>
      <c r="L69" s="5">
        <f>223.5+69.98</f>
        <v>293.48</v>
      </c>
      <c r="M69" s="5">
        <f>69.98+65.91</f>
        <v>135.88999999999999</v>
      </c>
      <c r="N69" s="5">
        <v>69.98</v>
      </c>
      <c r="O69" s="14">
        <v>2400</v>
      </c>
      <c r="P69" s="35">
        <f t="shared" si="4"/>
        <v>-2915.9100000000008</v>
      </c>
    </row>
    <row r="70" spans="2:16">
      <c r="B70" s="9" t="s">
        <v>56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4">
        <v>0</v>
      </c>
      <c r="P70" s="35">
        <f t="shared" si="4"/>
        <v>0</v>
      </c>
    </row>
    <row r="71" spans="2:16">
      <c r="B71" s="9" t="s">
        <v>57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4">
        <v>0</v>
      </c>
      <c r="P71" s="35">
        <f t="shared" si="4"/>
        <v>0</v>
      </c>
    </row>
    <row r="72" spans="2:16">
      <c r="B72" s="9" t="s">
        <v>58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4">
        <v>0</v>
      </c>
      <c r="P72" s="35">
        <f t="shared" si="4"/>
        <v>0</v>
      </c>
    </row>
    <row r="73" spans="2:16">
      <c r="B73" s="9" t="s">
        <v>59</v>
      </c>
      <c r="C73" s="5">
        <v>20</v>
      </c>
      <c r="D73" s="5">
        <v>0</v>
      </c>
      <c r="E73" s="5">
        <v>0</v>
      </c>
      <c r="F73" s="5">
        <v>184.57</v>
      </c>
      <c r="G73" s="5">
        <v>36.450000000000003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4">
        <v>0</v>
      </c>
      <c r="P73" s="35">
        <f t="shared" si="4"/>
        <v>-241.01999999999998</v>
      </c>
    </row>
    <row r="74" spans="2:16">
      <c r="B74" s="9" t="s">
        <v>60</v>
      </c>
      <c r="C74" s="5">
        <v>0</v>
      </c>
      <c r="D74" s="5">
        <v>0</v>
      </c>
      <c r="E74" s="5">
        <v>0</v>
      </c>
      <c r="F74" s="5">
        <f>257-187</f>
        <v>70</v>
      </c>
      <c r="G74" s="5">
        <v>1653.81</v>
      </c>
      <c r="H74" s="5">
        <v>1406.81</v>
      </c>
      <c r="I74" s="5">
        <v>0</v>
      </c>
      <c r="J74" s="5">
        <v>46.8</v>
      </c>
      <c r="K74" s="5">
        <v>1369.5</v>
      </c>
      <c r="L74" s="5">
        <v>0</v>
      </c>
      <c r="M74" s="5">
        <v>624.20000000000005</v>
      </c>
      <c r="N74" s="5">
        <v>0</v>
      </c>
      <c r="O74" s="14">
        <v>18475</v>
      </c>
      <c r="P74" s="35">
        <f t="shared" si="4"/>
        <v>13303.880000000001</v>
      </c>
    </row>
    <row r="75" spans="2:16">
      <c r="B75" s="9" t="s">
        <v>61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14">
        <v>0</v>
      </c>
      <c r="P75" s="35">
        <f t="shared" si="4"/>
        <v>0</v>
      </c>
    </row>
    <row r="76" spans="2:16">
      <c r="B76" s="9" t="s">
        <v>62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14">
        <v>0</v>
      </c>
      <c r="P76" s="35">
        <f t="shared" si="4"/>
        <v>0</v>
      </c>
    </row>
    <row r="77" spans="2:16">
      <c r="B77" s="9" t="s">
        <v>63</v>
      </c>
      <c r="C77" s="5">
        <f>160.02+164.34</f>
        <v>324.36</v>
      </c>
      <c r="D77" s="5">
        <f>111.6+198.48</f>
        <v>310.08</v>
      </c>
      <c r="E77" s="5">
        <v>0</v>
      </c>
      <c r="F77" s="5">
        <v>0</v>
      </c>
      <c r="G77" s="5">
        <v>3040.26</v>
      </c>
      <c r="H77" s="5">
        <v>1832.91</v>
      </c>
      <c r="I77" s="5">
        <f>272.88+328.12+420.58+900+480</f>
        <v>2401.58</v>
      </c>
      <c r="J77" s="5">
        <f>395.18+395.18+496.08+641.33+304.5+962+939</f>
        <v>4133.2700000000004</v>
      </c>
      <c r="K77" s="5">
        <f>320+500+320+500+500+480+298.42+900+130+545.76+1268.66-500+50</f>
        <v>5312.84</v>
      </c>
      <c r="L77" s="5">
        <f>900+318.9+480+357.28+154.16+710.5+1640</f>
        <v>4560.84</v>
      </c>
      <c r="M77" s="5">
        <f>330+130+100+710.5+159.59+115.38</f>
        <v>1545.4699999999998</v>
      </c>
      <c r="N77" s="5">
        <f>320+500+710.5+533.89+292.5+126.4</f>
        <v>2483.29</v>
      </c>
      <c r="O77" s="14">
        <v>10000</v>
      </c>
      <c r="P77" s="35">
        <f t="shared" si="4"/>
        <v>-15944.900000000005</v>
      </c>
    </row>
    <row r="78" spans="2:16">
      <c r="B78" s="9" t="s">
        <v>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1533</v>
      </c>
      <c r="I78" s="5">
        <v>219</v>
      </c>
      <c r="J78" s="5">
        <v>0</v>
      </c>
      <c r="K78" s="5">
        <v>2463</v>
      </c>
      <c r="L78" s="5">
        <v>219</v>
      </c>
      <c r="M78" s="5">
        <v>0</v>
      </c>
      <c r="N78" s="5">
        <v>0</v>
      </c>
      <c r="O78" s="14">
        <v>0</v>
      </c>
      <c r="P78" s="35">
        <f t="shared" si="4"/>
        <v>-4434</v>
      </c>
    </row>
    <row r="79" spans="2:16">
      <c r="B79" s="9" t="s">
        <v>65</v>
      </c>
      <c r="C79" s="5">
        <v>0</v>
      </c>
      <c r="D79" s="5">
        <v>1990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1990</v>
      </c>
      <c r="O79" s="14">
        <v>1990</v>
      </c>
      <c r="P79" s="35">
        <f t="shared" si="4"/>
        <v>-1990</v>
      </c>
    </row>
    <row r="80" spans="2:16">
      <c r="B80" s="9" t="s">
        <v>66</v>
      </c>
      <c r="C80" s="5">
        <v>0</v>
      </c>
      <c r="D80" s="5">
        <v>0</v>
      </c>
      <c r="E80" s="5">
        <f>2135+230</f>
        <v>2365</v>
      </c>
      <c r="F80" s="5">
        <v>1863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14">
        <v>6952</v>
      </c>
      <c r="P80" s="35">
        <f t="shared" si="4"/>
        <v>2724</v>
      </c>
    </row>
    <row r="81" spans="2:16">
      <c r="B81" s="9" t="s">
        <v>67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4">
        <v>0</v>
      </c>
      <c r="P81" s="35">
        <f t="shared" si="4"/>
        <v>0</v>
      </c>
    </row>
    <row r="82" spans="2:16">
      <c r="B82" s="9" t="s">
        <v>68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4">
        <v>0</v>
      </c>
      <c r="P82" s="35">
        <f t="shared" si="4"/>
        <v>0</v>
      </c>
    </row>
    <row r="83" spans="2:16">
      <c r="B83" s="9" t="s">
        <v>69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80.010000000000005</v>
      </c>
      <c r="K83" s="5">
        <v>0</v>
      </c>
      <c r="L83" s="5">
        <v>0</v>
      </c>
      <c r="M83" s="5">
        <v>0</v>
      </c>
      <c r="N83" s="5">
        <v>1250</v>
      </c>
      <c r="O83" s="14">
        <v>0</v>
      </c>
      <c r="P83" s="35">
        <f t="shared" si="4"/>
        <v>-1330.01</v>
      </c>
    </row>
    <row r="84" spans="2:16">
      <c r="B84" s="9" t="s">
        <v>70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>
        <v>16384</v>
      </c>
      <c r="P84" s="35">
        <f t="shared" si="4"/>
        <v>16384</v>
      </c>
    </row>
    <row r="85" spans="2:16">
      <c r="B85" s="9" t="s">
        <v>71</v>
      </c>
      <c r="C85" s="5">
        <v>0</v>
      </c>
      <c r="D85" s="5">
        <v>0</v>
      </c>
      <c r="E85" s="5">
        <v>5931.99</v>
      </c>
      <c r="F85" s="5">
        <f>715+120</f>
        <v>835</v>
      </c>
      <c r="G85" s="5">
        <v>0</v>
      </c>
      <c r="H85" s="5">
        <v>200</v>
      </c>
      <c r="I85" s="5">
        <v>0</v>
      </c>
      <c r="J85" s="5">
        <v>0</v>
      </c>
      <c r="K85" s="5">
        <v>0</v>
      </c>
      <c r="L85" s="5">
        <v>0</v>
      </c>
      <c r="M85" s="5">
        <v>475</v>
      </c>
      <c r="N85" s="5">
        <f>305+315+6000+352</f>
        <v>6972</v>
      </c>
      <c r="O85" s="14">
        <v>0</v>
      </c>
      <c r="P85" s="35">
        <f t="shared" si="4"/>
        <v>-14413.99</v>
      </c>
    </row>
    <row r="86" spans="2:16">
      <c r="B86" s="9" t="s">
        <v>136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500</v>
      </c>
      <c r="J86" s="5">
        <v>0</v>
      </c>
      <c r="K86" s="5">
        <f>2500+1000</f>
        <v>3500</v>
      </c>
      <c r="L86" s="5">
        <f>3411.7+3600</f>
        <v>7011.7</v>
      </c>
      <c r="M86" s="5">
        <v>3972.17</v>
      </c>
      <c r="N86" s="5">
        <v>0</v>
      </c>
      <c r="O86" s="14">
        <v>39800</v>
      </c>
      <c r="P86" s="35">
        <f t="shared" si="4"/>
        <v>24816.129999999997</v>
      </c>
    </row>
    <row r="87" spans="2:16">
      <c r="B87" s="9" t="s">
        <v>73</v>
      </c>
      <c r="C87" s="5">
        <v>0</v>
      </c>
      <c r="D87" s="5">
        <v>900</v>
      </c>
      <c r="E87" s="5">
        <v>0</v>
      </c>
      <c r="F87" s="5">
        <f>155+280+108</f>
        <v>543</v>
      </c>
      <c r="G87" s="5">
        <v>0</v>
      </c>
      <c r="H87" s="5">
        <v>1848.43</v>
      </c>
      <c r="I87" s="5">
        <v>0</v>
      </c>
      <c r="J87" s="5">
        <v>365</v>
      </c>
      <c r="K87" s="5">
        <v>0</v>
      </c>
      <c r="L87" s="5">
        <f>1200+1200+1036.83</f>
        <v>3436.83</v>
      </c>
      <c r="M87" s="5">
        <f>2884.66+10.35+709.67+96.67</f>
        <v>3701.35</v>
      </c>
      <c r="N87" s="5">
        <v>525</v>
      </c>
      <c r="O87" s="14">
        <v>1424</v>
      </c>
      <c r="P87" s="35">
        <f t="shared" si="4"/>
        <v>-9895.61</v>
      </c>
    </row>
    <row r="88" spans="2:16">
      <c r="B88" s="9" t="s">
        <v>74</v>
      </c>
      <c r="C88" s="5">
        <v>0</v>
      </c>
      <c r="D88" s="5">
        <v>0</v>
      </c>
      <c r="E88" s="5">
        <v>0</v>
      </c>
      <c r="F88" s="5">
        <v>3200</v>
      </c>
      <c r="G88" s="5">
        <f>7460-5940</f>
        <v>1520</v>
      </c>
      <c r="H88" s="5">
        <v>6150</v>
      </c>
      <c r="I88" s="5">
        <f>1527.5+210+600+1434+913.5</f>
        <v>4685</v>
      </c>
      <c r="J88" s="5">
        <f>2613.25+1007.5+420</f>
        <v>4040.75</v>
      </c>
      <c r="K88" s="5">
        <f>2081.75+420+110</f>
        <v>2611.75</v>
      </c>
      <c r="L88" s="5">
        <f>1805.25+525</f>
        <v>2330.25</v>
      </c>
      <c r="M88" s="5">
        <f>840+1503.5</f>
        <v>2343.5</v>
      </c>
      <c r="N88" s="5">
        <f>2152.21+4952.75+1890</f>
        <v>8994.9599999999991</v>
      </c>
      <c r="O88" s="14">
        <v>5592</v>
      </c>
      <c r="P88" s="35">
        <f t="shared" si="4"/>
        <v>-30284.21</v>
      </c>
    </row>
    <row r="89" spans="2:16">
      <c r="B89" s="9" t="s">
        <v>75</v>
      </c>
      <c r="C89" s="5">
        <v>0</v>
      </c>
      <c r="D89" s="5">
        <v>0</v>
      </c>
      <c r="E89" s="5">
        <v>190.74</v>
      </c>
      <c r="F89" s="5">
        <v>20</v>
      </c>
      <c r="G89" s="5">
        <v>354.5</v>
      </c>
      <c r="H89" s="5">
        <v>68.69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4">
        <v>12000</v>
      </c>
      <c r="P89" s="35">
        <f t="shared" si="4"/>
        <v>11366.07</v>
      </c>
    </row>
    <row r="90" spans="2:16">
      <c r="B90" s="9" t="s">
        <v>76</v>
      </c>
      <c r="C90" s="5">
        <v>1154.69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182.27</v>
      </c>
      <c r="K90" s="5">
        <v>42</v>
      </c>
      <c r="L90" s="5">
        <v>0</v>
      </c>
      <c r="M90" s="5">
        <v>0</v>
      </c>
      <c r="N90" s="5">
        <f>155.27+20.88+62.2</f>
        <v>238.35000000000002</v>
      </c>
      <c r="O90" s="14">
        <v>2500</v>
      </c>
      <c r="P90" s="35">
        <f t="shared" si="4"/>
        <v>882.69</v>
      </c>
    </row>
    <row r="91" spans="2:16">
      <c r="B91" s="9" t="s">
        <v>77</v>
      </c>
      <c r="C91" s="5">
        <v>0</v>
      </c>
      <c r="D91" s="5">
        <f>429.66+4026</f>
        <v>4455.66</v>
      </c>
      <c r="E91" s="5">
        <f>11089.46+3083.72+112.73</f>
        <v>14285.909999999998</v>
      </c>
      <c r="F91" s="5">
        <f>6443-43+342.27+1920+401+220+159</f>
        <v>9442.27</v>
      </c>
      <c r="G91" s="5">
        <v>2313.1</v>
      </c>
      <c r="H91" s="5">
        <v>5131.66</v>
      </c>
      <c r="I91" s="5">
        <f>2500+65.88+167.31+407.55+327.91+137.77+61.35+15</f>
        <v>3682.77</v>
      </c>
      <c r="J91" s="5">
        <f>4050+236.5+408.02+159.9+160.71+55.08</f>
        <v>5070.21</v>
      </c>
      <c r="K91" s="5">
        <f>320.61+231.11+505.3</f>
        <v>1057.02</v>
      </c>
      <c r="L91" s="5">
        <f>363.72+58.48+150.4+400+50+1318.52</f>
        <v>2341.12</v>
      </c>
      <c r="M91" s="5">
        <f>110+681.97+93.09+579.85</f>
        <v>1464.91</v>
      </c>
      <c r="N91" s="5">
        <f>591.02+2500+1221.75</f>
        <v>4312.7700000000004</v>
      </c>
      <c r="O91" s="14">
        <v>55000</v>
      </c>
      <c r="P91" s="35">
        <f t="shared" si="4"/>
        <v>1442.6000000000058</v>
      </c>
    </row>
    <row r="92" spans="2:16">
      <c r="B92" s="9" t="s">
        <v>78</v>
      </c>
      <c r="C92" s="5">
        <v>0</v>
      </c>
      <c r="D92" s="5">
        <v>0</v>
      </c>
      <c r="E92" s="5">
        <f>434.47+1272.7</f>
        <v>1707.17</v>
      </c>
      <c r="F92" s="5">
        <v>6093.93</v>
      </c>
      <c r="G92" s="5">
        <v>2094.0700000000002</v>
      </c>
      <c r="H92" s="5">
        <v>990.61</v>
      </c>
      <c r="I92" s="5">
        <v>46.29</v>
      </c>
      <c r="J92" s="5">
        <f>589.28+92.46</f>
        <v>681.74</v>
      </c>
      <c r="K92" s="5">
        <v>0</v>
      </c>
      <c r="L92" s="5">
        <v>81.93</v>
      </c>
      <c r="M92" s="5">
        <v>491.79</v>
      </c>
      <c r="N92" s="5">
        <v>635.70000000000005</v>
      </c>
      <c r="O92" s="14">
        <v>9500</v>
      </c>
      <c r="P92" s="35">
        <f t="shared" si="4"/>
        <v>-3323.2300000000032</v>
      </c>
    </row>
    <row r="93" spans="2:16">
      <c r="B93" s="9" t="s">
        <v>79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4">
        <v>0</v>
      </c>
      <c r="P93" s="35">
        <f t="shared" si="4"/>
        <v>0</v>
      </c>
    </row>
    <row r="94" spans="2:16">
      <c r="B94" s="9" t="s">
        <v>80</v>
      </c>
      <c r="C94" s="5">
        <v>0</v>
      </c>
      <c r="D94" s="5">
        <v>525.17999999999995</v>
      </c>
      <c r="E94" s="5">
        <v>655.41</v>
      </c>
      <c r="F94" s="5">
        <v>871.94</v>
      </c>
      <c r="G94" s="5">
        <v>0</v>
      </c>
      <c r="H94" s="5">
        <v>0</v>
      </c>
      <c r="I94" s="5">
        <v>79.989999999999995</v>
      </c>
      <c r="J94" s="5">
        <f>4039+84+247.99+123.12</f>
        <v>4494.1099999999997</v>
      </c>
      <c r="K94" s="5">
        <v>0</v>
      </c>
      <c r="L94" s="5">
        <v>0</v>
      </c>
      <c r="M94" s="5">
        <v>0</v>
      </c>
      <c r="N94" s="5">
        <v>0</v>
      </c>
      <c r="O94" s="14">
        <v>25000</v>
      </c>
      <c r="P94" s="35">
        <f t="shared" si="4"/>
        <v>18373.370000000003</v>
      </c>
    </row>
    <row r="95" spans="2:16" hidden="1">
      <c r="B95" s="9" t="s">
        <v>81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4">
        <v>6000</v>
      </c>
      <c r="P95" s="35">
        <f t="shared" si="4"/>
        <v>6000</v>
      </c>
    </row>
    <row r="96" spans="2:16">
      <c r="B96" s="9" t="s">
        <v>82</v>
      </c>
      <c r="C96" s="5">
        <v>5275</v>
      </c>
      <c r="D96" s="5">
        <f>339.28+65.1</f>
        <v>404.38</v>
      </c>
      <c r="E96" s="5">
        <v>0</v>
      </c>
      <c r="F96" s="5">
        <v>800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f>615.49</f>
        <v>615.49</v>
      </c>
      <c r="M96" s="5">
        <v>0</v>
      </c>
      <c r="N96" s="5">
        <v>0</v>
      </c>
      <c r="O96" s="14">
        <v>5275</v>
      </c>
      <c r="P96" s="35">
        <f t="shared" si="4"/>
        <v>-1819.87</v>
      </c>
    </row>
    <row r="97" spans="1:16">
      <c r="B97" s="9" t="s">
        <v>83</v>
      </c>
      <c r="C97" s="5">
        <v>0</v>
      </c>
      <c r="D97" s="5">
        <v>0</v>
      </c>
      <c r="E97" s="5">
        <f>1464.42+20</f>
        <v>1484.42</v>
      </c>
      <c r="F97" s="5">
        <v>1512.42</v>
      </c>
      <c r="G97" s="5">
        <f>1326.29-800</f>
        <v>526.29</v>
      </c>
      <c r="H97" s="5">
        <v>1856.27</v>
      </c>
      <c r="I97" s="5">
        <f>216.12+920</f>
        <v>1136.1199999999999</v>
      </c>
      <c r="J97" s="5">
        <f>534.79+35+93.58+461.38+734+7.19</f>
        <v>1865.94</v>
      </c>
      <c r="K97" s="5">
        <f>474.86+300+644.6</f>
        <v>1419.46</v>
      </c>
      <c r="L97" s="5">
        <v>0</v>
      </c>
      <c r="M97" s="5">
        <v>420.53</v>
      </c>
      <c r="N97" s="5">
        <f>571.54+640.5+70</f>
        <v>1282.04</v>
      </c>
      <c r="O97" s="14">
        <v>12000</v>
      </c>
      <c r="P97" s="35">
        <f t="shared" si="4"/>
        <v>496.51000000000204</v>
      </c>
    </row>
    <row r="98" spans="1:16">
      <c r="B98" s="9" t="s">
        <v>84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4">
        <v>4000</v>
      </c>
      <c r="P98" s="35">
        <f t="shared" si="4"/>
        <v>4000</v>
      </c>
    </row>
    <row r="99" spans="1:16">
      <c r="B99" s="9" t="s">
        <v>85</v>
      </c>
      <c r="C99" s="5">
        <v>34.85</v>
      </c>
      <c r="D99" s="5">
        <v>0</v>
      </c>
      <c r="E99" s="5">
        <f>63.05+819+597+651+472+633</f>
        <v>3235.05</v>
      </c>
      <c r="F99" s="5">
        <f>4147.9+419.58+154.55</f>
        <v>4722.03</v>
      </c>
      <c r="G99" s="5">
        <f>2547.42-375.42</f>
        <v>2172</v>
      </c>
      <c r="H99" s="5">
        <v>3266.88</v>
      </c>
      <c r="I99" s="5">
        <f>417+576+139+417+215.1+598+384</f>
        <v>2746.1</v>
      </c>
      <c r="J99" s="5">
        <f>549+537+206.22+543+392</f>
        <v>2227.2200000000003</v>
      </c>
      <c r="K99" s="5">
        <f>336+1005+122.5+266.76+528+43</f>
        <v>2301.2600000000002</v>
      </c>
      <c r="L99" s="5">
        <f>513+50+376+504+200.42+510+272+19.5+10</f>
        <v>2454.92</v>
      </c>
      <c r="M99" s="5">
        <f>471+495+495+202.84+522+696+384+11.35</f>
        <v>3277.19</v>
      </c>
      <c r="N99" s="5">
        <f>483+519+264+72+321.79+450+33.73+100</f>
        <v>2243.52</v>
      </c>
      <c r="O99" s="14">
        <f>SUM(C99:N99)</f>
        <v>28681.019999999997</v>
      </c>
      <c r="P99" s="35">
        <f t="shared" ref="P99:P105" si="6">O99-SUM(C99:N99)</f>
        <v>0</v>
      </c>
    </row>
    <row r="100" spans="1:16">
      <c r="B100" s="9" t="s">
        <v>86</v>
      </c>
      <c r="C100" s="5">
        <v>150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4">
        <v>0</v>
      </c>
      <c r="P100" s="35">
        <f t="shared" si="6"/>
        <v>-150</v>
      </c>
    </row>
    <row r="101" spans="1:16">
      <c r="B101" s="9" t="s">
        <v>87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250</v>
      </c>
      <c r="L101" s="5">
        <v>0</v>
      </c>
      <c r="M101" s="5">
        <v>0</v>
      </c>
      <c r="N101" s="5">
        <v>0</v>
      </c>
      <c r="O101" s="14">
        <v>0</v>
      </c>
      <c r="P101" s="35">
        <f t="shared" si="6"/>
        <v>-250</v>
      </c>
    </row>
    <row r="102" spans="1:16">
      <c r="B102" s="9" t="s">
        <v>88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594</v>
      </c>
      <c r="I102" s="5">
        <v>0</v>
      </c>
      <c r="J102" s="5">
        <v>0</v>
      </c>
      <c r="K102" s="5">
        <v>0</v>
      </c>
      <c r="L102" s="5">
        <v>0</v>
      </c>
      <c r="M102" s="5">
        <v>637.79</v>
      </c>
      <c r="N102" s="5">
        <v>0</v>
      </c>
      <c r="O102" s="14">
        <v>1089</v>
      </c>
      <c r="P102" s="35">
        <f t="shared" si="6"/>
        <v>-142.78999999999996</v>
      </c>
    </row>
    <row r="103" spans="1:16">
      <c r="B103" s="9" t="s">
        <v>89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218.5</v>
      </c>
      <c r="L103" s="5">
        <v>628</v>
      </c>
      <c r="M103" s="5">
        <v>0</v>
      </c>
      <c r="N103" s="5">
        <f>175+700</f>
        <v>875</v>
      </c>
      <c r="O103" s="14">
        <v>1650</v>
      </c>
      <c r="P103" s="35">
        <f t="shared" si="6"/>
        <v>-71.5</v>
      </c>
    </row>
    <row r="104" spans="1:16">
      <c r="B104" s="9" t="s">
        <v>90</v>
      </c>
      <c r="C104" s="5">
        <v>0</v>
      </c>
      <c r="D104" s="5">
        <v>0</v>
      </c>
      <c r="E104" s="5">
        <v>0</v>
      </c>
      <c r="F104" s="5">
        <v>1605.75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4">
        <v>0</v>
      </c>
      <c r="P104" s="35">
        <f t="shared" si="6"/>
        <v>-1605.75</v>
      </c>
    </row>
    <row r="105" spans="1:16">
      <c r="B105" s="9" t="s">
        <v>91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16">
        <v>0</v>
      </c>
      <c r="P105" s="35">
        <f t="shared" si="6"/>
        <v>0</v>
      </c>
    </row>
    <row r="106" spans="1:16">
      <c r="B106" s="9" t="s">
        <v>102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-6992.62</v>
      </c>
      <c r="O106" s="14"/>
      <c r="P106" s="35"/>
    </row>
    <row r="107" spans="1:16">
      <c r="A107" t="s">
        <v>97</v>
      </c>
      <c r="B107" s="9"/>
      <c r="C107" s="6">
        <f>SUM(C47:C106)</f>
        <v>93066.04</v>
      </c>
      <c r="D107" s="6">
        <f t="shared" ref="D107:N107" si="7">SUM(D47:D106)</f>
        <v>79184.040000000008</v>
      </c>
      <c r="E107" s="6">
        <f t="shared" si="7"/>
        <v>146651.17000000001</v>
      </c>
      <c r="F107" s="6">
        <f t="shared" si="7"/>
        <v>138449.01</v>
      </c>
      <c r="G107" s="6">
        <f t="shared" si="7"/>
        <v>108131.03</v>
      </c>
      <c r="H107" s="6">
        <f t="shared" si="7"/>
        <v>123945.02</v>
      </c>
      <c r="I107" s="6">
        <f t="shared" si="7"/>
        <v>121223.86000000002</v>
      </c>
      <c r="J107" s="6">
        <f t="shared" si="7"/>
        <v>103396.17000000001</v>
      </c>
      <c r="K107" s="6">
        <f t="shared" si="7"/>
        <v>101293.67</v>
      </c>
      <c r="L107" s="6">
        <f t="shared" si="7"/>
        <v>113091.18999999997</v>
      </c>
      <c r="M107" s="6">
        <f t="shared" si="7"/>
        <v>85875.34</v>
      </c>
      <c r="N107" s="6">
        <f t="shared" si="7"/>
        <v>106491.04000000001</v>
      </c>
      <c r="O107" s="6">
        <v>0</v>
      </c>
      <c r="P107" s="35">
        <v>0</v>
      </c>
    </row>
    <row r="108" spans="1:16">
      <c r="A108" t="s">
        <v>104</v>
      </c>
      <c r="B108" s="10"/>
      <c r="C108" s="7">
        <f t="shared" ref="C108:N108" si="8">C26-C107</f>
        <v>66788.289999999994</v>
      </c>
      <c r="D108" s="7">
        <f t="shared" si="8"/>
        <v>34774.249999999985</v>
      </c>
      <c r="E108" s="7">
        <f t="shared" si="8"/>
        <v>238559.73</v>
      </c>
      <c r="F108" s="7">
        <f t="shared" si="8"/>
        <v>111411.82999999999</v>
      </c>
      <c r="G108" s="7">
        <f t="shared" si="8"/>
        <v>82551.50999999998</v>
      </c>
      <c r="H108" s="7">
        <f t="shared" si="8"/>
        <v>255157.65000000002</v>
      </c>
      <c r="I108" s="7">
        <f t="shared" si="8"/>
        <v>161845.09</v>
      </c>
      <c r="J108" s="7">
        <f t="shared" si="8"/>
        <v>92688.15</v>
      </c>
      <c r="K108" s="7">
        <f t="shared" si="8"/>
        <v>320507.14999999997</v>
      </c>
      <c r="L108" s="7">
        <f t="shared" si="8"/>
        <v>211588.71</v>
      </c>
      <c r="M108" s="7">
        <f t="shared" si="8"/>
        <v>176680.11999999997</v>
      </c>
      <c r="N108" s="7">
        <f t="shared" si="8"/>
        <v>286956.82999999996</v>
      </c>
      <c r="O108" s="7" t="s">
        <v>92</v>
      </c>
      <c r="P108" s="35"/>
    </row>
    <row r="109" spans="1:16">
      <c r="B109" s="8"/>
      <c r="O109" s="13"/>
    </row>
    <row r="110" spans="1:16">
      <c r="B110" s="8"/>
      <c r="O110" s="13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  <c r="O182" s="15"/>
    </row>
    <row r="183" spans="2:15">
      <c r="B183" s="8"/>
      <c r="O183" s="15"/>
    </row>
    <row r="184" spans="2:15">
      <c r="B184" s="8"/>
      <c r="O184" s="15"/>
    </row>
    <row r="185" spans="2:15">
      <c r="B185" s="8"/>
      <c r="O185" s="15"/>
    </row>
    <row r="186" spans="2:15">
      <c r="B186" s="8"/>
      <c r="O186" s="15"/>
    </row>
    <row r="187" spans="2:15">
      <c r="B187" s="8"/>
      <c r="O187" s="15"/>
    </row>
    <row r="188" spans="2:15">
      <c r="B188" s="8"/>
      <c r="O188" s="15"/>
    </row>
    <row r="189" spans="2:15">
      <c r="B189" s="8"/>
      <c r="O189" s="15"/>
    </row>
    <row r="190" spans="2:15">
      <c r="B190" s="8"/>
      <c r="O190" s="15"/>
    </row>
    <row r="191" spans="2:15">
      <c r="B191" s="8"/>
      <c r="O191" s="15"/>
    </row>
    <row r="192" spans="2:15">
      <c r="B192" s="8"/>
      <c r="O192" s="15"/>
    </row>
    <row r="193" spans="2:15">
      <c r="B193" s="8"/>
      <c r="O193" s="15"/>
    </row>
    <row r="194" spans="2:15">
      <c r="B194" s="8"/>
      <c r="O194" s="15"/>
    </row>
    <row r="195" spans="2:15">
      <c r="B195" s="8"/>
      <c r="O195" s="15"/>
    </row>
    <row r="196" spans="2:15">
      <c r="B196" s="8"/>
      <c r="O196" s="15"/>
    </row>
    <row r="197" spans="2:15">
      <c r="B197" s="8"/>
      <c r="O197" s="15"/>
    </row>
    <row r="198" spans="2:15">
      <c r="B198" s="8"/>
    </row>
    <row r="199" spans="2:15">
      <c r="B199" s="8"/>
    </row>
    <row r="200" spans="2:15">
      <c r="B200" s="8"/>
    </row>
    <row r="201" spans="2:15">
      <c r="B201" s="8"/>
    </row>
    <row r="202" spans="2:15">
      <c r="B202" s="8"/>
    </row>
    <row r="203" spans="2:15">
      <c r="B203" s="8"/>
    </row>
    <row r="204" spans="2:15">
      <c r="B204" s="8"/>
    </row>
    <row r="205" spans="2:15">
      <c r="B205" s="8"/>
    </row>
    <row r="206" spans="2:15">
      <c r="B206" s="8"/>
    </row>
    <row r="207" spans="2:15">
      <c r="B207" s="8"/>
    </row>
    <row r="208" spans="2:15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208"/>
  <sheetViews>
    <sheetView zoomScaleNormal="100" workbookViewId="0">
      <selection sqref="A1:N1"/>
    </sheetView>
  </sheetViews>
  <sheetFormatPr defaultColWidth="11.42578125" defaultRowHeight="12.75"/>
  <cols>
    <col min="1" max="1" width="8.7109375" customWidth="1"/>
    <col min="2" max="2" width="15.7109375" customWidth="1"/>
    <col min="3" max="3" width="11.42578125" customWidth="1"/>
    <col min="4" max="4" width="12" customWidth="1"/>
    <col min="5" max="5" width="12.7109375" customWidth="1"/>
    <col min="6" max="6" width="13" customWidth="1"/>
    <col min="7" max="7" width="12.28515625" customWidth="1"/>
    <col min="8" max="9" width="13.42578125" customWidth="1"/>
    <col min="10" max="10" width="12.42578125" customWidth="1"/>
    <col min="11" max="11" width="13.28515625" customWidth="1"/>
    <col min="12" max="12" width="12.140625" customWidth="1"/>
    <col min="13" max="13" width="12.42578125" customWidth="1"/>
    <col min="14" max="14" width="12.7109375" customWidth="1"/>
    <col min="15" max="16" width="15.710937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337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/>
      <c r="C8">
        <v>2</v>
      </c>
      <c r="D8">
        <v>3</v>
      </c>
      <c r="E8">
        <v>2</v>
      </c>
      <c r="F8">
        <v>2</v>
      </c>
      <c r="G8">
        <v>2</v>
      </c>
      <c r="H8">
        <v>2</v>
      </c>
      <c r="I8">
        <v>3</v>
      </c>
      <c r="J8">
        <v>2</v>
      </c>
      <c r="K8">
        <v>2</v>
      </c>
      <c r="L8">
        <v>2</v>
      </c>
      <c r="M8">
        <v>2</v>
      </c>
      <c r="N8">
        <v>2</v>
      </c>
    </row>
    <row r="9" spans="1:16">
      <c r="B9" s="8"/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</row>
    <row r="11" spans="1:16">
      <c r="B11" s="8"/>
      <c r="C11" s="25" t="s">
        <v>15</v>
      </c>
      <c r="D11" s="25" t="s">
        <v>15</v>
      </c>
      <c r="E11" s="25" t="s">
        <v>15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15</v>
      </c>
      <c r="M11" s="25" t="s">
        <v>15</v>
      </c>
      <c r="N11" s="25" t="s">
        <v>15</v>
      </c>
    </row>
    <row r="12" spans="1:16" ht="15">
      <c r="A12" s="15" t="s">
        <v>95</v>
      </c>
      <c r="B12" s="8"/>
      <c r="C12" s="121">
        <f ca="1">'Cash Flow 2017'!N92</f>
        <v>3761811.9379427554</v>
      </c>
      <c r="D12" s="20">
        <f t="shared" ref="D12:N12" ca="1" si="0">C92</f>
        <v>3356559.5345879095</v>
      </c>
      <c r="E12" s="20">
        <f t="shared" ca="1" si="0"/>
        <v>2735195.1782584167</v>
      </c>
      <c r="F12" s="20">
        <f t="shared" ca="1" si="0"/>
        <v>4241439.6399115641</v>
      </c>
      <c r="G12" s="20">
        <f t="shared" ca="1" si="0"/>
        <v>3740880.8245618558</v>
      </c>
      <c r="H12" s="20">
        <f t="shared" ca="1" si="0"/>
        <v>3218204.7172600417</v>
      </c>
      <c r="I12" s="20">
        <f t="shared" ca="1" si="0"/>
        <v>4782507.6810486838</v>
      </c>
      <c r="J12" s="20">
        <f t="shared" ca="1" si="0"/>
        <v>4127659.3566691596</v>
      </c>
      <c r="K12" s="20">
        <f t="shared" ca="1" si="0"/>
        <v>3636062.7279192931</v>
      </c>
      <c r="L12" s="20">
        <f t="shared" ca="1" si="0"/>
        <v>5198448.6549817082</v>
      </c>
      <c r="M12" s="20">
        <f t="shared" ca="1" si="0"/>
        <v>4727401.4662751323</v>
      </c>
      <c r="N12" s="20">
        <f t="shared" ca="1" si="0"/>
        <v>4349614.0822160589</v>
      </c>
    </row>
    <row r="13" spans="1:16">
      <c r="A13" s="4" t="s">
        <v>92</v>
      </c>
      <c r="B13" s="8"/>
    </row>
    <row r="14" spans="1:16">
      <c r="B14" s="8"/>
    </row>
    <row r="15" spans="1:16">
      <c r="A15" s="38" t="s">
        <v>143</v>
      </c>
      <c r="B15" s="8"/>
    </row>
    <row r="16" spans="1:16">
      <c r="A16">
        <v>640</v>
      </c>
      <c r="B16" s="9" t="s">
        <v>17</v>
      </c>
      <c r="C16" s="26">
        <v>0</v>
      </c>
      <c r="D16" s="26">
        <v>0</v>
      </c>
      <c r="E16" s="26">
        <f>A16*(12400/4)*1.02*1.02</f>
        <v>2064153.6000000001</v>
      </c>
      <c r="F16" s="26">
        <v>0</v>
      </c>
      <c r="G16" s="26">
        <v>0</v>
      </c>
      <c r="H16" s="26">
        <f>E16</f>
        <v>2064153.6000000001</v>
      </c>
      <c r="I16" s="26">
        <v>0</v>
      </c>
      <c r="J16" s="26">
        <v>0</v>
      </c>
      <c r="K16" s="26">
        <f>H16</f>
        <v>2064153.6000000001</v>
      </c>
      <c r="L16" s="26">
        <v>0</v>
      </c>
      <c r="M16" s="26">
        <v>0</v>
      </c>
      <c r="N16" s="26">
        <f>K16</f>
        <v>2064153.6000000001</v>
      </c>
      <c r="O16" s="37">
        <f>SUM(C16:N16)</f>
        <v>8256614.4000000004</v>
      </c>
      <c r="P16" t="s">
        <v>138</v>
      </c>
    </row>
    <row r="17" spans="1:16">
      <c r="B17" s="9" t="s">
        <v>178</v>
      </c>
      <c r="M17" s="114">
        <v>27146</v>
      </c>
      <c r="O17" s="37">
        <f>SUM(C17:N17)</f>
        <v>27146</v>
      </c>
      <c r="P17" t="s">
        <v>139</v>
      </c>
    </row>
    <row r="18" spans="1:16">
      <c r="B18" s="9" t="s">
        <v>170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15">
        <v>1653</v>
      </c>
      <c r="N18" s="26"/>
      <c r="O18" s="37">
        <f>SUM(C18:N18)</f>
        <v>1653</v>
      </c>
    </row>
    <row r="19" spans="1:16">
      <c r="B19" s="9" t="s">
        <v>162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5">
        <v>40000</v>
      </c>
      <c r="N19" s="26"/>
      <c r="O19" s="37">
        <f>SUM(C19:N19)</f>
        <v>40000</v>
      </c>
    </row>
    <row r="20" spans="1:16">
      <c r="B20" s="101" t="s">
        <v>244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5">
        <v>2740</v>
      </c>
      <c r="N20" s="26"/>
      <c r="O20" s="37"/>
    </row>
    <row r="21" spans="1:16">
      <c r="B21" s="101" t="s">
        <v>277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5">
        <v>2500</v>
      </c>
      <c r="N21" s="26"/>
      <c r="O21" s="37"/>
    </row>
    <row r="22" spans="1:16">
      <c r="B22" s="9" t="s">
        <v>243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4">
        <v>30000</v>
      </c>
      <c r="N22" s="26"/>
      <c r="O22" s="37"/>
    </row>
    <row r="23" spans="1:16">
      <c r="B23" s="9" t="s">
        <v>248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3">
        <v>18000</v>
      </c>
      <c r="N23" s="26"/>
      <c r="O23" s="37"/>
    </row>
    <row r="24" spans="1:16">
      <c r="B24" s="9" t="s">
        <v>195</v>
      </c>
      <c r="C24" s="26">
        <f>A16*202/12</f>
        <v>10773.333333333334</v>
      </c>
      <c r="D24" s="26">
        <f>C24</f>
        <v>10773.333333333334</v>
      </c>
      <c r="E24" s="26">
        <f t="shared" ref="E24:N24" si="1">D24</f>
        <v>10773.333333333334</v>
      </c>
      <c r="F24" s="26">
        <f t="shared" si="1"/>
        <v>10773.333333333334</v>
      </c>
      <c r="G24" s="26">
        <f t="shared" si="1"/>
        <v>10773.333333333334</v>
      </c>
      <c r="H24" s="26">
        <f t="shared" si="1"/>
        <v>10773.333333333334</v>
      </c>
      <c r="I24" s="26">
        <f t="shared" si="1"/>
        <v>10773.333333333334</v>
      </c>
      <c r="J24" s="26">
        <f t="shared" si="1"/>
        <v>10773.333333333334</v>
      </c>
      <c r="K24" s="26">
        <f t="shared" si="1"/>
        <v>10773.333333333334</v>
      </c>
      <c r="L24" s="26">
        <f t="shared" si="1"/>
        <v>10773.333333333334</v>
      </c>
      <c r="M24" s="26">
        <f t="shared" si="1"/>
        <v>10773.333333333334</v>
      </c>
      <c r="N24" s="26">
        <f t="shared" si="1"/>
        <v>10773.333333333334</v>
      </c>
      <c r="O24" s="37">
        <f>SUM(C24:N24)</f>
        <v>129279.99999999999</v>
      </c>
    </row>
    <row r="25" spans="1:16">
      <c r="B25" s="9" t="s">
        <v>280</v>
      </c>
      <c r="C25" s="26">
        <f>122.12*A16/12</f>
        <v>6513.0666666666666</v>
      </c>
      <c r="D25" s="26">
        <f>C25</f>
        <v>6513.0666666666666</v>
      </c>
      <c r="E25" s="26">
        <f t="shared" ref="E25:N25" si="2">D25</f>
        <v>6513.0666666666666</v>
      </c>
      <c r="F25" s="26">
        <f t="shared" si="2"/>
        <v>6513.0666666666666</v>
      </c>
      <c r="G25" s="26">
        <f t="shared" si="2"/>
        <v>6513.0666666666666</v>
      </c>
      <c r="H25" s="26">
        <f t="shared" si="2"/>
        <v>6513.0666666666666</v>
      </c>
      <c r="I25" s="26">
        <f t="shared" si="2"/>
        <v>6513.0666666666666</v>
      </c>
      <c r="J25" s="26">
        <f t="shared" si="2"/>
        <v>6513.0666666666666</v>
      </c>
      <c r="K25" s="26">
        <f t="shared" si="2"/>
        <v>6513.0666666666666</v>
      </c>
      <c r="L25" s="26">
        <f t="shared" si="2"/>
        <v>6513.0666666666666</v>
      </c>
      <c r="M25" s="26">
        <f t="shared" si="2"/>
        <v>6513.0666666666666</v>
      </c>
      <c r="N25" s="26">
        <f t="shared" si="2"/>
        <v>6513.0666666666666</v>
      </c>
      <c r="O25" s="37"/>
    </row>
    <row r="26" spans="1:16">
      <c r="B26" s="9" t="s">
        <v>19</v>
      </c>
      <c r="C26" s="26">
        <v>0</v>
      </c>
      <c r="D26" s="26">
        <v>1000</v>
      </c>
      <c r="E26" s="26">
        <v>1000</v>
      </c>
      <c r="F26" s="26">
        <v>1000</v>
      </c>
      <c r="G26" s="26">
        <v>1000</v>
      </c>
      <c r="H26" s="26">
        <v>1000</v>
      </c>
      <c r="I26" s="26">
        <v>1000</v>
      </c>
      <c r="J26" s="26">
        <v>1000</v>
      </c>
      <c r="K26" s="26">
        <v>1000</v>
      </c>
      <c r="L26" s="26">
        <v>1000</v>
      </c>
      <c r="M26" s="26">
        <v>1000</v>
      </c>
      <c r="N26" s="26">
        <v>0</v>
      </c>
      <c r="O26" s="37">
        <f>SUM(C26:N26)</f>
        <v>10000</v>
      </c>
    </row>
    <row r="27" spans="1:16">
      <c r="B27" s="9" t="s">
        <v>20</v>
      </c>
      <c r="C27" s="26">
        <v>0</v>
      </c>
      <c r="D27" s="26">
        <v>0</v>
      </c>
      <c r="E27" s="26">
        <v>5000</v>
      </c>
      <c r="F27" s="26">
        <v>5000</v>
      </c>
      <c r="G27" s="26">
        <v>5000</v>
      </c>
      <c r="H27" s="26">
        <v>5000</v>
      </c>
      <c r="I27" s="26">
        <v>5000</v>
      </c>
      <c r="J27" s="26">
        <v>5000</v>
      </c>
      <c r="K27" s="26">
        <v>5000</v>
      </c>
      <c r="L27" s="26">
        <v>5000</v>
      </c>
      <c r="M27" s="26">
        <v>5000</v>
      </c>
      <c r="N27" s="26">
        <f>$P$27/10</f>
        <v>0</v>
      </c>
      <c r="O27" s="37">
        <f>SUM(C27:N27)</f>
        <v>45000</v>
      </c>
    </row>
    <row r="28" spans="1:16">
      <c r="B28" s="9" t="s">
        <v>247</v>
      </c>
      <c r="C28" s="26">
        <v>5000</v>
      </c>
      <c r="D28" s="26">
        <v>5000</v>
      </c>
      <c r="E28" s="26"/>
      <c r="F28" s="26"/>
      <c r="G28" s="26"/>
      <c r="H28" s="26"/>
      <c r="I28" s="26"/>
      <c r="J28" s="26"/>
      <c r="K28" s="26"/>
      <c r="L28" s="26"/>
      <c r="M28" s="26"/>
      <c r="N28" s="26">
        <v>5000</v>
      </c>
      <c r="O28" s="37"/>
    </row>
    <row r="29" spans="1:16">
      <c r="B29" s="9" t="s">
        <v>21</v>
      </c>
      <c r="C29" s="26">
        <v>500</v>
      </c>
      <c r="D29" s="26">
        <v>500</v>
      </c>
      <c r="E29" s="26">
        <v>500</v>
      </c>
      <c r="F29" s="26">
        <v>500</v>
      </c>
      <c r="G29" s="26">
        <v>500</v>
      </c>
      <c r="H29" s="26">
        <v>500</v>
      </c>
      <c r="I29" s="26">
        <v>500</v>
      </c>
      <c r="J29" s="26">
        <v>500</v>
      </c>
      <c r="K29" s="26">
        <v>500</v>
      </c>
      <c r="L29" s="26">
        <v>500</v>
      </c>
      <c r="M29" s="26">
        <v>500</v>
      </c>
      <c r="N29" s="26">
        <v>500</v>
      </c>
      <c r="O29" s="37">
        <f>SUM(C29:N29)</f>
        <v>6000</v>
      </c>
    </row>
    <row r="30" spans="1:16">
      <c r="B30" s="9" t="s">
        <v>101</v>
      </c>
      <c r="C30" s="2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7">
        <f>SUM(C30:N30)</f>
        <v>0</v>
      </c>
    </row>
    <row r="31" spans="1:16">
      <c r="A31" s="38" t="s">
        <v>96</v>
      </c>
      <c r="B31" s="9"/>
      <c r="C31" s="28">
        <f t="shared" ref="C31:N31" si="3">SUM(C16:C30)</f>
        <v>22786.400000000001</v>
      </c>
      <c r="D31" s="28">
        <f t="shared" si="3"/>
        <v>23786.400000000001</v>
      </c>
      <c r="E31" s="28">
        <f t="shared" si="3"/>
        <v>2087940</v>
      </c>
      <c r="F31" s="28">
        <f t="shared" si="3"/>
        <v>23786.400000000001</v>
      </c>
      <c r="G31" s="28">
        <f t="shared" si="3"/>
        <v>23786.400000000001</v>
      </c>
      <c r="H31" s="28">
        <f t="shared" si="3"/>
        <v>2087940</v>
      </c>
      <c r="I31" s="28">
        <f t="shared" si="3"/>
        <v>23786.400000000001</v>
      </c>
      <c r="J31" s="28">
        <f t="shared" si="3"/>
        <v>23786.400000000001</v>
      </c>
      <c r="K31" s="28">
        <f t="shared" si="3"/>
        <v>2087940</v>
      </c>
      <c r="L31" s="28">
        <f t="shared" si="3"/>
        <v>23786.400000000001</v>
      </c>
      <c r="M31" s="28">
        <f t="shared" si="3"/>
        <v>145825.40000000002</v>
      </c>
      <c r="N31" s="28">
        <f t="shared" si="3"/>
        <v>2086940</v>
      </c>
    </row>
    <row r="32" spans="1:16">
      <c r="A32" s="38" t="s">
        <v>98</v>
      </c>
      <c r="B32" s="10"/>
      <c r="C32" s="29">
        <f t="shared" ref="C32:N32" ca="1" si="4">C31+C12</f>
        <v>3767311.9379427554</v>
      </c>
      <c r="D32" s="29">
        <f t="shared" ca="1" si="4"/>
        <v>3379059.5345879095</v>
      </c>
      <c r="E32" s="29">
        <f t="shared" ca="1" si="4"/>
        <v>4816848.7782584168</v>
      </c>
      <c r="F32" s="29">
        <f t="shared" ca="1" si="4"/>
        <v>4258939.6399115641</v>
      </c>
      <c r="G32" s="29">
        <f t="shared" ca="1" si="4"/>
        <v>3758380.8245618558</v>
      </c>
      <c r="H32" s="29">
        <f t="shared" ca="1" si="4"/>
        <v>5299858.3172600418</v>
      </c>
      <c r="I32" s="29">
        <f t="shared" ca="1" si="4"/>
        <v>4800007.6810486838</v>
      </c>
      <c r="J32" s="29">
        <f t="shared" ca="1" si="4"/>
        <v>4145159.3566691596</v>
      </c>
      <c r="K32" s="29">
        <f t="shared" ca="1" si="4"/>
        <v>5717716.3279192932</v>
      </c>
      <c r="L32" s="29">
        <f t="shared" ca="1" si="4"/>
        <v>5215948.6549817082</v>
      </c>
      <c r="M32" s="29">
        <f t="shared" ca="1" si="4"/>
        <v>4866940.4662751323</v>
      </c>
      <c r="N32" s="29">
        <f t="shared" ca="1" si="4"/>
        <v>6419267.6822160594</v>
      </c>
    </row>
    <row r="33" spans="1:17">
      <c r="B33" s="8"/>
    </row>
    <row r="34" spans="1:17">
      <c r="A34" s="4" t="s">
        <v>99</v>
      </c>
      <c r="B34" s="8"/>
      <c r="M34" s="196" t="s">
        <v>435</v>
      </c>
    </row>
    <row r="35" spans="1:17">
      <c r="A35" s="19" t="s">
        <v>92</v>
      </c>
      <c r="B35" s="8" t="s">
        <v>92</v>
      </c>
    </row>
    <row r="36" spans="1:17">
      <c r="B36" s="9" t="s">
        <v>304</v>
      </c>
      <c r="C36" s="105">
        <f>'Cash Flow 2016'!N37</f>
        <v>317803.80463076918</v>
      </c>
      <c r="D36" s="26">
        <f>(Personnel!$L$253)*('Cash Flow 2018'!D$8)+(Personnel!$K$250)</f>
        <v>520443.41693169228</v>
      </c>
      <c r="E36" s="26">
        <f>(Personnel!$M$253)*('Cash Flow 2018'!E$8)+(Personnel!$M$250)</f>
        <v>412001.99085725541</v>
      </c>
      <c r="F36" s="26">
        <f>(Personnel!$M$253)*('Cash Flow 2018'!F$8)+(Personnel!$M$250)</f>
        <v>412001.99085725541</v>
      </c>
      <c r="G36" s="26">
        <f>(Personnel!$M$253)*('Cash Flow 2018'!G$8)+(Personnel!$M$250)</f>
        <v>412001.99085725541</v>
      </c>
      <c r="H36" s="26">
        <f>(Personnel!$M$253)*('Cash Flow 2018'!H$8)+(Personnel!$M$250)</f>
        <v>412001.99085725541</v>
      </c>
      <c r="I36" s="26">
        <f>(Personnel!$M$253)*('Cash Flow 2018'!I$8)+(Personnel!$M$250)</f>
        <v>596653.44128588308</v>
      </c>
      <c r="J36" s="26">
        <f>(Personnel!$M$253)*('Cash Flow 2018'!J$8)+(Personnel!$M$250)</f>
        <v>412001.99085725541</v>
      </c>
      <c r="K36" s="26">
        <f>(Personnel!$M$253)*('Cash Flow 2018'!K$8)+(Personnel!$M$250)</f>
        <v>412001.99085725541</v>
      </c>
      <c r="L36" s="26">
        <f>(Personnel!$M$253)*('Cash Flow 2018'!L$8)+(Personnel!$M$250)</f>
        <v>412001.99085725541</v>
      </c>
      <c r="M36" s="26">
        <f>(Personnel!$M$253)*('Cash Flow 2018'!M$8)+(Personnel!$M$250)</f>
        <v>412001.99085725541</v>
      </c>
      <c r="N36" s="26">
        <f>(Personnel!$M$253)*('Cash Flow 2018'!N$8)+(Personnel!$M$250)</f>
        <v>412001.99085725541</v>
      </c>
      <c r="O36" s="116">
        <f>SUM(C36:N36)</f>
        <v>5142918.5805636439</v>
      </c>
      <c r="P36" s="37">
        <f>O36-C36+E36</f>
        <v>5237116.7667901302</v>
      </c>
      <c r="Q36" s="37"/>
    </row>
    <row r="37" spans="1:17">
      <c r="B37" s="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7"/>
    </row>
    <row r="38" spans="1:17">
      <c r="A38" s="8"/>
      <c r="B38" s="41" t="s">
        <v>330</v>
      </c>
      <c r="C38" s="26">
        <f>1000</f>
        <v>1000</v>
      </c>
      <c r="D38" s="26">
        <v>1000</v>
      </c>
      <c r="E38" s="26">
        <v>1000</v>
      </c>
      <c r="F38" s="26">
        <v>1000</v>
      </c>
      <c r="G38" s="26">
        <v>1000</v>
      </c>
      <c r="H38" s="26">
        <v>1000</v>
      </c>
      <c r="I38" s="26">
        <v>1000</v>
      </c>
      <c r="J38" s="26">
        <v>1000</v>
      </c>
      <c r="K38" s="26">
        <v>1000</v>
      </c>
      <c r="L38" s="26">
        <v>1000</v>
      </c>
      <c r="M38" s="26">
        <v>1000</v>
      </c>
      <c r="N38" s="26">
        <v>1000</v>
      </c>
      <c r="O38" s="37">
        <f t="shared" ref="O38:O69" si="5">SUM(C38:N38)</f>
        <v>12000</v>
      </c>
    </row>
    <row r="39" spans="1:17">
      <c r="A39" s="8"/>
      <c r="B39" s="41" t="s">
        <v>37</v>
      </c>
      <c r="C39" s="26">
        <f>22000/12</f>
        <v>1833.3333333333333</v>
      </c>
      <c r="D39" s="26">
        <f t="shared" ref="D39:N39" si="6">22000/12</f>
        <v>1833.3333333333333</v>
      </c>
      <c r="E39" s="26">
        <f t="shared" si="6"/>
        <v>1833.3333333333333</v>
      </c>
      <c r="F39" s="26">
        <f t="shared" si="6"/>
        <v>1833.3333333333333</v>
      </c>
      <c r="G39" s="26">
        <f t="shared" si="6"/>
        <v>1833.3333333333333</v>
      </c>
      <c r="H39" s="26">
        <f t="shared" si="6"/>
        <v>1833.3333333333333</v>
      </c>
      <c r="I39" s="26">
        <f t="shared" si="6"/>
        <v>1833.3333333333333</v>
      </c>
      <c r="J39" s="26">
        <f t="shared" si="6"/>
        <v>1833.3333333333333</v>
      </c>
      <c r="K39" s="26">
        <f t="shared" si="6"/>
        <v>1833.3333333333333</v>
      </c>
      <c r="L39" s="26">
        <f t="shared" si="6"/>
        <v>1833.3333333333333</v>
      </c>
      <c r="M39" s="26">
        <f t="shared" si="6"/>
        <v>1833.3333333333333</v>
      </c>
      <c r="N39" s="26">
        <f t="shared" si="6"/>
        <v>1833.3333333333333</v>
      </c>
      <c r="O39" s="37">
        <v>22000</v>
      </c>
    </row>
    <row r="40" spans="1:17">
      <c r="A40" s="8"/>
      <c r="B40" s="41" t="s">
        <v>38</v>
      </c>
      <c r="C40" s="26">
        <f>6874.60781148+2000</f>
        <v>8874.6078114800002</v>
      </c>
      <c r="D40" s="26">
        <f>13082.91440744+2000</f>
        <v>15082.914407439999</v>
      </c>
      <c r="E40" s="26">
        <f>30042.08115652+2000</f>
        <v>32042.081156519998</v>
      </c>
      <c r="F40" s="26">
        <f>6534.70415086+2000</f>
        <v>8534.7041508599996</v>
      </c>
      <c r="G40" s="26">
        <f>6273.58610694+2000</f>
        <v>8273.5861069399998</v>
      </c>
      <c r="H40" s="26">
        <f>7155.98501398+2000</f>
        <v>9155.9850139800001</v>
      </c>
      <c r="I40" s="26">
        <f>20684.60091018+2000</f>
        <v>22684.600910180001</v>
      </c>
      <c r="J40" s="26">
        <f>13611.90354814+2000</f>
        <v>15611.903548140001</v>
      </c>
      <c r="K40" s="26">
        <f>10442.47073918+2000</f>
        <v>12442.47073918</v>
      </c>
      <c r="L40" s="26">
        <f>4024.81950456+2000</f>
        <v>6024.8195045600005</v>
      </c>
      <c r="M40" s="26">
        <f>6753.05286+2000</f>
        <v>8753.0528599999998</v>
      </c>
      <c r="N40" s="26">
        <f>6753.05286+2000</f>
        <v>8753.0528599999998</v>
      </c>
      <c r="O40" s="37">
        <f t="shared" si="5"/>
        <v>156233.77906927999</v>
      </c>
    </row>
    <row r="41" spans="1:17">
      <c r="A41" s="8"/>
      <c r="B41" s="41" t="s">
        <v>100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37">
        <f t="shared" si="5"/>
        <v>0</v>
      </c>
    </row>
    <row r="42" spans="1:17">
      <c r="A42" s="8"/>
      <c r="B42" s="41" t="s">
        <v>39</v>
      </c>
      <c r="C42" s="26">
        <v>10000</v>
      </c>
      <c r="D42" s="26">
        <v>10000</v>
      </c>
      <c r="E42" s="26">
        <v>10000</v>
      </c>
      <c r="F42" s="26">
        <v>10000</v>
      </c>
      <c r="G42" s="26">
        <v>10000</v>
      </c>
      <c r="H42" s="26">
        <v>10000</v>
      </c>
      <c r="I42" s="26">
        <v>10000</v>
      </c>
      <c r="J42" s="26">
        <v>10000</v>
      </c>
      <c r="K42" s="26">
        <v>10000</v>
      </c>
      <c r="L42" s="26">
        <v>10000</v>
      </c>
      <c r="M42" s="26">
        <v>10000</v>
      </c>
      <c r="N42" s="26">
        <v>10000</v>
      </c>
      <c r="O42" s="37">
        <f t="shared" si="5"/>
        <v>120000</v>
      </c>
    </row>
    <row r="43" spans="1:17">
      <c r="A43" s="8"/>
      <c r="B43" s="9" t="s">
        <v>149</v>
      </c>
      <c r="C43" s="26">
        <f>'Cash Flow 2017'!C43</f>
        <v>65796.59</v>
      </c>
      <c r="D43" s="26">
        <f>'Cash Flow 2017'!D43</f>
        <v>65796.59</v>
      </c>
      <c r="E43" s="26">
        <f>'Cash Flow 2017'!E43</f>
        <v>65796.59</v>
      </c>
      <c r="F43" s="26">
        <f>'Cash Flow 2017'!F43</f>
        <v>65796.59</v>
      </c>
      <c r="G43" s="26">
        <f>'Cash Flow 2017'!G43</f>
        <v>65796.59</v>
      </c>
      <c r="H43" s="26">
        <f>'Cash Flow 2017'!H43</f>
        <v>65796.59</v>
      </c>
      <c r="I43" s="26">
        <f>'Cash Flow 2017'!I43</f>
        <v>65796.59</v>
      </c>
      <c r="J43" s="26">
        <f>'Cash Flow 2017'!J43</f>
        <v>65796.59</v>
      </c>
      <c r="K43" s="26">
        <f>'Cash Flow 2017'!K43</f>
        <v>65796.59</v>
      </c>
      <c r="L43" s="26">
        <f>'Cash Flow 2017'!L43</f>
        <v>65796.59</v>
      </c>
      <c r="M43" s="26">
        <f>'Cash Flow 2017'!M43</f>
        <v>65796.59</v>
      </c>
      <c r="N43" s="26">
        <f>'Cash Flow 2017'!N43</f>
        <v>65796.59</v>
      </c>
      <c r="O43" s="37">
        <f t="shared" si="5"/>
        <v>789559.07999999973</v>
      </c>
    </row>
    <row r="44" spans="1:17" hidden="1">
      <c r="B44" s="9" t="s">
        <v>41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7">
        <f t="shared" si="5"/>
        <v>0</v>
      </c>
    </row>
    <row r="45" spans="1:17" hidden="1">
      <c r="B45" s="9" t="s">
        <v>42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7">
        <f t="shared" si="5"/>
        <v>0</v>
      </c>
    </row>
    <row r="46" spans="1:17" hidden="1">
      <c r="B46" s="9" t="s">
        <v>43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7">
        <f t="shared" si="5"/>
        <v>0</v>
      </c>
    </row>
    <row r="47" spans="1:17" hidden="1">
      <c r="B47" s="9" t="s">
        <v>44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7">
        <f t="shared" si="5"/>
        <v>0</v>
      </c>
    </row>
    <row r="48" spans="1:17" hidden="1">
      <c r="B48" s="9" t="s">
        <v>45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7">
        <f t="shared" si="5"/>
        <v>0</v>
      </c>
    </row>
    <row r="49" spans="2:15" hidden="1">
      <c r="B49" s="9" t="s">
        <v>46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7">
        <f t="shared" si="5"/>
        <v>0</v>
      </c>
    </row>
    <row r="50" spans="2:15">
      <c r="B50" s="9" t="s">
        <v>370</v>
      </c>
      <c r="C50" s="26">
        <v>10000</v>
      </c>
      <c r="D50" s="26">
        <v>10000</v>
      </c>
      <c r="E50" s="26">
        <v>10000</v>
      </c>
      <c r="F50" s="26">
        <v>10000</v>
      </c>
      <c r="G50" s="26">
        <v>10000</v>
      </c>
      <c r="H50" s="26">
        <v>10000</v>
      </c>
      <c r="I50" s="26">
        <v>10000</v>
      </c>
      <c r="J50" s="26">
        <v>10000</v>
      </c>
      <c r="K50" s="26">
        <v>10000</v>
      </c>
      <c r="L50" s="26">
        <v>10000</v>
      </c>
      <c r="M50" s="26">
        <v>10000</v>
      </c>
      <c r="N50" s="26">
        <v>10000</v>
      </c>
      <c r="O50" s="37">
        <f t="shared" si="5"/>
        <v>120000</v>
      </c>
    </row>
    <row r="51" spans="2:15">
      <c r="B51" s="9" t="s">
        <v>47</v>
      </c>
      <c r="C51" s="26">
        <v>0</v>
      </c>
      <c r="D51" s="26">
        <v>0</v>
      </c>
      <c r="E51" s="26">
        <v>0</v>
      </c>
      <c r="F51" s="26">
        <v>14000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7">
        <f t="shared" si="5"/>
        <v>14000</v>
      </c>
    </row>
    <row r="52" spans="2:15">
      <c r="B52" s="9" t="s">
        <v>48</v>
      </c>
      <c r="C52" s="26">
        <v>1625</v>
      </c>
      <c r="D52" s="26">
        <v>1625</v>
      </c>
      <c r="E52" s="26">
        <v>1625</v>
      </c>
      <c r="F52" s="26">
        <v>1625</v>
      </c>
      <c r="G52" s="26">
        <v>1625</v>
      </c>
      <c r="H52" s="26">
        <v>1625</v>
      </c>
      <c r="I52" s="26">
        <v>1625</v>
      </c>
      <c r="J52" s="26">
        <v>1625</v>
      </c>
      <c r="K52" s="26">
        <v>1625</v>
      </c>
      <c r="L52" s="26">
        <v>1625</v>
      </c>
      <c r="M52" s="26">
        <v>1625</v>
      </c>
      <c r="N52" s="26">
        <v>1625</v>
      </c>
      <c r="O52" s="37">
        <f t="shared" si="5"/>
        <v>19500</v>
      </c>
    </row>
    <row r="53" spans="2:15">
      <c r="B53" s="9" t="s">
        <v>49</v>
      </c>
      <c r="C53" s="26">
        <v>8000</v>
      </c>
      <c r="D53" s="26">
        <v>8000</v>
      </c>
      <c r="E53" s="26">
        <v>8000</v>
      </c>
      <c r="F53" s="26">
        <v>8000</v>
      </c>
      <c r="G53" s="26">
        <v>8000</v>
      </c>
      <c r="H53" s="26">
        <v>8000</v>
      </c>
      <c r="I53" s="26">
        <v>8000</v>
      </c>
      <c r="J53" s="26">
        <v>8000</v>
      </c>
      <c r="K53" s="26">
        <v>8000</v>
      </c>
      <c r="L53" s="26">
        <v>8000</v>
      </c>
      <c r="M53" s="26">
        <v>8000</v>
      </c>
      <c r="N53" s="26">
        <v>8000</v>
      </c>
      <c r="O53" s="37">
        <f t="shared" si="5"/>
        <v>96000</v>
      </c>
    </row>
    <row r="54" spans="2:15">
      <c r="B54" s="9" t="s">
        <v>51</v>
      </c>
      <c r="C54" s="26">
        <v>5000</v>
      </c>
      <c r="D54" s="26">
        <v>5000</v>
      </c>
      <c r="E54" s="26">
        <v>5000</v>
      </c>
      <c r="F54" s="26">
        <v>5000</v>
      </c>
      <c r="G54" s="26">
        <v>5000</v>
      </c>
      <c r="H54" s="26">
        <v>5000</v>
      </c>
      <c r="I54" s="26">
        <v>5000</v>
      </c>
      <c r="J54" s="26">
        <v>5000</v>
      </c>
      <c r="K54" s="26">
        <v>5000</v>
      </c>
      <c r="L54" s="26">
        <v>5000</v>
      </c>
      <c r="M54" s="26">
        <v>5000</v>
      </c>
      <c r="N54" s="26">
        <v>5000</v>
      </c>
      <c r="O54" s="37">
        <f t="shared" si="5"/>
        <v>60000</v>
      </c>
    </row>
    <row r="55" spans="2:15">
      <c r="B55" s="9" t="s">
        <v>52</v>
      </c>
      <c r="C55" s="26">
        <v>1500</v>
      </c>
      <c r="D55" s="26">
        <v>1500</v>
      </c>
      <c r="E55" s="26">
        <v>1500</v>
      </c>
      <c r="F55" s="26">
        <v>1500</v>
      </c>
      <c r="G55" s="26">
        <v>1500</v>
      </c>
      <c r="H55" s="26">
        <v>1500</v>
      </c>
      <c r="I55" s="26">
        <v>1500</v>
      </c>
      <c r="J55" s="26">
        <v>1500</v>
      </c>
      <c r="K55" s="26">
        <v>1500</v>
      </c>
      <c r="L55" s="26">
        <v>1500</v>
      </c>
      <c r="M55" s="26">
        <v>1500</v>
      </c>
      <c r="N55" s="26">
        <v>1500</v>
      </c>
      <c r="O55" s="37">
        <f t="shared" si="5"/>
        <v>18000</v>
      </c>
    </row>
    <row r="56" spans="2:15">
      <c r="B56" s="9" t="s">
        <v>53</v>
      </c>
      <c r="C56" s="26">
        <v>2000</v>
      </c>
      <c r="D56" s="26">
        <v>2000</v>
      </c>
      <c r="E56" s="26">
        <v>2000</v>
      </c>
      <c r="F56" s="26">
        <v>2000</v>
      </c>
      <c r="G56" s="26">
        <v>2000</v>
      </c>
      <c r="H56" s="26">
        <v>2000</v>
      </c>
      <c r="I56" s="26">
        <v>2000</v>
      </c>
      <c r="J56" s="26">
        <v>2000</v>
      </c>
      <c r="K56" s="26">
        <v>2000</v>
      </c>
      <c r="L56" s="26">
        <v>2000</v>
      </c>
      <c r="M56" s="26">
        <v>2000</v>
      </c>
      <c r="N56" s="26">
        <v>2000</v>
      </c>
      <c r="O56" s="37">
        <f t="shared" si="5"/>
        <v>24000</v>
      </c>
    </row>
    <row r="57" spans="2:15">
      <c r="B57" s="9" t="s">
        <v>54</v>
      </c>
      <c r="C57" s="26">
        <v>3600</v>
      </c>
      <c r="D57" s="26">
        <v>3600</v>
      </c>
      <c r="E57" s="26">
        <v>3600</v>
      </c>
      <c r="F57" s="26">
        <v>3600</v>
      </c>
      <c r="G57" s="26">
        <v>3600</v>
      </c>
      <c r="H57" s="26">
        <v>3600</v>
      </c>
      <c r="I57" s="26">
        <v>3600</v>
      </c>
      <c r="J57" s="26">
        <v>3600</v>
      </c>
      <c r="K57" s="26">
        <v>3600</v>
      </c>
      <c r="L57" s="26">
        <v>3600</v>
      </c>
      <c r="M57" s="26">
        <v>3600</v>
      </c>
      <c r="N57" s="26">
        <v>3600</v>
      </c>
      <c r="O57" s="37">
        <f t="shared" si="5"/>
        <v>43200</v>
      </c>
    </row>
    <row r="58" spans="2:15">
      <c r="B58" s="9" t="s">
        <v>55</v>
      </c>
      <c r="C58" s="26">
        <v>1250</v>
      </c>
      <c r="D58" s="26">
        <v>1250</v>
      </c>
      <c r="E58" s="26">
        <v>1250</v>
      </c>
      <c r="F58" s="26">
        <v>1250</v>
      </c>
      <c r="G58" s="26">
        <v>1250</v>
      </c>
      <c r="H58" s="26">
        <v>1250</v>
      </c>
      <c r="I58" s="26">
        <v>1250</v>
      </c>
      <c r="J58" s="26">
        <v>1250</v>
      </c>
      <c r="K58" s="26">
        <v>1250</v>
      </c>
      <c r="L58" s="26">
        <v>1250</v>
      </c>
      <c r="M58" s="26">
        <v>1250</v>
      </c>
      <c r="N58" s="26">
        <v>1250</v>
      </c>
      <c r="O58" s="37">
        <f t="shared" si="5"/>
        <v>15000</v>
      </c>
    </row>
    <row r="59" spans="2:15">
      <c r="B59" s="9" t="s">
        <v>56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37">
        <f t="shared" si="5"/>
        <v>0</v>
      </c>
    </row>
    <row r="60" spans="2:15">
      <c r="B60" s="9" t="s">
        <v>57</v>
      </c>
      <c r="C60" s="26">
        <v>700</v>
      </c>
      <c r="D60" s="26">
        <v>700</v>
      </c>
      <c r="E60" s="26">
        <v>700</v>
      </c>
      <c r="F60" s="26">
        <v>700</v>
      </c>
      <c r="G60" s="26">
        <v>700</v>
      </c>
      <c r="H60" s="26">
        <v>700</v>
      </c>
      <c r="I60" s="26">
        <v>700</v>
      </c>
      <c r="J60" s="26">
        <v>700</v>
      </c>
      <c r="K60" s="26">
        <v>700</v>
      </c>
      <c r="L60" s="26">
        <v>700</v>
      </c>
      <c r="M60" s="26">
        <v>700</v>
      </c>
      <c r="N60" s="26">
        <v>700</v>
      </c>
      <c r="O60" s="37">
        <f t="shared" si="5"/>
        <v>8400</v>
      </c>
    </row>
    <row r="61" spans="2:15">
      <c r="B61" s="9" t="s">
        <v>60</v>
      </c>
      <c r="C61" s="26">
        <v>1000</v>
      </c>
      <c r="D61" s="26">
        <v>1000</v>
      </c>
      <c r="E61" s="26">
        <v>1000</v>
      </c>
      <c r="F61" s="26">
        <v>1000</v>
      </c>
      <c r="G61" s="26">
        <v>1000</v>
      </c>
      <c r="H61" s="26">
        <v>1000</v>
      </c>
      <c r="I61" s="26">
        <v>1000</v>
      </c>
      <c r="J61" s="26">
        <v>1000</v>
      </c>
      <c r="K61" s="26">
        <v>1000</v>
      </c>
      <c r="L61" s="26">
        <v>1000</v>
      </c>
      <c r="M61" s="26">
        <v>1000</v>
      </c>
      <c r="N61" s="26">
        <v>1000</v>
      </c>
      <c r="O61" s="37">
        <f t="shared" si="5"/>
        <v>12000</v>
      </c>
    </row>
    <row r="62" spans="2:15">
      <c r="B62" s="9" t="s">
        <v>63</v>
      </c>
      <c r="C62" s="26">
        <v>0</v>
      </c>
      <c r="D62" s="26">
        <v>1000</v>
      </c>
      <c r="E62" s="26">
        <v>1000</v>
      </c>
      <c r="F62" s="26">
        <v>0</v>
      </c>
      <c r="G62" s="26">
        <v>6000</v>
      </c>
      <c r="H62" s="26">
        <v>4000</v>
      </c>
      <c r="I62" s="26">
        <v>4000</v>
      </c>
      <c r="J62" s="26">
        <v>1000</v>
      </c>
      <c r="K62" s="26">
        <v>2000</v>
      </c>
      <c r="L62" s="26">
        <v>2000</v>
      </c>
      <c r="M62" s="26">
        <v>2000</v>
      </c>
      <c r="N62" s="26">
        <v>1000</v>
      </c>
      <c r="O62" s="37">
        <f t="shared" si="5"/>
        <v>24000</v>
      </c>
    </row>
    <row r="63" spans="2:15">
      <c r="B63" s="9" t="s">
        <v>303</v>
      </c>
      <c r="C63" s="26">
        <v>0</v>
      </c>
      <c r="D63" s="26">
        <v>3000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37">
        <f t="shared" si="5"/>
        <v>3000</v>
      </c>
    </row>
    <row r="64" spans="2:15">
      <c r="B64" s="9" t="s">
        <v>65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37">
        <f t="shared" si="5"/>
        <v>0</v>
      </c>
    </row>
    <row r="65" spans="1:170">
      <c r="B65" s="9" t="s">
        <v>66</v>
      </c>
      <c r="C65" s="26"/>
      <c r="D65" s="26">
        <v>8000</v>
      </c>
      <c r="E65" s="26">
        <v>0</v>
      </c>
      <c r="F65" s="26">
        <v>0</v>
      </c>
      <c r="G65" s="26">
        <v>8000</v>
      </c>
      <c r="H65" s="26">
        <v>0</v>
      </c>
      <c r="I65" s="26">
        <v>0</v>
      </c>
      <c r="J65" s="26">
        <v>8000</v>
      </c>
      <c r="K65" s="26">
        <v>0</v>
      </c>
      <c r="L65" s="26">
        <v>0</v>
      </c>
      <c r="M65" s="26">
        <v>8000</v>
      </c>
      <c r="N65" s="26">
        <v>0</v>
      </c>
      <c r="O65" s="37">
        <f t="shared" si="5"/>
        <v>32000</v>
      </c>
    </row>
    <row r="66" spans="1:170" hidden="1">
      <c r="B66" s="9" t="s">
        <v>67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7">
        <f t="shared" si="5"/>
        <v>0</v>
      </c>
    </row>
    <row r="67" spans="1:170" hidden="1">
      <c r="B67" s="9" t="s">
        <v>68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7">
        <f t="shared" si="5"/>
        <v>0</v>
      </c>
    </row>
    <row r="68" spans="1:170">
      <c r="B68" s="9" t="s">
        <v>69</v>
      </c>
      <c r="C68" s="26">
        <v>100</v>
      </c>
      <c r="D68" s="26">
        <v>100</v>
      </c>
      <c r="E68" s="26">
        <v>100</v>
      </c>
      <c r="F68" s="26">
        <v>100</v>
      </c>
      <c r="G68" s="26">
        <v>100</v>
      </c>
      <c r="H68" s="26">
        <v>100</v>
      </c>
      <c r="I68" s="26">
        <v>100</v>
      </c>
      <c r="J68" s="26">
        <v>100</v>
      </c>
      <c r="K68" s="26">
        <v>100</v>
      </c>
      <c r="L68" s="26">
        <v>100</v>
      </c>
      <c r="M68" s="26">
        <v>100</v>
      </c>
      <c r="N68" s="26">
        <v>100</v>
      </c>
      <c r="O68" s="37">
        <f t="shared" si="5"/>
        <v>1200</v>
      </c>
    </row>
    <row r="69" spans="1:170">
      <c r="B69" s="9" t="s">
        <v>71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7">
        <f t="shared" si="5"/>
        <v>0</v>
      </c>
    </row>
    <row r="70" spans="1:170">
      <c r="B70" s="9" t="s">
        <v>72</v>
      </c>
      <c r="C70" s="26">
        <v>3600</v>
      </c>
      <c r="D70" s="26">
        <v>3600</v>
      </c>
      <c r="E70" s="26">
        <v>3600</v>
      </c>
      <c r="F70" s="26">
        <v>3600</v>
      </c>
      <c r="G70" s="26">
        <v>3600</v>
      </c>
      <c r="H70" s="26">
        <v>3600</v>
      </c>
      <c r="I70" s="26">
        <v>3600</v>
      </c>
      <c r="J70" s="26">
        <v>3600</v>
      </c>
      <c r="K70" s="26">
        <v>3600</v>
      </c>
      <c r="L70" s="26">
        <v>3600</v>
      </c>
      <c r="M70" s="26">
        <v>3600</v>
      </c>
      <c r="N70" s="26">
        <v>3600</v>
      </c>
      <c r="O70" s="37">
        <f t="shared" ref="O70:O88" si="7">SUM(C70:N70)</f>
        <v>43200</v>
      </c>
    </row>
    <row r="71" spans="1:170">
      <c r="B71" s="9" t="s">
        <v>73</v>
      </c>
      <c r="C71" s="26">
        <v>3000</v>
      </c>
      <c r="D71" s="26">
        <v>3000</v>
      </c>
      <c r="E71" s="26">
        <v>3000</v>
      </c>
      <c r="F71" s="26">
        <v>3000</v>
      </c>
      <c r="G71" s="26">
        <v>3000</v>
      </c>
      <c r="H71" s="26">
        <v>3000</v>
      </c>
      <c r="I71" s="26">
        <v>3000</v>
      </c>
      <c r="J71" s="26">
        <v>3000</v>
      </c>
      <c r="K71" s="26">
        <v>3000</v>
      </c>
      <c r="L71" s="26">
        <v>3000</v>
      </c>
      <c r="M71" s="26">
        <v>3000</v>
      </c>
      <c r="N71" s="26">
        <v>3000</v>
      </c>
      <c r="O71" s="37">
        <f t="shared" si="7"/>
        <v>36000</v>
      </c>
    </row>
    <row r="72" spans="1:170">
      <c r="B72" s="9" t="s">
        <v>74</v>
      </c>
      <c r="C72" s="26">
        <v>0</v>
      </c>
      <c r="D72" s="26">
        <v>17000</v>
      </c>
      <c r="E72" s="26">
        <v>17000</v>
      </c>
      <c r="F72" s="26">
        <v>17000</v>
      </c>
      <c r="G72" s="26">
        <v>17000</v>
      </c>
      <c r="H72" s="26">
        <v>17000</v>
      </c>
      <c r="I72" s="26">
        <v>17000</v>
      </c>
      <c r="J72" s="26">
        <v>17000</v>
      </c>
      <c r="K72" s="26">
        <v>17000</v>
      </c>
      <c r="L72" s="26">
        <v>17000</v>
      </c>
      <c r="M72" s="26">
        <v>17000</v>
      </c>
      <c r="N72" s="26">
        <v>17000</v>
      </c>
      <c r="O72" s="37">
        <f t="shared" si="7"/>
        <v>187000</v>
      </c>
    </row>
    <row r="73" spans="1:170">
      <c r="B73" s="9" t="s">
        <v>75</v>
      </c>
      <c r="C73" s="26">
        <v>600</v>
      </c>
      <c r="D73" s="26">
        <v>600</v>
      </c>
      <c r="E73" s="26">
        <v>600</v>
      </c>
      <c r="F73" s="26">
        <v>600</v>
      </c>
      <c r="G73" s="26">
        <v>600</v>
      </c>
      <c r="H73" s="26">
        <v>600</v>
      </c>
      <c r="I73" s="26">
        <v>600</v>
      </c>
      <c r="J73" s="26">
        <v>600</v>
      </c>
      <c r="K73" s="26">
        <v>600</v>
      </c>
      <c r="L73" s="26">
        <v>600</v>
      </c>
      <c r="M73" s="26">
        <v>600</v>
      </c>
      <c r="N73" s="26">
        <v>600</v>
      </c>
      <c r="O73" s="37">
        <f t="shared" si="7"/>
        <v>7200</v>
      </c>
    </row>
    <row r="74" spans="1:170">
      <c r="B74" s="41" t="s">
        <v>76</v>
      </c>
      <c r="C74" s="105">
        <f t="shared" ref="C74:N74" si="8">9500/12</f>
        <v>791.66666666666663</v>
      </c>
      <c r="D74" s="105">
        <f t="shared" si="8"/>
        <v>791.66666666666663</v>
      </c>
      <c r="E74" s="105">
        <f t="shared" si="8"/>
        <v>791.66666666666663</v>
      </c>
      <c r="F74" s="105">
        <f t="shared" si="8"/>
        <v>791.66666666666663</v>
      </c>
      <c r="G74" s="105">
        <f t="shared" si="8"/>
        <v>791.66666666666663</v>
      </c>
      <c r="H74" s="105">
        <f t="shared" si="8"/>
        <v>791.66666666666663</v>
      </c>
      <c r="I74" s="105">
        <f t="shared" si="8"/>
        <v>791.66666666666663</v>
      </c>
      <c r="J74" s="105">
        <f t="shared" si="8"/>
        <v>791.66666666666663</v>
      </c>
      <c r="K74" s="105">
        <f t="shared" si="8"/>
        <v>791.66666666666663</v>
      </c>
      <c r="L74" s="105">
        <f t="shared" si="8"/>
        <v>791.66666666666663</v>
      </c>
      <c r="M74" s="105">
        <f t="shared" si="8"/>
        <v>791.66666666666663</v>
      </c>
      <c r="N74" s="105">
        <f t="shared" si="8"/>
        <v>791.66666666666663</v>
      </c>
      <c r="O74" s="37">
        <f t="shared" si="7"/>
        <v>9500</v>
      </c>
    </row>
    <row r="75" spans="1:170" s="31" customFormat="1">
      <c r="A75"/>
      <c r="B75" s="41" t="s">
        <v>77</v>
      </c>
      <c r="C75" s="105">
        <v>0</v>
      </c>
      <c r="D75" s="105">
        <v>19157.903996452238</v>
      </c>
      <c r="E75" s="105">
        <v>54446.525989917318</v>
      </c>
      <c r="F75" s="105">
        <v>12411.791997701521</v>
      </c>
      <c r="G75" s="105">
        <v>27163.970994969633</v>
      </c>
      <c r="H75" s="105">
        <v>24859.81799539633</v>
      </c>
      <c r="I75" s="105">
        <v>5632.7399989568994</v>
      </c>
      <c r="J75" s="105">
        <v>716.44499986732501</v>
      </c>
      <c r="K75" s="105">
        <v>10166.930998117234</v>
      </c>
      <c r="L75" s="105">
        <v>1874.2859996529098</v>
      </c>
      <c r="M75" s="105">
        <v>9634.9499982157504</v>
      </c>
      <c r="N75" s="105">
        <v>9634.9499982157504</v>
      </c>
      <c r="O75" s="37">
        <f t="shared" si="7"/>
        <v>175700.3129674629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</row>
    <row r="76" spans="1:170" s="31" customFormat="1">
      <c r="A76"/>
      <c r="B76" s="41" t="s">
        <v>78</v>
      </c>
      <c r="C76" s="105">
        <v>1208.8979997761301</v>
      </c>
      <c r="D76" s="105">
        <v>7363.7369986363456</v>
      </c>
      <c r="E76" s="105">
        <v>10049.993998138891</v>
      </c>
      <c r="F76" s="105">
        <v>2399.6789995556151</v>
      </c>
      <c r="G76" s="105">
        <v>7663.4909985808354</v>
      </c>
      <c r="H76" s="105">
        <v>1526.7689997172652</v>
      </c>
      <c r="I76" s="105">
        <v>0</v>
      </c>
      <c r="J76" s="105">
        <v>950.31899982401501</v>
      </c>
      <c r="K76" s="105">
        <v>7441.1459986220098</v>
      </c>
      <c r="L76" s="105">
        <v>0</v>
      </c>
      <c r="M76" s="105">
        <v>4817.4749991078752</v>
      </c>
      <c r="N76" s="105">
        <v>1926.98999964315</v>
      </c>
      <c r="O76" s="37">
        <f t="shared" si="7"/>
        <v>45348.497991602126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</row>
    <row r="77" spans="1:170">
      <c r="B77" s="41" t="s">
        <v>80</v>
      </c>
      <c r="C77" s="105">
        <v>2500</v>
      </c>
      <c r="D77" s="105">
        <v>0</v>
      </c>
      <c r="E77" s="105">
        <v>0</v>
      </c>
      <c r="F77" s="105">
        <v>2500</v>
      </c>
      <c r="G77" s="105">
        <v>0</v>
      </c>
      <c r="H77" s="105">
        <v>0</v>
      </c>
      <c r="I77" s="105">
        <v>2500</v>
      </c>
      <c r="J77" s="105">
        <v>0</v>
      </c>
      <c r="K77" s="105">
        <v>0</v>
      </c>
      <c r="L77" s="105">
        <v>2500</v>
      </c>
      <c r="M77" s="105">
        <v>0</v>
      </c>
      <c r="N77" s="105">
        <v>0</v>
      </c>
      <c r="O77" s="37">
        <f t="shared" si="7"/>
        <v>10000</v>
      </c>
    </row>
    <row r="78" spans="1:170">
      <c r="B78" s="41" t="s">
        <v>82</v>
      </c>
      <c r="C78" s="105">
        <v>6000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37">
        <f t="shared" si="7"/>
        <v>6000</v>
      </c>
    </row>
    <row r="79" spans="1:170">
      <c r="B79" s="41" t="s">
        <v>83</v>
      </c>
      <c r="C79" s="105">
        <v>17500</v>
      </c>
      <c r="D79" s="105">
        <v>17500</v>
      </c>
      <c r="E79" s="105">
        <v>17500</v>
      </c>
      <c r="F79" s="105">
        <v>17500</v>
      </c>
      <c r="G79" s="105">
        <v>17500</v>
      </c>
      <c r="H79" s="105">
        <v>17500</v>
      </c>
      <c r="I79" s="105">
        <v>17500</v>
      </c>
      <c r="J79" s="105">
        <v>17500</v>
      </c>
      <c r="K79" s="105">
        <v>17500</v>
      </c>
      <c r="L79" s="105">
        <v>17500</v>
      </c>
      <c r="M79" s="105">
        <v>17500</v>
      </c>
      <c r="N79" s="105">
        <v>17500</v>
      </c>
      <c r="O79" s="37">
        <v>150000</v>
      </c>
    </row>
    <row r="80" spans="1:170">
      <c r="B80" s="41" t="s">
        <v>155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37">
        <f t="shared" si="7"/>
        <v>0</v>
      </c>
    </row>
    <row r="81" spans="1:15">
      <c r="B81" s="41" t="s">
        <v>84</v>
      </c>
      <c r="C81" s="120">
        <v>2500</v>
      </c>
      <c r="D81" s="120">
        <v>2500</v>
      </c>
      <c r="E81" s="120">
        <v>2500</v>
      </c>
      <c r="F81" s="120">
        <v>2500</v>
      </c>
      <c r="G81" s="120">
        <v>2500</v>
      </c>
      <c r="H81" s="120">
        <v>2500</v>
      </c>
      <c r="I81" s="120">
        <v>2500</v>
      </c>
      <c r="J81" s="120">
        <v>2500</v>
      </c>
      <c r="K81" s="120">
        <v>2500</v>
      </c>
      <c r="L81" s="120">
        <v>2500</v>
      </c>
      <c r="M81" s="120">
        <v>2500</v>
      </c>
      <c r="N81" s="120">
        <v>2500</v>
      </c>
      <c r="O81" s="37">
        <f t="shared" si="7"/>
        <v>30000</v>
      </c>
    </row>
    <row r="82" spans="1:15">
      <c r="B82" s="41" t="s">
        <v>85</v>
      </c>
      <c r="C82" s="105">
        <v>14000</v>
      </c>
      <c r="D82" s="105">
        <v>14000</v>
      </c>
      <c r="E82" s="105">
        <v>14000</v>
      </c>
      <c r="F82" s="105">
        <v>14000</v>
      </c>
      <c r="G82" s="105">
        <v>14000</v>
      </c>
      <c r="H82" s="105">
        <v>14000</v>
      </c>
      <c r="I82" s="105">
        <v>14000</v>
      </c>
      <c r="J82" s="105">
        <v>14000</v>
      </c>
      <c r="K82" s="105">
        <v>14000</v>
      </c>
      <c r="L82" s="105">
        <v>14000</v>
      </c>
      <c r="M82" s="105">
        <v>14000</v>
      </c>
      <c r="N82" s="105">
        <v>14000</v>
      </c>
      <c r="O82" s="37">
        <f t="shared" si="7"/>
        <v>168000</v>
      </c>
    </row>
    <row r="83" spans="1:15" hidden="1">
      <c r="B83" s="41" t="s">
        <v>86</v>
      </c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37">
        <f t="shared" si="7"/>
        <v>0</v>
      </c>
    </row>
    <row r="84" spans="1:15" hidden="1">
      <c r="B84" s="41" t="s">
        <v>87</v>
      </c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37">
        <f t="shared" si="7"/>
        <v>0</v>
      </c>
    </row>
    <row r="85" spans="1:15" hidden="1">
      <c r="B85" s="41" t="s">
        <v>88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1089</v>
      </c>
      <c r="K85" s="105">
        <v>0</v>
      </c>
      <c r="L85" s="105">
        <v>0</v>
      </c>
      <c r="M85" s="105">
        <v>0</v>
      </c>
      <c r="N85" s="105">
        <v>0</v>
      </c>
      <c r="O85" s="37">
        <f t="shared" si="7"/>
        <v>1089</v>
      </c>
    </row>
    <row r="86" spans="1:15">
      <c r="B86" s="41" t="s">
        <v>89</v>
      </c>
      <c r="C86" s="105">
        <v>2000</v>
      </c>
      <c r="D86" s="105">
        <v>2000</v>
      </c>
      <c r="E86" s="105">
        <v>2000</v>
      </c>
      <c r="F86" s="105">
        <v>2000</v>
      </c>
      <c r="G86" s="105">
        <v>2000</v>
      </c>
      <c r="H86" s="105">
        <v>2000</v>
      </c>
      <c r="I86" s="105">
        <v>2000</v>
      </c>
      <c r="J86" s="105">
        <v>2000</v>
      </c>
      <c r="K86" s="105">
        <v>2000</v>
      </c>
      <c r="L86" s="105">
        <v>2000</v>
      </c>
      <c r="M86" s="105">
        <v>2000</v>
      </c>
      <c r="N86" s="105">
        <v>2000</v>
      </c>
      <c r="O86" s="37">
        <f t="shared" si="7"/>
        <v>24000</v>
      </c>
    </row>
    <row r="87" spans="1:15" hidden="1">
      <c r="B87" s="41" t="s">
        <v>90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37">
        <f t="shared" si="7"/>
        <v>0</v>
      </c>
    </row>
    <row r="88" spans="1:15" hidden="1">
      <c r="B88" s="41" t="s">
        <v>91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37">
        <f t="shared" si="7"/>
        <v>0</v>
      </c>
    </row>
    <row r="89" spans="1:15">
      <c r="B89" s="41" t="s">
        <v>327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37"/>
    </row>
    <row r="90" spans="1:15">
      <c r="B90" s="41" t="s">
        <v>102</v>
      </c>
      <c r="C90" s="26">
        <v>1370.76</v>
      </c>
      <c r="D90" s="26">
        <v>1370.76</v>
      </c>
      <c r="E90" s="26">
        <v>1370.76</v>
      </c>
      <c r="F90" s="26">
        <v>1370.76</v>
      </c>
      <c r="G90" s="26">
        <v>1370.76</v>
      </c>
      <c r="H90" s="26">
        <v>1370.76</v>
      </c>
      <c r="I90" s="26">
        <v>1370.76</v>
      </c>
      <c r="J90" s="26">
        <v>1370.76</v>
      </c>
      <c r="K90" s="26">
        <v>1370.76</v>
      </c>
      <c r="L90" s="26">
        <v>1370.76</v>
      </c>
      <c r="M90" s="26">
        <v>1370.76</v>
      </c>
      <c r="N90" s="26">
        <v>1370.76</v>
      </c>
      <c r="O90" s="37">
        <f>SUM(C90:N90)</f>
        <v>16449.12</v>
      </c>
    </row>
    <row r="91" spans="1:15">
      <c r="A91" t="s">
        <v>97</v>
      </c>
      <c r="B91" s="41"/>
      <c r="C91" s="118">
        <f t="shared" ref="C91:N91" si="9">SUM(C36:C90)</f>
        <v>495154.66044202528</v>
      </c>
      <c r="D91" s="118">
        <f t="shared" si="9"/>
        <v>749815.32233422087</v>
      </c>
      <c r="E91" s="118">
        <f t="shared" si="9"/>
        <v>685307.9420018316</v>
      </c>
      <c r="F91" s="118">
        <f t="shared" si="9"/>
        <v>627615.51600537251</v>
      </c>
      <c r="G91" s="118">
        <f t="shared" si="9"/>
        <v>644870.38895774574</v>
      </c>
      <c r="H91" s="118">
        <f t="shared" si="9"/>
        <v>627311.91286634898</v>
      </c>
      <c r="I91" s="118">
        <f t="shared" si="9"/>
        <v>807238.13219501998</v>
      </c>
      <c r="J91" s="118">
        <f t="shared" si="9"/>
        <v>615137.0084050867</v>
      </c>
      <c r="K91" s="118">
        <f t="shared" si="9"/>
        <v>619819.88859317463</v>
      </c>
      <c r="L91" s="118">
        <f t="shared" si="9"/>
        <v>600168.44636146829</v>
      </c>
      <c r="M91" s="118">
        <f t="shared" si="9"/>
        <v>620974.81871457899</v>
      </c>
      <c r="N91" s="118">
        <f t="shared" si="9"/>
        <v>609084.33371511428</v>
      </c>
    </row>
    <row r="92" spans="1:15">
      <c r="A92" t="s">
        <v>104</v>
      </c>
      <c r="B92" s="119"/>
      <c r="C92" s="39">
        <f t="shared" ref="C92:N92" ca="1" si="10">C32-C91</f>
        <v>3356559.5345879095</v>
      </c>
      <c r="D92" s="39">
        <f t="shared" ca="1" si="10"/>
        <v>2735195.1782584167</v>
      </c>
      <c r="E92" s="39">
        <f t="shared" ca="1" si="10"/>
        <v>4241439.6399115641</v>
      </c>
      <c r="F92" s="39">
        <f t="shared" ca="1" si="10"/>
        <v>3740880.8245618558</v>
      </c>
      <c r="G92" s="39">
        <f t="shared" ca="1" si="10"/>
        <v>3218204.7172600417</v>
      </c>
      <c r="H92" s="39">
        <f t="shared" ca="1" si="10"/>
        <v>4782507.6810486838</v>
      </c>
      <c r="I92" s="39">
        <f t="shared" ca="1" si="10"/>
        <v>4127659.3566691596</v>
      </c>
      <c r="J92" s="39">
        <f t="shared" ca="1" si="10"/>
        <v>3636062.7279192931</v>
      </c>
      <c r="K92" s="39">
        <f t="shared" ca="1" si="10"/>
        <v>5198448.6549817082</v>
      </c>
      <c r="L92" s="39">
        <f t="shared" ca="1" si="10"/>
        <v>4727401.4662751323</v>
      </c>
      <c r="M92" s="39">
        <f t="shared" ca="1" si="10"/>
        <v>4349614.0822160589</v>
      </c>
      <c r="N92" s="39">
        <f t="shared" ca="1" si="10"/>
        <v>5913831.7831564499</v>
      </c>
    </row>
    <row r="93" spans="1:15">
      <c r="B93" s="8"/>
      <c r="O93" s="15"/>
    </row>
    <row r="94" spans="1:15">
      <c r="B94" s="8"/>
      <c r="O94" s="15"/>
    </row>
    <row r="95" spans="1:15">
      <c r="B95" s="8"/>
      <c r="O95" s="15"/>
    </row>
    <row r="96" spans="1:15">
      <c r="B96" s="8"/>
      <c r="O96" s="15"/>
    </row>
    <row r="97" spans="2:15">
      <c r="B97" s="8"/>
      <c r="O97" s="15"/>
    </row>
    <row r="98" spans="2:15">
      <c r="B98" s="8"/>
      <c r="O98" s="15"/>
    </row>
    <row r="99" spans="2:15">
      <c r="B99" s="8"/>
      <c r="O99" s="15"/>
    </row>
    <row r="100" spans="2:15">
      <c r="B100" s="8"/>
      <c r="O100" s="15"/>
    </row>
    <row r="101" spans="2:15">
      <c r="B101" s="8"/>
      <c r="O101" s="15"/>
    </row>
    <row r="102" spans="2:15">
      <c r="B102" s="8"/>
      <c r="O102" s="15"/>
    </row>
    <row r="103" spans="2:15">
      <c r="B103" s="8"/>
      <c r="O103" s="15"/>
    </row>
    <row r="104" spans="2:15">
      <c r="B104" s="8"/>
      <c r="O104" s="15"/>
    </row>
    <row r="105" spans="2:15">
      <c r="B105" s="8"/>
      <c r="O105" s="15"/>
    </row>
    <row r="106" spans="2:15">
      <c r="B106" s="8"/>
      <c r="O106" s="15"/>
    </row>
    <row r="107" spans="2:15">
      <c r="B107" s="8"/>
      <c r="O107" s="15"/>
    </row>
    <row r="108" spans="2:15">
      <c r="B108" s="8"/>
      <c r="O108" s="15"/>
    </row>
    <row r="109" spans="2:15">
      <c r="B109" s="8"/>
      <c r="O109" s="15"/>
    </row>
    <row r="110" spans="2:15">
      <c r="B110" s="8"/>
      <c r="O110" s="15"/>
    </row>
    <row r="111" spans="2:15">
      <c r="B111" s="8"/>
      <c r="O111" s="15"/>
    </row>
    <row r="112" spans="2:15">
      <c r="B112" s="8"/>
      <c r="O112" s="15"/>
    </row>
    <row r="113" spans="2:15">
      <c r="B113" s="8"/>
      <c r="O113" s="15"/>
    </row>
    <row r="114" spans="2:15">
      <c r="B114" s="8"/>
      <c r="O114" s="15"/>
    </row>
    <row r="115" spans="2:15">
      <c r="B115" s="8"/>
      <c r="O115" s="15"/>
    </row>
    <row r="116" spans="2:15">
      <c r="B116" s="8"/>
      <c r="O116" s="15"/>
    </row>
    <row r="117" spans="2:15">
      <c r="B117" s="8"/>
      <c r="O117" s="15"/>
    </row>
    <row r="118" spans="2:15">
      <c r="B118" s="8"/>
      <c r="O118" s="15"/>
    </row>
    <row r="119" spans="2:15">
      <c r="B119" s="8"/>
      <c r="O119" s="15"/>
    </row>
    <row r="120" spans="2:15">
      <c r="B120" s="8"/>
      <c r="O120" s="15"/>
    </row>
    <row r="121" spans="2:15">
      <c r="B121" s="8"/>
      <c r="O121" s="15"/>
    </row>
    <row r="122" spans="2:15">
      <c r="B122" s="8"/>
      <c r="O122" s="15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</row>
    <row r="169" spans="2:15">
      <c r="B169" s="8"/>
    </row>
    <row r="170" spans="2:15">
      <c r="B170" s="8"/>
    </row>
    <row r="171" spans="2:15">
      <c r="B171" s="8"/>
    </row>
    <row r="172" spans="2:15">
      <c r="B172" s="8"/>
    </row>
    <row r="173" spans="2:15">
      <c r="B173" s="8"/>
    </row>
    <row r="174" spans="2:15">
      <c r="B174" s="8"/>
    </row>
    <row r="175" spans="2:15">
      <c r="B175" s="8"/>
    </row>
    <row r="176" spans="2:15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scale="92" orientation="landscape" r:id="rId1"/>
  <headerFooter alignWithMargins="0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N222"/>
  <sheetViews>
    <sheetView zoomScaleNormal="100" workbookViewId="0">
      <selection sqref="A1:N1"/>
    </sheetView>
  </sheetViews>
  <sheetFormatPr defaultColWidth="11.42578125" defaultRowHeight="12.75"/>
  <cols>
    <col min="1" max="1" width="8.7109375" customWidth="1"/>
    <col min="2" max="2" width="15.7109375" customWidth="1"/>
    <col min="3" max="3" width="11.42578125" customWidth="1"/>
    <col min="4" max="4" width="12" customWidth="1"/>
    <col min="5" max="5" width="12.7109375" customWidth="1"/>
    <col min="6" max="6" width="13" customWidth="1"/>
    <col min="7" max="7" width="12.28515625" customWidth="1"/>
    <col min="8" max="9" width="13.42578125" customWidth="1"/>
    <col min="10" max="10" width="12.42578125" customWidth="1"/>
    <col min="11" max="11" width="13.28515625" customWidth="1"/>
    <col min="12" max="12" width="12.140625" customWidth="1"/>
    <col min="13" max="13" width="12.42578125" customWidth="1"/>
    <col min="14" max="14" width="12.7109375" customWidth="1"/>
    <col min="15" max="16" width="15.710937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366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/>
      <c r="C8">
        <v>2</v>
      </c>
      <c r="D8">
        <v>3</v>
      </c>
      <c r="E8">
        <v>2</v>
      </c>
      <c r="F8">
        <v>2</v>
      </c>
      <c r="G8">
        <v>2</v>
      </c>
      <c r="H8">
        <v>2</v>
      </c>
      <c r="I8">
        <v>3</v>
      </c>
      <c r="J8">
        <v>2</v>
      </c>
      <c r="K8">
        <v>2</v>
      </c>
      <c r="L8">
        <v>2</v>
      </c>
      <c r="M8">
        <v>2</v>
      </c>
      <c r="N8">
        <v>2</v>
      </c>
    </row>
    <row r="9" spans="1:16">
      <c r="B9" s="8"/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</row>
    <row r="11" spans="1:16">
      <c r="B11" s="8"/>
      <c r="C11" s="25" t="s">
        <v>15</v>
      </c>
      <c r="D11" s="25" t="s">
        <v>15</v>
      </c>
      <c r="E11" s="25" t="s">
        <v>15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15</v>
      </c>
      <c r="M11" s="25" t="s">
        <v>15</v>
      </c>
      <c r="N11" s="25" t="s">
        <v>15</v>
      </c>
    </row>
    <row r="12" spans="1:16" ht="15">
      <c r="A12" s="15" t="s">
        <v>95</v>
      </c>
      <c r="B12" s="8"/>
      <c r="C12" s="121">
        <f ca="1">'Cash Flow 2017'!N92</f>
        <v>3761811.9379427554</v>
      </c>
      <c r="D12" s="20">
        <f t="shared" ref="D12:N12" ca="1" si="0">C92</f>
        <v>3356559.5345879095</v>
      </c>
      <c r="E12" s="20">
        <f t="shared" ca="1" si="0"/>
        <v>2735195.1782584167</v>
      </c>
      <c r="F12" s="20">
        <f t="shared" ca="1" si="0"/>
        <v>4241439.6399115641</v>
      </c>
      <c r="G12" s="20">
        <f t="shared" ca="1" si="0"/>
        <v>3740880.8245618558</v>
      </c>
      <c r="H12" s="20">
        <f t="shared" ca="1" si="0"/>
        <v>3218204.7172600417</v>
      </c>
      <c r="I12" s="20">
        <f t="shared" ca="1" si="0"/>
        <v>4782507.6810486838</v>
      </c>
      <c r="J12" s="20">
        <f t="shared" ca="1" si="0"/>
        <v>4127659.3566691596</v>
      </c>
      <c r="K12" s="20">
        <f t="shared" ca="1" si="0"/>
        <v>3636062.7279192931</v>
      </c>
      <c r="L12" s="20">
        <f t="shared" ca="1" si="0"/>
        <v>5198448.6549817082</v>
      </c>
      <c r="M12" s="20">
        <f t="shared" ca="1" si="0"/>
        <v>4727401.4662751323</v>
      </c>
      <c r="N12" s="20">
        <f t="shared" ca="1" si="0"/>
        <v>4349614.0822160589</v>
      </c>
    </row>
    <row r="13" spans="1:16">
      <c r="A13" s="4" t="s">
        <v>92</v>
      </c>
      <c r="B13" s="8"/>
    </row>
    <row r="14" spans="1:16">
      <c r="B14" s="8"/>
    </row>
    <row r="15" spans="1:16">
      <c r="A15" s="38" t="s">
        <v>143</v>
      </c>
      <c r="B15" s="8"/>
    </row>
    <row r="16" spans="1:16">
      <c r="A16">
        <v>734</v>
      </c>
      <c r="B16" s="9" t="s">
        <v>17</v>
      </c>
      <c r="C16" s="26">
        <v>0</v>
      </c>
      <c r="D16" s="26">
        <v>0</v>
      </c>
      <c r="E16" s="26">
        <f>A16*(12400/4)*1.02*1.02</f>
        <v>2367326.16</v>
      </c>
      <c r="F16" s="26">
        <v>0</v>
      </c>
      <c r="G16" s="26">
        <v>0</v>
      </c>
      <c r="H16" s="26">
        <f>E16</f>
        <v>2367326.16</v>
      </c>
      <c r="I16" s="26">
        <v>0</v>
      </c>
      <c r="J16" s="26">
        <v>0</v>
      </c>
      <c r="K16" s="26">
        <f>H16</f>
        <v>2367326.16</v>
      </c>
      <c r="L16" s="26">
        <v>0</v>
      </c>
      <c r="M16" s="26">
        <v>0</v>
      </c>
      <c r="N16" s="26">
        <f>K16</f>
        <v>2367326.16</v>
      </c>
      <c r="O16" s="37">
        <f>SUM(C16:N16)</f>
        <v>9469304.6400000006</v>
      </c>
      <c r="P16" t="s">
        <v>138</v>
      </c>
    </row>
    <row r="17" spans="1:16">
      <c r="B17" s="9" t="s">
        <v>178</v>
      </c>
      <c r="M17" s="114">
        <v>27146</v>
      </c>
      <c r="O17" s="37">
        <f>SUM(C17:N17)</f>
        <v>27146</v>
      </c>
      <c r="P17" t="s">
        <v>139</v>
      </c>
    </row>
    <row r="18" spans="1:16">
      <c r="B18" s="9" t="s">
        <v>170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15">
        <v>1653</v>
      </c>
      <c r="N18" s="26"/>
      <c r="O18" s="37">
        <f>SUM(C18:N18)</f>
        <v>1653</v>
      </c>
    </row>
    <row r="19" spans="1:16">
      <c r="B19" s="9" t="s">
        <v>162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5">
        <v>40000</v>
      </c>
      <c r="N19" s="26"/>
      <c r="O19" s="37">
        <f>SUM(C19:N19)</f>
        <v>40000</v>
      </c>
    </row>
    <row r="20" spans="1:16">
      <c r="B20" s="101" t="s">
        <v>244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5">
        <v>2740</v>
      </c>
      <c r="N20" s="26"/>
      <c r="O20" s="37"/>
    </row>
    <row r="21" spans="1:16">
      <c r="B21" s="101" t="s">
        <v>277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5">
        <v>2500</v>
      </c>
      <c r="N21" s="26"/>
      <c r="O21" s="37"/>
    </row>
    <row r="22" spans="1:16">
      <c r="B22" s="9" t="s">
        <v>243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4">
        <v>30000</v>
      </c>
      <c r="N22" s="26"/>
      <c r="O22" s="37"/>
    </row>
    <row r="23" spans="1:16">
      <c r="B23" s="9" t="s">
        <v>248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3">
        <v>18000</v>
      </c>
      <c r="N23" s="26"/>
      <c r="O23" s="37"/>
    </row>
    <row r="24" spans="1:16">
      <c r="B24" s="9" t="s">
        <v>195</v>
      </c>
      <c r="C24" s="26">
        <f>202*A16/12</f>
        <v>12355.666666666666</v>
      </c>
      <c r="D24" s="26">
        <f>C24</f>
        <v>12355.666666666666</v>
      </c>
      <c r="E24" s="26">
        <f t="shared" ref="E24:N24" si="1">D24</f>
        <v>12355.666666666666</v>
      </c>
      <c r="F24" s="26">
        <f t="shared" si="1"/>
        <v>12355.666666666666</v>
      </c>
      <c r="G24" s="26">
        <f t="shared" si="1"/>
        <v>12355.666666666666</v>
      </c>
      <c r="H24" s="26">
        <f t="shared" si="1"/>
        <v>12355.666666666666</v>
      </c>
      <c r="I24" s="26">
        <f t="shared" si="1"/>
        <v>12355.666666666666</v>
      </c>
      <c r="J24" s="26">
        <f t="shared" si="1"/>
        <v>12355.666666666666</v>
      </c>
      <c r="K24" s="26">
        <f t="shared" si="1"/>
        <v>12355.666666666666</v>
      </c>
      <c r="L24" s="26">
        <f t="shared" si="1"/>
        <v>12355.666666666666</v>
      </c>
      <c r="M24" s="26">
        <f t="shared" si="1"/>
        <v>12355.666666666666</v>
      </c>
      <c r="N24" s="26">
        <f t="shared" si="1"/>
        <v>12355.666666666666</v>
      </c>
      <c r="O24" s="37">
        <f>SUM(C24:N24)</f>
        <v>148268</v>
      </c>
    </row>
    <row r="25" spans="1:16">
      <c r="B25" s="9" t="s">
        <v>280</v>
      </c>
      <c r="C25" s="26">
        <f>122.12*A16/12</f>
        <v>7469.6733333333332</v>
      </c>
      <c r="D25" s="26">
        <f>C25</f>
        <v>7469.6733333333332</v>
      </c>
      <c r="E25" s="26">
        <f t="shared" ref="E25:N25" si="2">D25</f>
        <v>7469.6733333333332</v>
      </c>
      <c r="F25" s="26">
        <f t="shared" si="2"/>
        <v>7469.6733333333332</v>
      </c>
      <c r="G25" s="26">
        <f t="shared" si="2"/>
        <v>7469.6733333333332</v>
      </c>
      <c r="H25" s="26">
        <f t="shared" si="2"/>
        <v>7469.6733333333332</v>
      </c>
      <c r="I25" s="26">
        <f t="shared" si="2"/>
        <v>7469.6733333333332</v>
      </c>
      <c r="J25" s="26">
        <f t="shared" si="2"/>
        <v>7469.6733333333332</v>
      </c>
      <c r="K25" s="26">
        <f t="shared" si="2"/>
        <v>7469.6733333333332</v>
      </c>
      <c r="L25" s="26">
        <f t="shared" si="2"/>
        <v>7469.6733333333332</v>
      </c>
      <c r="M25" s="26">
        <f t="shared" si="2"/>
        <v>7469.6733333333332</v>
      </c>
      <c r="N25" s="26">
        <f t="shared" si="2"/>
        <v>7469.6733333333332</v>
      </c>
      <c r="O25" s="37"/>
    </row>
    <row r="26" spans="1:16">
      <c r="B26" s="9" t="s">
        <v>19</v>
      </c>
      <c r="C26" s="26">
        <v>0</v>
      </c>
      <c r="D26" s="26">
        <v>1000</v>
      </c>
      <c r="E26" s="26">
        <v>1000</v>
      </c>
      <c r="F26" s="26">
        <v>1000</v>
      </c>
      <c r="G26" s="26">
        <v>1000</v>
      </c>
      <c r="H26" s="26">
        <v>1000</v>
      </c>
      <c r="I26" s="26">
        <v>1000</v>
      </c>
      <c r="J26" s="26">
        <v>1000</v>
      </c>
      <c r="K26" s="26">
        <v>1000</v>
      </c>
      <c r="L26" s="26">
        <v>1000</v>
      </c>
      <c r="M26" s="26">
        <v>1000</v>
      </c>
      <c r="N26" s="26">
        <v>0</v>
      </c>
      <c r="O26" s="37">
        <f>SUM(C26:N26)</f>
        <v>10000</v>
      </c>
    </row>
    <row r="27" spans="1:16">
      <c r="B27" s="9" t="s">
        <v>20</v>
      </c>
      <c r="C27" s="26">
        <v>0</v>
      </c>
      <c r="D27" s="26">
        <v>0</v>
      </c>
      <c r="E27" s="26">
        <v>5000</v>
      </c>
      <c r="F27" s="26">
        <v>5000</v>
      </c>
      <c r="G27" s="26">
        <v>5000</v>
      </c>
      <c r="H27" s="26">
        <v>5000</v>
      </c>
      <c r="I27" s="26">
        <v>5000</v>
      </c>
      <c r="J27" s="26">
        <v>5000</v>
      </c>
      <c r="K27" s="26">
        <v>5000</v>
      </c>
      <c r="L27" s="26">
        <v>5000</v>
      </c>
      <c r="M27" s="26">
        <v>5000</v>
      </c>
      <c r="N27" s="26">
        <f>$P$27/10</f>
        <v>0</v>
      </c>
      <c r="O27" s="37">
        <f>SUM(C27:N27)</f>
        <v>45000</v>
      </c>
    </row>
    <row r="28" spans="1:16">
      <c r="B28" s="9" t="s">
        <v>247</v>
      </c>
      <c r="C28" s="26">
        <v>5000</v>
      </c>
      <c r="D28" s="26">
        <v>5000</v>
      </c>
      <c r="E28" s="26"/>
      <c r="F28" s="26"/>
      <c r="G28" s="26"/>
      <c r="H28" s="26"/>
      <c r="I28" s="26"/>
      <c r="J28" s="26"/>
      <c r="K28" s="26"/>
      <c r="L28" s="26"/>
      <c r="M28" s="26"/>
      <c r="N28" s="26">
        <v>5000</v>
      </c>
      <c r="O28" s="37"/>
    </row>
    <row r="29" spans="1:16">
      <c r="B29" s="9" t="s">
        <v>21</v>
      </c>
      <c r="C29" s="26">
        <v>500</v>
      </c>
      <c r="D29" s="26">
        <v>500</v>
      </c>
      <c r="E29" s="26">
        <v>500</v>
      </c>
      <c r="F29" s="26">
        <v>500</v>
      </c>
      <c r="G29" s="26">
        <v>500</v>
      </c>
      <c r="H29" s="26">
        <v>500</v>
      </c>
      <c r="I29" s="26">
        <v>500</v>
      </c>
      <c r="J29" s="26">
        <v>500</v>
      </c>
      <c r="K29" s="26">
        <v>500</v>
      </c>
      <c r="L29" s="26">
        <v>500</v>
      </c>
      <c r="M29" s="26">
        <v>500</v>
      </c>
      <c r="N29" s="26">
        <v>500</v>
      </c>
      <c r="O29" s="37">
        <f>SUM(C29:N29)</f>
        <v>6000</v>
      </c>
    </row>
    <row r="30" spans="1:16">
      <c r="B30" s="9" t="s">
        <v>101</v>
      </c>
      <c r="C30" s="2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7">
        <f>SUM(C30:N30)</f>
        <v>0</v>
      </c>
    </row>
    <row r="31" spans="1:16">
      <c r="A31" s="38" t="s">
        <v>96</v>
      </c>
      <c r="B31" s="9"/>
      <c r="C31" s="28">
        <f t="shared" ref="C31:N31" si="3">SUM(C16:C30)</f>
        <v>25325.34</v>
      </c>
      <c r="D31" s="28">
        <f t="shared" si="3"/>
        <v>26325.34</v>
      </c>
      <c r="E31" s="28">
        <f t="shared" si="3"/>
        <v>2393651.5</v>
      </c>
      <c r="F31" s="28">
        <f t="shared" si="3"/>
        <v>26325.34</v>
      </c>
      <c r="G31" s="28">
        <f t="shared" si="3"/>
        <v>26325.34</v>
      </c>
      <c r="H31" s="28">
        <f t="shared" si="3"/>
        <v>2393651.5</v>
      </c>
      <c r="I31" s="28">
        <f t="shared" si="3"/>
        <v>26325.34</v>
      </c>
      <c r="J31" s="28">
        <f t="shared" si="3"/>
        <v>26325.34</v>
      </c>
      <c r="K31" s="28">
        <f t="shared" si="3"/>
        <v>2393651.5</v>
      </c>
      <c r="L31" s="28">
        <f t="shared" si="3"/>
        <v>26325.34</v>
      </c>
      <c r="M31" s="28">
        <f t="shared" si="3"/>
        <v>148364.34</v>
      </c>
      <c r="N31" s="28">
        <f t="shared" si="3"/>
        <v>2392651.5</v>
      </c>
    </row>
    <row r="32" spans="1:16">
      <c r="A32" s="38" t="s">
        <v>98</v>
      </c>
      <c r="B32" s="10"/>
      <c r="C32" s="29">
        <f t="shared" ref="C32:N32" ca="1" si="4">C31+C12</f>
        <v>3767311.9379427554</v>
      </c>
      <c r="D32" s="29">
        <f t="shared" ca="1" si="4"/>
        <v>3379059.5345879095</v>
      </c>
      <c r="E32" s="29">
        <f t="shared" ca="1" si="4"/>
        <v>4816848.7782584168</v>
      </c>
      <c r="F32" s="29">
        <f t="shared" ca="1" si="4"/>
        <v>4258939.6399115641</v>
      </c>
      <c r="G32" s="29">
        <f t="shared" ca="1" si="4"/>
        <v>3758380.8245618558</v>
      </c>
      <c r="H32" s="29">
        <f t="shared" ca="1" si="4"/>
        <v>5299858.3172600418</v>
      </c>
      <c r="I32" s="29">
        <f t="shared" ca="1" si="4"/>
        <v>4800007.6810486838</v>
      </c>
      <c r="J32" s="29">
        <f t="shared" ca="1" si="4"/>
        <v>4145159.3566691596</v>
      </c>
      <c r="K32" s="29">
        <f t="shared" ca="1" si="4"/>
        <v>5717716.3279192932</v>
      </c>
      <c r="L32" s="29">
        <f t="shared" ca="1" si="4"/>
        <v>5215948.6549817082</v>
      </c>
      <c r="M32" s="29">
        <f t="shared" ca="1" si="4"/>
        <v>4866940.4662751323</v>
      </c>
      <c r="N32" s="29">
        <f t="shared" ca="1" si="4"/>
        <v>6419267.6822160594</v>
      </c>
    </row>
    <row r="33" spans="1:17">
      <c r="B33" s="8"/>
    </row>
    <row r="34" spans="1:17">
      <c r="A34" s="4" t="s">
        <v>99</v>
      </c>
      <c r="B34" s="8"/>
      <c r="M34" s="196" t="s">
        <v>435</v>
      </c>
    </row>
    <row r="35" spans="1:17">
      <c r="A35" s="19" t="s">
        <v>92</v>
      </c>
      <c r="B35" s="8" t="s">
        <v>92</v>
      </c>
    </row>
    <row r="36" spans="1:17">
      <c r="B36" s="9" t="s">
        <v>304</v>
      </c>
      <c r="C36" s="105">
        <f>'Cash Flow 2016'!N37</f>
        <v>317803.80463076918</v>
      </c>
      <c r="D36" s="26">
        <f>(Personnel!$L$253)*('Cash Flow 2019'!D$8)+(Personnel!$K$250)</f>
        <v>520443.41693169228</v>
      </c>
      <c r="E36" s="26">
        <f>(Personnel!$M$253)*('Cash Flow 2019'!E$8)+(Personnel!$M$250)</f>
        <v>412001.99085725541</v>
      </c>
      <c r="F36" s="26">
        <f>(Personnel!$M$253)*('Cash Flow 2019'!F$8)+(Personnel!$M$250)</f>
        <v>412001.99085725541</v>
      </c>
      <c r="G36" s="26">
        <f>(Personnel!$M$253)*('Cash Flow 2019'!G$8)+(Personnel!$M$250)</f>
        <v>412001.99085725541</v>
      </c>
      <c r="H36" s="26">
        <f>(Personnel!$M$253)*('Cash Flow 2019'!H$8)+(Personnel!$M$250)</f>
        <v>412001.99085725541</v>
      </c>
      <c r="I36" s="26">
        <f>(Personnel!$M$253)*('Cash Flow 2019'!I$8)+(Personnel!$M$250)</f>
        <v>596653.44128588308</v>
      </c>
      <c r="J36" s="26">
        <f>(Personnel!$M$253)*('Cash Flow 2019'!J$8)+(Personnel!$M$250)</f>
        <v>412001.99085725541</v>
      </c>
      <c r="K36" s="26">
        <f>(Personnel!$M$253)*('Cash Flow 2019'!K$8)+(Personnel!$M$250)</f>
        <v>412001.99085725541</v>
      </c>
      <c r="L36" s="26">
        <f>(Personnel!$M$253)*('Cash Flow 2019'!L$8)+(Personnel!$M$250)</f>
        <v>412001.99085725541</v>
      </c>
      <c r="M36" s="26">
        <f>(Personnel!$M$253)*('Cash Flow 2019'!M$8)+(Personnel!$M$250)</f>
        <v>412001.99085725541</v>
      </c>
      <c r="N36" s="26">
        <f>(Personnel!$M$253)*('Cash Flow 2019'!N$8)+(Personnel!$M$250)</f>
        <v>412001.99085725541</v>
      </c>
      <c r="O36" s="116">
        <f>SUM(C36:N36)</f>
        <v>5142918.5805636439</v>
      </c>
      <c r="P36" s="37">
        <f>O36-C36+E36</f>
        <v>5237116.7667901302</v>
      </c>
      <c r="Q36" s="37"/>
    </row>
    <row r="37" spans="1:17">
      <c r="B37" s="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7"/>
    </row>
    <row r="38" spans="1:17">
      <c r="A38" s="8"/>
      <c r="B38" s="41" t="s">
        <v>330</v>
      </c>
      <c r="C38" s="26">
        <f>1000</f>
        <v>1000</v>
      </c>
      <c r="D38" s="26">
        <v>1000</v>
      </c>
      <c r="E38" s="26">
        <v>1000</v>
      </c>
      <c r="F38" s="26">
        <v>1000</v>
      </c>
      <c r="G38" s="26">
        <v>1000</v>
      </c>
      <c r="H38" s="26">
        <v>1000</v>
      </c>
      <c r="I38" s="26">
        <v>1000</v>
      </c>
      <c r="J38" s="26">
        <v>1000</v>
      </c>
      <c r="K38" s="26">
        <v>1000</v>
      </c>
      <c r="L38" s="26">
        <v>1000</v>
      </c>
      <c r="M38" s="26">
        <v>1000</v>
      </c>
      <c r="N38" s="26">
        <v>1000</v>
      </c>
      <c r="O38" s="37">
        <f t="shared" ref="O38:O69" si="5">SUM(C38:N38)</f>
        <v>12000</v>
      </c>
    </row>
    <row r="39" spans="1:17">
      <c r="A39" s="8"/>
      <c r="B39" s="41" t="s">
        <v>37</v>
      </c>
      <c r="C39" s="26">
        <f>22000/12</f>
        <v>1833.3333333333333</v>
      </c>
      <c r="D39" s="26">
        <f t="shared" ref="D39:N39" si="6">22000/12</f>
        <v>1833.3333333333333</v>
      </c>
      <c r="E39" s="26">
        <f t="shared" si="6"/>
        <v>1833.3333333333333</v>
      </c>
      <c r="F39" s="26">
        <f t="shared" si="6"/>
        <v>1833.3333333333333</v>
      </c>
      <c r="G39" s="26">
        <f t="shared" si="6"/>
        <v>1833.3333333333333</v>
      </c>
      <c r="H39" s="26">
        <f t="shared" si="6"/>
        <v>1833.3333333333333</v>
      </c>
      <c r="I39" s="26">
        <f t="shared" si="6"/>
        <v>1833.3333333333333</v>
      </c>
      <c r="J39" s="26">
        <f t="shared" si="6"/>
        <v>1833.3333333333333</v>
      </c>
      <c r="K39" s="26">
        <f t="shared" si="6"/>
        <v>1833.3333333333333</v>
      </c>
      <c r="L39" s="26">
        <f t="shared" si="6"/>
        <v>1833.3333333333333</v>
      </c>
      <c r="M39" s="26">
        <f t="shared" si="6"/>
        <v>1833.3333333333333</v>
      </c>
      <c r="N39" s="26">
        <f t="shared" si="6"/>
        <v>1833.3333333333333</v>
      </c>
      <c r="O39" s="37">
        <v>22000</v>
      </c>
    </row>
    <row r="40" spans="1:17">
      <c r="A40" s="8"/>
      <c r="B40" s="41" t="s">
        <v>38</v>
      </c>
      <c r="C40" s="26">
        <f>6874.60781148+4000</f>
        <v>10874.60781148</v>
      </c>
      <c r="D40" s="26">
        <f>13082.91440744+4000</f>
        <v>17082.914407439999</v>
      </c>
      <c r="E40" s="26">
        <f>30042.08115652+4000</f>
        <v>34042.081156519998</v>
      </c>
      <c r="F40" s="26">
        <f>6534.70415086+4000</f>
        <v>10534.70415086</v>
      </c>
      <c r="G40" s="26">
        <f>6273.58610694+4000</f>
        <v>10273.58610694</v>
      </c>
      <c r="H40" s="26">
        <f>7155.98501398+4000</f>
        <v>11155.98501398</v>
      </c>
      <c r="I40" s="26">
        <f>20684.60091018+4000</f>
        <v>24684.600910180001</v>
      </c>
      <c r="J40" s="26">
        <f>13611.90354814+4000</f>
        <v>17611.903548139999</v>
      </c>
      <c r="K40" s="26">
        <f>10442.47073918+4000</f>
        <v>14442.47073918</v>
      </c>
      <c r="L40" s="26">
        <f>4024.81950456+4000</f>
        <v>8024.8195045600005</v>
      </c>
      <c r="M40" s="26">
        <f>6753.05286+4000</f>
        <v>10753.05286</v>
      </c>
      <c r="N40" s="26">
        <f>6753.05286+4000</f>
        <v>10753.05286</v>
      </c>
      <c r="O40" s="37">
        <f t="shared" si="5"/>
        <v>180233.77906927996</v>
      </c>
    </row>
    <row r="41" spans="1:17">
      <c r="A41" s="8"/>
      <c r="B41" s="41" t="s">
        <v>100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37">
        <f t="shared" si="5"/>
        <v>0</v>
      </c>
    </row>
    <row r="42" spans="1:17">
      <c r="A42" s="8"/>
      <c r="B42" s="41" t="s">
        <v>39</v>
      </c>
      <c r="C42" s="26">
        <v>10000</v>
      </c>
      <c r="D42" s="26">
        <v>10000</v>
      </c>
      <c r="E42" s="26">
        <v>10000</v>
      </c>
      <c r="F42" s="26">
        <v>10000</v>
      </c>
      <c r="G42" s="26">
        <v>10000</v>
      </c>
      <c r="H42" s="26">
        <v>10000</v>
      </c>
      <c r="I42" s="26">
        <v>10000</v>
      </c>
      <c r="J42" s="26">
        <v>10000</v>
      </c>
      <c r="K42" s="26">
        <v>10000</v>
      </c>
      <c r="L42" s="26">
        <v>10000</v>
      </c>
      <c r="M42" s="26">
        <v>10000</v>
      </c>
      <c r="N42" s="26">
        <v>10000</v>
      </c>
      <c r="O42" s="37">
        <f t="shared" si="5"/>
        <v>120000</v>
      </c>
    </row>
    <row r="43" spans="1:17">
      <c r="A43" s="8"/>
      <c r="B43" s="9" t="s">
        <v>149</v>
      </c>
      <c r="C43" s="26">
        <f>'Cash Flow 2017'!C43</f>
        <v>65796.59</v>
      </c>
      <c r="D43" s="26">
        <f>'Cash Flow 2017'!D43</f>
        <v>65796.59</v>
      </c>
      <c r="E43" s="26">
        <f>'Cash Flow 2017'!E43</f>
        <v>65796.59</v>
      </c>
      <c r="F43" s="26">
        <f>'Cash Flow 2017'!F43</f>
        <v>65796.59</v>
      </c>
      <c r="G43" s="26">
        <f>'Cash Flow 2017'!G43</f>
        <v>65796.59</v>
      </c>
      <c r="H43" s="26">
        <f>'Cash Flow 2017'!H43</f>
        <v>65796.59</v>
      </c>
      <c r="I43" s="26">
        <f>'Cash Flow 2017'!I43</f>
        <v>65796.59</v>
      </c>
      <c r="J43" s="26">
        <f>'Cash Flow 2017'!J43</f>
        <v>65796.59</v>
      </c>
      <c r="K43" s="26">
        <f>'Cash Flow 2017'!K43</f>
        <v>65796.59</v>
      </c>
      <c r="L43" s="26">
        <f>'Cash Flow 2017'!L43</f>
        <v>65796.59</v>
      </c>
      <c r="M43" s="26">
        <f>'Cash Flow 2017'!M43</f>
        <v>65796.59</v>
      </c>
      <c r="N43" s="26">
        <f>'Cash Flow 2017'!N43</f>
        <v>65796.59</v>
      </c>
      <c r="O43" s="37">
        <f t="shared" si="5"/>
        <v>789559.07999999973</v>
      </c>
    </row>
    <row r="44" spans="1:17" hidden="1">
      <c r="B44" s="9" t="s">
        <v>41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7">
        <f t="shared" si="5"/>
        <v>0</v>
      </c>
    </row>
    <row r="45" spans="1:17" hidden="1">
      <c r="B45" s="9" t="s">
        <v>42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7">
        <f t="shared" si="5"/>
        <v>0</v>
      </c>
    </row>
    <row r="46" spans="1:17" hidden="1">
      <c r="B46" s="9" t="s">
        <v>43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7">
        <f t="shared" si="5"/>
        <v>0</v>
      </c>
    </row>
    <row r="47" spans="1:17" hidden="1">
      <c r="B47" s="9" t="s">
        <v>44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7">
        <f t="shared" si="5"/>
        <v>0</v>
      </c>
    </row>
    <row r="48" spans="1:17" hidden="1">
      <c r="B48" s="9" t="s">
        <v>45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7">
        <f t="shared" si="5"/>
        <v>0</v>
      </c>
    </row>
    <row r="49" spans="2:15" hidden="1">
      <c r="B49" s="9" t="s">
        <v>46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7">
        <f t="shared" si="5"/>
        <v>0</v>
      </c>
    </row>
    <row r="50" spans="2:15">
      <c r="B50" s="9" t="s">
        <v>371</v>
      </c>
      <c r="C50" s="26">
        <v>20000</v>
      </c>
      <c r="D50" s="26">
        <v>20000</v>
      </c>
      <c r="E50" s="26">
        <v>20000</v>
      </c>
      <c r="F50" s="26">
        <v>20000</v>
      </c>
      <c r="G50" s="26">
        <v>20000</v>
      </c>
      <c r="H50" s="26">
        <v>20000</v>
      </c>
      <c r="I50" s="26">
        <v>20000</v>
      </c>
      <c r="J50" s="26">
        <v>20000</v>
      </c>
      <c r="K50" s="26">
        <v>20000</v>
      </c>
      <c r="L50" s="26">
        <v>20000</v>
      </c>
      <c r="M50" s="26">
        <v>20000</v>
      </c>
      <c r="N50" s="26">
        <v>20000</v>
      </c>
      <c r="O50" s="37">
        <f t="shared" si="5"/>
        <v>240000</v>
      </c>
    </row>
    <row r="51" spans="2:15">
      <c r="B51" s="9" t="s">
        <v>47</v>
      </c>
      <c r="C51" s="26">
        <v>0</v>
      </c>
      <c r="D51" s="26">
        <v>0</v>
      </c>
      <c r="E51" s="26">
        <v>0</v>
      </c>
      <c r="F51" s="26">
        <v>14000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7">
        <f t="shared" si="5"/>
        <v>14000</v>
      </c>
    </row>
    <row r="52" spans="2:15">
      <c r="B52" s="9" t="s">
        <v>48</v>
      </c>
      <c r="C52" s="26">
        <v>2000</v>
      </c>
      <c r="D52" s="26">
        <v>2000</v>
      </c>
      <c r="E52" s="26">
        <v>2000</v>
      </c>
      <c r="F52" s="26">
        <v>2000</v>
      </c>
      <c r="G52" s="26">
        <v>2000</v>
      </c>
      <c r="H52" s="26">
        <v>2000</v>
      </c>
      <c r="I52" s="26">
        <v>2000</v>
      </c>
      <c r="J52" s="26">
        <v>2000</v>
      </c>
      <c r="K52" s="26">
        <v>2000</v>
      </c>
      <c r="L52" s="26">
        <v>2000</v>
      </c>
      <c r="M52" s="26">
        <v>2000</v>
      </c>
      <c r="N52" s="26">
        <v>2000</v>
      </c>
      <c r="O52" s="37">
        <f t="shared" si="5"/>
        <v>24000</v>
      </c>
    </row>
    <row r="53" spans="2:15">
      <c r="B53" s="9" t="s">
        <v>49</v>
      </c>
      <c r="C53" s="26">
        <v>8000</v>
      </c>
      <c r="D53" s="26">
        <v>8000</v>
      </c>
      <c r="E53" s="26">
        <v>8000</v>
      </c>
      <c r="F53" s="26">
        <v>8000</v>
      </c>
      <c r="G53" s="26">
        <v>8000</v>
      </c>
      <c r="H53" s="26">
        <v>8000</v>
      </c>
      <c r="I53" s="26">
        <v>8000</v>
      </c>
      <c r="J53" s="26">
        <v>8000</v>
      </c>
      <c r="K53" s="26">
        <v>8000</v>
      </c>
      <c r="L53" s="26">
        <v>8000</v>
      </c>
      <c r="M53" s="26">
        <v>8000</v>
      </c>
      <c r="N53" s="26">
        <v>8000</v>
      </c>
      <c r="O53" s="37">
        <f t="shared" si="5"/>
        <v>96000</v>
      </c>
    </row>
    <row r="54" spans="2:15">
      <c r="B54" s="9" t="s">
        <v>51</v>
      </c>
      <c r="C54" s="26">
        <v>5000</v>
      </c>
      <c r="D54" s="26">
        <v>5000</v>
      </c>
      <c r="E54" s="26">
        <v>5000</v>
      </c>
      <c r="F54" s="26">
        <v>5000</v>
      </c>
      <c r="G54" s="26">
        <v>5000</v>
      </c>
      <c r="H54" s="26">
        <v>5000</v>
      </c>
      <c r="I54" s="26">
        <v>5000</v>
      </c>
      <c r="J54" s="26">
        <v>5000</v>
      </c>
      <c r="K54" s="26">
        <v>5000</v>
      </c>
      <c r="L54" s="26">
        <v>5000</v>
      </c>
      <c r="M54" s="26">
        <v>5000</v>
      </c>
      <c r="N54" s="26">
        <v>5000</v>
      </c>
      <c r="O54" s="37">
        <f t="shared" si="5"/>
        <v>60000</v>
      </c>
    </row>
    <row r="55" spans="2:15">
      <c r="B55" s="9" t="s">
        <v>52</v>
      </c>
      <c r="C55" s="26">
        <v>1500</v>
      </c>
      <c r="D55" s="26">
        <v>1500</v>
      </c>
      <c r="E55" s="26">
        <v>1500</v>
      </c>
      <c r="F55" s="26">
        <v>1500</v>
      </c>
      <c r="G55" s="26">
        <v>1500</v>
      </c>
      <c r="H55" s="26">
        <v>1500</v>
      </c>
      <c r="I55" s="26">
        <v>1500</v>
      </c>
      <c r="J55" s="26">
        <v>1500</v>
      </c>
      <c r="K55" s="26">
        <v>1500</v>
      </c>
      <c r="L55" s="26">
        <v>1500</v>
      </c>
      <c r="M55" s="26">
        <v>1500</v>
      </c>
      <c r="N55" s="26">
        <v>1500</v>
      </c>
      <c r="O55" s="37">
        <f t="shared" si="5"/>
        <v>18000</v>
      </c>
    </row>
    <row r="56" spans="2:15">
      <c r="B56" s="9" t="s">
        <v>53</v>
      </c>
      <c r="C56" s="26">
        <v>2000</v>
      </c>
      <c r="D56" s="26">
        <v>2000</v>
      </c>
      <c r="E56" s="26">
        <v>2000</v>
      </c>
      <c r="F56" s="26">
        <v>2000</v>
      </c>
      <c r="G56" s="26">
        <v>2000</v>
      </c>
      <c r="H56" s="26">
        <v>2000</v>
      </c>
      <c r="I56" s="26">
        <v>2000</v>
      </c>
      <c r="J56" s="26">
        <v>2000</v>
      </c>
      <c r="K56" s="26">
        <v>2000</v>
      </c>
      <c r="L56" s="26">
        <v>2000</v>
      </c>
      <c r="M56" s="26">
        <v>2000</v>
      </c>
      <c r="N56" s="26">
        <v>2000</v>
      </c>
      <c r="O56" s="37">
        <f t="shared" si="5"/>
        <v>24000</v>
      </c>
    </row>
    <row r="57" spans="2:15">
      <c r="B57" s="9" t="s">
        <v>54</v>
      </c>
      <c r="C57" s="26">
        <v>3600</v>
      </c>
      <c r="D57" s="26">
        <v>3600</v>
      </c>
      <c r="E57" s="26">
        <v>3600</v>
      </c>
      <c r="F57" s="26">
        <v>3600</v>
      </c>
      <c r="G57" s="26">
        <v>3600</v>
      </c>
      <c r="H57" s="26">
        <v>3600</v>
      </c>
      <c r="I57" s="26">
        <v>3600</v>
      </c>
      <c r="J57" s="26">
        <v>3600</v>
      </c>
      <c r="K57" s="26">
        <v>3600</v>
      </c>
      <c r="L57" s="26">
        <v>3600</v>
      </c>
      <c r="M57" s="26">
        <v>3600</v>
      </c>
      <c r="N57" s="26">
        <v>3600</v>
      </c>
      <c r="O57" s="37">
        <f t="shared" si="5"/>
        <v>43200</v>
      </c>
    </row>
    <row r="58" spans="2:15">
      <c r="B58" s="9" t="s">
        <v>55</v>
      </c>
      <c r="C58" s="26">
        <v>1250</v>
      </c>
      <c r="D58" s="26">
        <v>1250</v>
      </c>
      <c r="E58" s="26">
        <v>1250</v>
      </c>
      <c r="F58" s="26">
        <v>1250</v>
      </c>
      <c r="G58" s="26">
        <v>1250</v>
      </c>
      <c r="H58" s="26">
        <v>1250</v>
      </c>
      <c r="I58" s="26">
        <v>1250</v>
      </c>
      <c r="J58" s="26">
        <v>1250</v>
      </c>
      <c r="K58" s="26">
        <v>1250</v>
      </c>
      <c r="L58" s="26">
        <v>1250</v>
      </c>
      <c r="M58" s="26">
        <v>1250</v>
      </c>
      <c r="N58" s="26">
        <v>1250</v>
      </c>
      <c r="O58" s="37">
        <f t="shared" si="5"/>
        <v>15000</v>
      </c>
    </row>
    <row r="59" spans="2:15">
      <c r="B59" s="9" t="s">
        <v>56</v>
      </c>
      <c r="C59" s="26">
        <v>500</v>
      </c>
      <c r="D59" s="26">
        <v>500</v>
      </c>
      <c r="E59" s="26">
        <v>500</v>
      </c>
      <c r="F59" s="26">
        <v>500</v>
      </c>
      <c r="G59" s="26">
        <v>500</v>
      </c>
      <c r="H59" s="26">
        <v>500</v>
      </c>
      <c r="I59" s="26">
        <v>500</v>
      </c>
      <c r="J59" s="26">
        <v>500</v>
      </c>
      <c r="K59" s="26">
        <v>500</v>
      </c>
      <c r="L59" s="26">
        <v>500</v>
      </c>
      <c r="M59" s="26">
        <v>500</v>
      </c>
      <c r="N59" s="26">
        <v>500</v>
      </c>
      <c r="O59" s="37">
        <f t="shared" si="5"/>
        <v>6000</v>
      </c>
    </row>
    <row r="60" spans="2:15">
      <c r="B60" s="9" t="s">
        <v>57</v>
      </c>
      <c r="C60" s="26">
        <v>700</v>
      </c>
      <c r="D60" s="26">
        <v>700</v>
      </c>
      <c r="E60" s="26">
        <v>700</v>
      </c>
      <c r="F60" s="26">
        <v>700</v>
      </c>
      <c r="G60" s="26">
        <v>700</v>
      </c>
      <c r="H60" s="26">
        <v>700</v>
      </c>
      <c r="I60" s="26">
        <v>700</v>
      </c>
      <c r="J60" s="26">
        <v>700</v>
      </c>
      <c r="K60" s="26">
        <v>700</v>
      </c>
      <c r="L60" s="26">
        <v>700</v>
      </c>
      <c r="M60" s="26">
        <v>700</v>
      </c>
      <c r="N60" s="26">
        <v>700</v>
      </c>
      <c r="O60" s="37">
        <f t="shared" si="5"/>
        <v>8400</v>
      </c>
    </row>
    <row r="61" spans="2:15">
      <c r="B61" s="9" t="s">
        <v>60</v>
      </c>
      <c r="C61" s="26">
        <v>1000</v>
      </c>
      <c r="D61" s="26">
        <v>1000</v>
      </c>
      <c r="E61" s="26">
        <v>1000</v>
      </c>
      <c r="F61" s="26">
        <v>1000</v>
      </c>
      <c r="G61" s="26">
        <v>1000</v>
      </c>
      <c r="H61" s="26">
        <v>1000</v>
      </c>
      <c r="I61" s="26">
        <v>1000</v>
      </c>
      <c r="J61" s="26">
        <v>1000</v>
      </c>
      <c r="K61" s="26">
        <v>1000</v>
      </c>
      <c r="L61" s="26">
        <v>1000</v>
      </c>
      <c r="M61" s="26">
        <v>1000</v>
      </c>
      <c r="N61" s="26">
        <v>1000</v>
      </c>
      <c r="O61" s="37">
        <f t="shared" si="5"/>
        <v>12000</v>
      </c>
    </row>
    <row r="62" spans="2:15">
      <c r="B62" s="9" t="s">
        <v>63</v>
      </c>
      <c r="C62" s="26">
        <v>0</v>
      </c>
      <c r="D62" s="26">
        <v>1000</v>
      </c>
      <c r="E62" s="26">
        <v>1000</v>
      </c>
      <c r="F62" s="26">
        <v>0</v>
      </c>
      <c r="G62" s="26">
        <v>6000</v>
      </c>
      <c r="H62" s="26">
        <v>4000</v>
      </c>
      <c r="I62" s="26">
        <v>4000</v>
      </c>
      <c r="J62" s="26">
        <v>1000</v>
      </c>
      <c r="K62" s="26">
        <v>2000</v>
      </c>
      <c r="L62" s="26">
        <v>2000</v>
      </c>
      <c r="M62" s="26">
        <v>2000</v>
      </c>
      <c r="N62" s="26">
        <v>1000</v>
      </c>
      <c r="O62" s="37">
        <f t="shared" si="5"/>
        <v>24000</v>
      </c>
    </row>
    <row r="63" spans="2:15">
      <c r="B63" s="9" t="s">
        <v>303</v>
      </c>
      <c r="C63" s="26">
        <v>0</v>
      </c>
      <c r="D63" s="26">
        <v>3000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37">
        <f t="shared" si="5"/>
        <v>3000</v>
      </c>
    </row>
    <row r="64" spans="2:15">
      <c r="B64" s="9" t="s">
        <v>65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37">
        <f t="shared" si="5"/>
        <v>0</v>
      </c>
    </row>
    <row r="65" spans="1:170">
      <c r="B65" s="9" t="s">
        <v>66</v>
      </c>
      <c r="C65" s="26"/>
      <c r="D65" s="26">
        <v>8000</v>
      </c>
      <c r="E65" s="26">
        <v>0</v>
      </c>
      <c r="F65" s="26">
        <v>0</v>
      </c>
      <c r="G65" s="26">
        <v>8000</v>
      </c>
      <c r="H65" s="26">
        <v>0</v>
      </c>
      <c r="I65" s="26">
        <v>0</v>
      </c>
      <c r="J65" s="26">
        <v>8000</v>
      </c>
      <c r="K65" s="26">
        <v>0</v>
      </c>
      <c r="L65" s="26">
        <v>0</v>
      </c>
      <c r="M65" s="26">
        <v>8000</v>
      </c>
      <c r="N65" s="26">
        <v>0</v>
      </c>
      <c r="O65" s="37">
        <f t="shared" si="5"/>
        <v>32000</v>
      </c>
    </row>
    <row r="66" spans="1:170" hidden="1">
      <c r="B66" s="9" t="s">
        <v>67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7">
        <f t="shared" si="5"/>
        <v>0</v>
      </c>
    </row>
    <row r="67" spans="1:170" hidden="1">
      <c r="B67" s="9" t="s">
        <v>68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7">
        <f t="shared" si="5"/>
        <v>0</v>
      </c>
    </row>
    <row r="68" spans="1:170">
      <c r="B68" s="9" t="s">
        <v>69</v>
      </c>
      <c r="C68" s="26">
        <v>100</v>
      </c>
      <c r="D68" s="26">
        <v>100</v>
      </c>
      <c r="E68" s="26">
        <v>100</v>
      </c>
      <c r="F68" s="26">
        <v>100</v>
      </c>
      <c r="G68" s="26">
        <v>100</v>
      </c>
      <c r="H68" s="26">
        <v>100</v>
      </c>
      <c r="I68" s="26">
        <v>100</v>
      </c>
      <c r="J68" s="26">
        <v>100</v>
      </c>
      <c r="K68" s="26">
        <v>100</v>
      </c>
      <c r="L68" s="26">
        <v>100</v>
      </c>
      <c r="M68" s="26">
        <v>100</v>
      </c>
      <c r="N68" s="26">
        <v>100</v>
      </c>
      <c r="O68" s="37">
        <f t="shared" si="5"/>
        <v>1200</v>
      </c>
    </row>
    <row r="69" spans="1:170">
      <c r="B69" s="9" t="s">
        <v>71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7">
        <f t="shared" si="5"/>
        <v>0</v>
      </c>
    </row>
    <row r="70" spans="1:170">
      <c r="B70" s="9" t="s">
        <v>72</v>
      </c>
      <c r="C70" s="26">
        <v>3600</v>
      </c>
      <c r="D70" s="26">
        <v>3600</v>
      </c>
      <c r="E70" s="26">
        <v>3600</v>
      </c>
      <c r="F70" s="26">
        <v>3600</v>
      </c>
      <c r="G70" s="26">
        <v>3600</v>
      </c>
      <c r="H70" s="26">
        <v>3600</v>
      </c>
      <c r="I70" s="26">
        <v>3600</v>
      </c>
      <c r="J70" s="26">
        <v>3600</v>
      </c>
      <c r="K70" s="26">
        <v>3600</v>
      </c>
      <c r="L70" s="26">
        <v>3600</v>
      </c>
      <c r="M70" s="26">
        <v>3600</v>
      </c>
      <c r="N70" s="26">
        <v>3600</v>
      </c>
      <c r="O70" s="37">
        <f t="shared" ref="O70:O88" si="7">SUM(C70:N70)</f>
        <v>43200</v>
      </c>
    </row>
    <row r="71" spans="1:170">
      <c r="B71" s="9" t="s">
        <v>73</v>
      </c>
      <c r="C71" s="26">
        <v>3000</v>
      </c>
      <c r="D71" s="26">
        <v>3000</v>
      </c>
      <c r="E71" s="26">
        <v>3000</v>
      </c>
      <c r="F71" s="26">
        <v>3000</v>
      </c>
      <c r="G71" s="26">
        <v>3000</v>
      </c>
      <c r="H71" s="26">
        <v>3000</v>
      </c>
      <c r="I71" s="26">
        <v>3000</v>
      </c>
      <c r="J71" s="26">
        <v>3000</v>
      </c>
      <c r="K71" s="26">
        <v>3000</v>
      </c>
      <c r="L71" s="26">
        <v>3000</v>
      </c>
      <c r="M71" s="26">
        <v>3000</v>
      </c>
      <c r="N71" s="26">
        <v>3000</v>
      </c>
      <c r="O71" s="37">
        <f t="shared" si="7"/>
        <v>36000</v>
      </c>
    </row>
    <row r="72" spans="1:170">
      <c r="B72" s="9" t="s">
        <v>74</v>
      </c>
      <c r="C72" s="26">
        <v>0</v>
      </c>
      <c r="D72" s="26">
        <v>17000</v>
      </c>
      <c r="E72" s="26">
        <v>17000</v>
      </c>
      <c r="F72" s="26">
        <v>17000</v>
      </c>
      <c r="G72" s="26">
        <v>17000</v>
      </c>
      <c r="H72" s="26">
        <v>17000</v>
      </c>
      <c r="I72" s="26">
        <v>17000</v>
      </c>
      <c r="J72" s="26">
        <v>17000</v>
      </c>
      <c r="K72" s="26">
        <v>17000</v>
      </c>
      <c r="L72" s="26">
        <v>17000</v>
      </c>
      <c r="M72" s="26">
        <v>17000</v>
      </c>
      <c r="N72" s="26">
        <v>17000</v>
      </c>
      <c r="O72" s="37">
        <f t="shared" si="7"/>
        <v>187000</v>
      </c>
    </row>
    <row r="73" spans="1:170">
      <c r="B73" s="9" t="s">
        <v>75</v>
      </c>
      <c r="C73" s="26">
        <v>600</v>
      </c>
      <c r="D73" s="26">
        <v>600</v>
      </c>
      <c r="E73" s="26">
        <v>600</v>
      </c>
      <c r="F73" s="26">
        <v>600</v>
      </c>
      <c r="G73" s="26">
        <v>600</v>
      </c>
      <c r="H73" s="26">
        <v>600</v>
      </c>
      <c r="I73" s="26">
        <v>600</v>
      </c>
      <c r="J73" s="26">
        <v>600</v>
      </c>
      <c r="K73" s="26">
        <v>600</v>
      </c>
      <c r="L73" s="26">
        <v>600</v>
      </c>
      <c r="M73" s="26">
        <v>600</v>
      </c>
      <c r="N73" s="26">
        <v>600</v>
      </c>
      <c r="O73" s="37">
        <f t="shared" si="7"/>
        <v>7200</v>
      </c>
    </row>
    <row r="74" spans="1:170">
      <c r="B74" s="41" t="s">
        <v>76</v>
      </c>
      <c r="C74" s="105">
        <f t="shared" ref="C74:N74" si="8">9500/12</f>
        <v>791.66666666666663</v>
      </c>
      <c r="D74" s="105">
        <f t="shared" si="8"/>
        <v>791.66666666666663</v>
      </c>
      <c r="E74" s="105">
        <f t="shared" si="8"/>
        <v>791.66666666666663</v>
      </c>
      <c r="F74" s="105">
        <f t="shared" si="8"/>
        <v>791.66666666666663</v>
      </c>
      <c r="G74" s="105">
        <f t="shared" si="8"/>
        <v>791.66666666666663</v>
      </c>
      <c r="H74" s="105">
        <f t="shared" si="8"/>
        <v>791.66666666666663</v>
      </c>
      <c r="I74" s="105">
        <f t="shared" si="8"/>
        <v>791.66666666666663</v>
      </c>
      <c r="J74" s="105">
        <f t="shared" si="8"/>
        <v>791.66666666666663</v>
      </c>
      <c r="K74" s="105">
        <f t="shared" si="8"/>
        <v>791.66666666666663</v>
      </c>
      <c r="L74" s="105">
        <f t="shared" si="8"/>
        <v>791.66666666666663</v>
      </c>
      <c r="M74" s="105">
        <f t="shared" si="8"/>
        <v>791.66666666666663</v>
      </c>
      <c r="N74" s="105">
        <f t="shared" si="8"/>
        <v>791.66666666666663</v>
      </c>
      <c r="O74" s="37">
        <f t="shared" si="7"/>
        <v>9500</v>
      </c>
    </row>
    <row r="75" spans="1:170" s="31" customFormat="1">
      <c r="A75"/>
      <c r="B75" s="41" t="s">
        <v>77</v>
      </c>
      <c r="C75" s="105">
        <v>0</v>
      </c>
      <c r="D75" s="105">
        <v>19157.903996452238</v>
      </c>
      <c r="E75" s="105">
        <v>54446.525989917318</v>
      </c>
      <c r="F75" s="105">
        <v>12411.791997701521</v>
      </c>
      <c r="G75" s="105">
        <v>27163.970994969633</v>
      </c>
      <c r="H75" s="105">
        <v>24859.81799539633</v>
      </c>
      <c r="I75" s="105">
        <v>5632.7399989568994</v>
      </c>
      <c r="J75" s="105">
        <v>716.44499986732501</v>
      </c>
      <c r="K75" s="105">
        <v>10166.930998117234</v>
      </c>
      <c r="L75" s="105">
        <v>1874.2859996529098</v>
      </c>
      <c r="M75" s="105">
        <v>9634.9499982157504</v>
      </c>
      <c r="N75" s="105">
        <v>9634.9499982157504</v>
      </c>
      <c r="O75" s="37">
        <f t="shared" si="7"/>
        <v>175700.3129674629</v>
      </c>
      <c r="P75" s="37" t="s">
        <v>92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</row>
    <row r="76" spans="1:170" s="31" customFormat="1">
      <c r="A76"/>
      <c r="B76" s="41" t="s">
        <v>78</v>
      </c>
      <c r="C76" s="105">
        <v>1208.8979997761301</v>
      </c>
      <c r="D76" s="105">
        <v>7363.7369986363456</v>
      </c>
      <c r="E76" s="105">
        <v>10049.993998138891</v>
      </c>
      <c r="F76" s="105">
        <v>2399.6789995556151</v>
      </c>
      <c r="G76" s="105">
        <v>7663.4909985808354</v>
      </c>
      <c r="H76" s="105">
        <v>1526.7689997172652</v>
      </c>
      <c r="I76" s="105">
        <v>0</v>
      </c>
      <c r="J76" s="105">
        <v>950.31899982401501</v>
      </c>
      <c r="K76" s="105">
        <v>7441.1459986220098</v>
      </c>
      <c r="L76" s="105">
        <v>0</v>
      </c>
      <c r="M76" s="105">
        <v>4817.4749991078752</v>
      </c>
      <c r="N76" s="105">
        <v>1926.98999964315</v>
      </c>
      <c r="O76" s="37">
        <f t="shared" si="7"/>
        <v>45348.497991602126</v>
      </c>
      <c r="P76" s="37" t="s">
        <v>92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</row>
    <row r="77" spans="1:170">
      <c r="B77" s="41" t="s">
        <v>80</v>
      </c>
      <c r="C77" s="105">
        <v>2500</v>
      </c>
      <c r="D77" s="105">
        <v>0</v>
      </c>
      <c r="E77" s="105">
        <v>0</v>
      </c>
      <c r="F77" s="105">
        <v>2500</v>
      </c>
      <c r="G77" s="105">
        <v>0</v>
      </c>
      <c r="H77" s="105">
        <v>0</v>
      </c>
      <c r="I77" s="105">
        <v>2500</v>
      </c>
      <c r="J77" s="105">
        <v>0</v>
      </c>
      <c r="K77" s="105">
        <v>0</v>
      </c>
      <c r="L77" s="105">
        <v>2500</v>
      </c>
      <c r="M77" s="105">
        <v>0</v>
      </c>
      <c r="N77" s="105">
        <v>0</v>
      </c>
      <c r="O77" s="37">
        <f t="shared" si="7"/>
        <v>10000</v>
      </c>
    </row>
    <row r="78" spans="1:170">
      <c r="B78" s="41" t="s">
        <v>82</v>
      </c>
      <c r="C78" s="105">
        <v>6000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37">
        <f t="shared" si="7"/>
        <v>6000</v>
      </c>
    </row>
    <row r="79" spans="1:170">
      <c r="B79" s="41" t="s">
        <v>83</v>
      </c>
      <c r="C79" s="105">
        <v>20000</v>
      </c>
      <c r="D79" s="105">
        <v>20000</v>
      </c>
      <c r="E79" s="105">
        <v>20000</v>
      </c>
      <c r="F79" s="105">
        <v>20000</v>
      </c>
      <c r="G79" s="105">
        <v>20000</v>
      </c>
      <c r="H79" s="105">
        <v>20000</v>
      </c>
      <c r="I79" s="105">
        <v>20000</v>
      </c>
      <c r="J79" s="105">
        <v>20000</v>
      </c>
      <c r="K79" s="105">
        <v>20000</v>
      </c>
      <c r="L79" s="105">
        <v>20000</v>
      </c>
      <c r="M79" s="105">
        <v>20000</v>
      </c>
      <c r="N79" s="105">
        <v>20000</v>
      </c>
      <c r="O79" s="37">
        <v>150000</v>
      </c>
    </row>
    <row r="80" spans="1:170">
      <c r="B80" s="41" t="s">
        <v>155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37">
        <f t="shared" si="7"/>
        <v>0</v>
      </c>
    </row>
    <row r="81" spans="1:15">
      <c r="B81" s="41" t="s">
        <v>84</v>
      </c>
      <c r="C81" s="120">
        <v>2500</v>
      </c>
      <c r="D81" s="120">
        <v>2500</v>
      </c>
      <c r="E81" s="120">
        <v>2500</v>
      </c>
      <c r="F81" s="120">
        <v>2500</v>
      </c>
      <c r="G81" s="120">
        <v>2500</v>
      </c>
      <c r="H81" s="120">
        <v>2500</v>
      </c>
      <c r="I81" s="120">
        <v>2500</v>
      </c>
      <c r="J81" s="120">
        <v>2500</v>
      </c>
      <c r="K81" s="120">
        <v>2500</v>
      </c>
      <c r="L81" s="120">
        <v>2500</v>
      </c>
      <c r="M81" s="120">
        <v>2500</v>
      </c>
      <c r="N81" s="120">
        <v>2500</v>
      </c>
      <c r="O81" s="37">
        <f t="shared" si="7"/>
        <v>30000</v>
      </c>
    </row>
    <row r="82" spans="1:15">
      <c r="B82" s="41" t="s">
        <v>85</v>
      </c>
      <c r="C82" s="105">
        <v>15500</v>
      </c>
      <c r="D82" s="105">
        <v>15500</v>
      </c>
      <c r="E82" s="105">
        <v>15500</v>
      </c>
      <c r="F82" s="105">
        <v>15500</v>
      </c>
      <c r="G82" s="105">
        <v>15500</v>
      </c>
      <c r="H82" s="105">
        <v>15500</v>
      </c>
      <c r="I82" s="105">
        <v>15500</v>
      </c>
      <c r="J82" s="105">
        <v>15500</v>
      </c>
      <c r="K82" s="105">
        <v>15500</v>
      </c>
      <c r="L82" s="105">
        <v>15500</v>
      </c>
      <c r="M82" s="105">
        <v>15500</v>
      </c>
      <c r="N82" s="105">
        <v>15500</v>
      </c>
      <c r="O82" s="37">
        <f t="shared" si="7"/>
        <v>186000</v>
      </c>
    </row>
    <row r="83" spans="1:15" hidden="1">
      <c r="B83" s="41" t="s">
        <v>86</v>
      </c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37">
        <f t="shared" si="7"/>
        <v>0</v>
      </c>
    </row>
    <row r="84" spans="1:15" hidden="1">
      <c r="B84" s="41" t="s">
        <v>87</v>
      </c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37">
        <f t="shared" si="7"/>
        <v>0</v>
      </c>
    </row>
    <row r="85" spans="1:15" hidden="1">
      <c r="B85" s="41" t="s">
        <v>88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1089</v>
      </c>
      <c r="K85" s="105">
        <v>0</v>
      </c>
      <c r="L85" s="105">
        <v>0</v>
      </c>
      <c r="M85" s="105">
        <v>0</v>
      </c>
      <c r="N85" s="105">
        <v>0</v>
      </c>
      <c r="O85" s="37">
        <f t="shared" si="7"/>
        <v>1089</v>
      </c>
    </row>
    <row r="86" spans="1:15">
      <c r="B86" s="41" t="s">
        <v>89</v>
      </c>
      <c r="C86" s="105">
        <v>2000</v>
      </c>
      <c r="D86" s="105">
        <v>2000</v>
      </c>
      <c r="E86" s="105">
        <v>2000</v>
      </c>
      <c r="F86" s="105">
        <v>2000</v>
      </c>
      <c r="G86" s="105">
        <v>2000</v>
      </c>
      <c r="H86" s="105">
        <v>2000</v>
      </c>
      <c r="I86" s="105">
        <v>2000</v>
      </c>
      <c r="J86" s="105">
        <v>2000</v>
      </c>
      <c r="K86" s="105">
        <v>2000</v>
      </c>
      <c r="L86" s="105">
        <v>2000</v>
      </c>
      <c r="M86" s="105">
        <v>2000</v>
      </c>
      <c r="N86" s="105">
        <v>2000</v>
      </c>
      <c r="O86" s="37">
        <f t="shared" si="7"/>
        <v>24000</v>
      </c>
    </row>
    <row r="87" spans="1:15" hidden="1">
      <c r="B87" s="41" t="s">
        <v>90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37">
        <f t="shared" si="7"/>
        <v>0</v>
      </c>
    </row>
    <row r="88" spans="1:15" hidden="1">
      <c r="B88" s="41" t="s">
        <v>91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37">
        <f t="shared" si="7"/>
        <v>0</v>
      </c>
    </row>
    <row r="89" spans="1:15">
      <c r="B89" s="41" t="s">
        <v>327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37"/>
    </row>
    <row r="90" spans="1:15">
      <c r="B90" s="41" t="s">
        <v>102</v>
      </c>
      <c r="C90" s="26">
        <v>1370.76</v>
      </c>
      <c r="D90" s="26">
        <v>1370.76</v>
      </c>
      <c r="E90" s="26">
        <v>1370.76</v>
      </c>
      <c r="F90" s="26">
        <v>1370.76</v>
      </c>
      <c r="G90" s="26">
        <v>1370.76</v>
      </c>
      <c r="H90" s="26">
        <v>1370.76</v>
      </c>
      <c r="I90" s="26">
        <v>1370.76</v>
      </c>
      <c r="J90" s="26">
        <v>1370.76</v>
      </c>
      <c r="K90" s="26">
        <v>1370.76</v>
      </c>
      <c r="L90" s="26">
        <v>1370.76</v>
      </c>
      <c r="M90" s="26">
        <v>1370.76</v>
      </c>
      <c r="N90" s="26">
        <v>1370.76</v>
      </c>
      <c r="O90" s="37">
        <f>SUM(C90:N90)</f>
        <v>16449.12</v>
      </c>
    </row>
    <row r="91" spans="1:15">
      <c r="A91" t="s">
        <v>97</v>
      </c>
      <c r="B91" s="41"/>
      <c r="C91" s="118">
        <f t="shared" ref="C91:N91" si="9">SUM(C36:C90)</f>
        <v>512029.66044202528</v>
      </c>
      <c r="D91" s="118">
        <f t="shared" si="9"/>
        <v>766690.32233422087</v>
      </c>
      <c r="E91" s="118">
        <f t="shared" si="9"/>
        <v>702182.9420018316</v>
      </c>
      <c r="F91" s="118">
        <f t="shared" si="9"/>
        <v>644490.51600537251</v>
      </c>
      <c r="G91" s="118">
        <f t="shared" si="9"/>
        <v>661745.38895774574</v>
      </c>
      <c r="H91" s="118">
        <f t="shared" si="9"/>
        <v>644186.91286634898</v>
      </c>
      <c r="I91" s="118">
        <f t="shared" si="9"/>
        <v>824113.13219501998</v>
      </c>
      <c r="J91" s="118">
        <f t="shared" si="9"/>
        <v>632012.0084050867</v>
      </c>
      <c r="K91" s="118">
        <f t="shared" si="9"/>
        <v>636694.88859317463</v>
      </c>
      <c r="L91" s="118">
        <f t="shared" si="9"/>
        <v>617043.44636146829</v>
      </c>
      <c r="M91" s="118">
        <f t="shared" si="9"/>
        <v>637849.81871457899</v>
      </c>
      <c r="N91" s="118">
        <f t="shared" si="9"/>
        <v>625959.33371511428</v>
      </c>
    </row>
    <row r="92" spans="1:15">
      <c r="A92" t="s">
        <v>104</v>
      </c>
      <c r="B92" s="119"/>
      <c r="C92" s="39">
        <f t="shared" ref="C92:N92" ca="1" si="10">C32-C91</f>
        <v>3356559.5345879095</v>
      </c>
      <c r="D92" s="39">
        <f t="shared" ca="1" si="10"/>
        <v>2735195.1782584167</v>
      </c>
      <c r="E92" s="39">
        <f t="shared" ca="1" si="10"/>
        <v>4241439.6399115641</v>
      </c>
      <c r="F92" s="39">
        <f t="shared" ca="1" si="10"/>
        <v>3740880.8245618558</v>
      </c>
      <c r="G92" s="39">
        <f t="shared" ca="1" si="10"/>
        <v>3218204.7172600417</v>
      </c>
      <c r="H92" s="39">
        <f t="shared" ca="1" si="10"/>
        <v>4782507.6810486838</v>
      </c>
      <c r="I92" s="39">
        <f t="shared" ca="1" si="10"/>
        <v>4127659.3566691596</v>
      </c>
      <c r="J92" s="39">
        <f t="shared" ca="1" si="10"/>
        <v>3636062.7279192931</v>
      </c>
      <c r="K92" s="39">
        <f t="shared" ca="1" si="10"/>
        <v>5198448.6549817082</v>
      </c>
      <c r="L92" s="39">
        <f t="shared" ca="1" si="10"/>
        <v>4727401.4662751323</v>
      </c>
      <c r="M92" s="39">
        <f t="shared" ca="1" si="10"/>
        <v>4349614.0822160589</v>
      </c>
      <c r="N92" s="39">
        <f t="shared" ca="1" si="10"/>
        <v>5913831.7831564499</v>
      </c>
    </row>
    <row r="93" spans="1:15">
      <c r="B93" s="8"/>
    </row>
    <row r="94" spans="1:15">
      <c r="B94" s="8"/>
      <c r="F94" s="37" t="s">
        <v>92</v>
      </c>
      <c r="O94" s="13"/>
    </row>
    <row r="107" spans="2:15">
      <c r="B107" s="8"/>
      <c r="O107" s="15"/>
    </row>
    <row r="108" spans="2:15">
      <c r="B108" s="8"/>
      <c r="O108" s="15"/>
    </row>
    <row r="109" spans="2:15">
      <c r="B109" s="8"/>
      <c r="O109" s="15"/>
    </row>
    <row r="110" spans="2:15">
      <c r="B110" s="8"/>
      <c r="O110" s="15"/>
    </row>
    <row r="111" spans="2:15">
      <c r="B111" s="8"/>
      <c r="O111" s="15"/>
    </row>
    <row r="112" spans="2:15">
      <c r="B112" s="8"/>
      <c r="O112" s="15"/>
    </row>
    <row r="113" spans="2:15">
      <c r="B113" s="8"/>
      <c r="O113" s="15"/>
    </row>
    <row r="114" spans="2:15">
      <c r="B114" s="8"/>
      <c r="O114" s="15"/>
    </row>
    <row r="115" spans="2:15">
      <c r="B115" s="8"/>
      <c r="O115" s="15"/>
    </row>
    <row r="116" spans="2:15">
      <c r="B116" s="8"/>
      <c r="O116" s="15"/>
    </row>
    <row r="117" spans="2:15">
      <c r="B117" s="8"/>
      <c r="O117" s="15"/>
    </row>
    <row r="118" spans="2:15">
      <c r="B118" s="8"/>
      <c r="O118" s="15"/>
    </row>
    <row r="119" spans="2:15">
      <c r="B119" s="8"/>
      <c r="O119" s="15"/>
    </row>
    <row r="120" spans="2:15">
      <c r="B120" s="8"/>
      <c r="O120" s="15"/>
    </row>
    <row r="121" spans="2:15">
      <c r="B121" s="8"/>
      <c r="O121" s="15"/>
    </row>
    <row r="122" spans="2:15">
      <c r="B122" s="8"/>
      <c r="O122" s="15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</row>
    <row r="183" spans="2:15">
      <c r="B183" s="8"/>
    </row>
    <row r="184" spans="2:15">
      <c r="B184" s="8"/>
    </row>
    <row r="185" spans="2:15">
      <c r="B185" s="8"/>
    </row>
    <row r="186" spans="2:15">
      <c r="B186" s="8"/>
    </row>
    <row r="187" spans="2:15">
      <c r="B187" s="8"/>
    </row>
    <row r="188" spans="2:15">
      <c r="B188" s="8"/>
    </row>
    <row r="189" spans="2:15">
      <c r="B189" s="8"/>
    </row>
    <row r="190" spans="2:15">
      <c r="B190" s="8"/>
    </row>
    <row r="191" spans="2:15">
      <c r="B191" s="8"/>
    </row>
    <row r="192" spans="2:15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</sheetData>
  <mergeCells count="3">
    <mergeCell ref="A1:N1"/>
    <mergeCell ref="A3:N3"/>
    <mergeCell ref="A5:N5"/>
  </mergeCells>
  <pageMargins left="0.12013888888888889" right="0.11805555555555555" top="0.12986111111111112" bottom="0.12986111111111112" header="0" footer="0"/>
  <pageSetup paperSize="5" scale="85" orientation="landscape" r:id="rId1"/>
  <headerFooter alignWithMargins="0"/>
  <rowBreaks count="1" manualBreakCount="1">
    <brk id="33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U291"/>
  <sheetViews>
    <sheetView zoomScaleNormal="100" workbookViewId="0">
      <pane ySplit="5" topLeftCell="A6" activePane="bottomLeft" state="frozen"/>
      <selection activeCell="J3" sqref="J3"/>
      <selection pane="bottomLeft" activeCell="A5" sqref="A5:XFD5"/>
    </sheetView>
  </sheetViews>
  <sheetFormatPr defaultRowHeight="12.75"/>
  <cols>
    <col min="1" max="1" width="26.140625" style="128" customWidth="1"/>
    <col min="2" max="2" width="12" style="128" hidden="1" customWidth="1"/>
    <col min="3" max="3" width="13.85546875" style="128" hidden="1" customWidth="1"/>
    <col min="4" max="4" width="14.7109375" style="128" hidden="1" customWidth="1"/>
    <col min="5" max="5" width="14.140625" style="128" hidden="1" customWidth="1"/>
    <col min="6" max="6" width="5.7109375" style="128" customWidth="1"/>
    <col min="7" max="7" width="14.140625" style="128" customWidth="1"/>
    <col min="8" max="9" width="14.140625" style="128" hidden="1" customWidth="1"/>
    <col min="10" max="10" width="14" style="128" customWidth="1"/>
    <col min="11" max="11" width="13.140625" style="128" customWidth="1"/>
    <col min="12" max="13" width="15.7109375" style="128" customWidth="1"/>
    <col min="14" max="14" width="8.85546875" style="128" hidden="1" customWidth="1"/>
    <col min="15" max="15" width="10.85546875" style="128" hidden="1" customWidth="1"/>
    <col min="16" max="26" width="0" style="128" hidden="1" customWidth="1"/>
    <col min="27" max="27" width="15.7109375" style="128" customWidth="1"/>
    <col min="28" max="16384" width="9.140625" style="109"/>
  </cols>
  <sheetData>
    <row r="1" spans="1:28">
      <c r="G1" s="200"/>
      <c r="H1" s="200"/>
      <c r="I1" s="200"/>
      <c r="J1" s="200"/>
      <c r="K1" s="133"/>
    </row>
    <row r="2" spans="1:28">
      <c r="A2" s="124" t="s">
        <v>190</v>
      </c>
      <c r="B2" s="134">
        <v>148</v>
      </c>
      <c r="C2" s="134">
        <v>200</v>
      </c>
      <c r="D2" s="134">
        <v>240</v>
      </c>
      <c r="E2" s="134">
        <v>280</v>
      </c>
      <c r="F2" s="134"/>
      <c r="G2" s="135">
        <v>320</v>
      </c>
      <c r="H2" s="135"/>
      <c r="I2" s="135"/>
      <c r="J2" s="135">
        <v>390</v>
      </c>
      <c r="K2" s="135">
        <v>475</v>
      </c>
      <c r="L2" s="135">
        <v>562</v>
      </c>
      <c r="M2" s="135">
        <v>640</v>
      </c>
      <c r="AA2" s="129">
        <v>734</v>
      </c>
    </row>
    <row r="3" spans="1:28">
      <c r="A3" s="124" t="s">
        <v>191</v>
      </c>
      <c r="B3" s="124" t="s">
        <v>192</v>
      </c>
      <c r="C3" s="136" t="s">
        <v>193</v>
      </c>
      <c r="D3" s="136" t="s">
        <v>166</v>
      </c>
      <c r="E3" s="136" t="s">
        <v>167</v>
      </c>
      <c r="F3" s="136"/>
      <c r="G3" s="128" t="s">
        <v>168</v>
      </c>
      <c r="J3" s="128" t="s">
        <v>274</v>
      </c>
      <c r="K3" s="128" t="s">
        <v>275</v>
      </c>
      <c r="L3" s="128" t="s">
        <v>275</v>
      </c>
      <c r="M3" s="128" t="s">
        <v>275</v>
      </c>
      <c r="AA3" s="128" t="s">
        <v>275</v>
      </c>
    </row>
    <row r="4" spans="1:28">
      <c r="A4" s="124"/>
      <c r="B4" s="124"/>
      <c r="C4" s="136"/>
      <c r="D4" s="136"/>
      <c r="E4" s="136"/>
      <c r="F4" s="136"/>
    </row>
    <row r="5" spans="1:28">
      <c r="A5" s="124"/>
      <c r="B5" s="137" t="s">
        <v>123</v>
      </c>
      <c r="C5" s="137" t="s">
        <v>140</v>
      </c>
      <c r="D5" s="137" t="s">
        <v>141</v>
      </c>
      <c r="E5" s="137" t="s">
        <v>142</v>
      </c>
      <c r="F5" s="137" t="s">
        <v>113</v>
      </c>
      <c r="G5" s="138" t="s">
        <v>164</v>
      </c>
      <c r="H5" s="138" t="s">
        <v>341</v>
      </c>
      <c r="I5" s="138"/>
      <c r="J5" s="138" t="s">
        <v>165</v>
      </c>
      <c r="K5" s="138" t="s">
        <v>184</v>
      </c>
      <c r="L5" s="138" t="s">
        <v>263</v>
      </c>
      <c r="M5" s="138" t="s">
        <v>264</v>
      </c>
      <c r="N5" s="129"/>
      <c r="AA5" s="138" t="s">
        <v>366</v>
      </c>
    </row>
    <row r="6" spans="1:28">
      <c r="A6" s="124" t="s">
        <v>188</v>
      </c>
      <c r="B6" s="130">
        <v>48000</v>
      </c>
      <c r="C6" s="130">
        <v>52000</v>
      </c>
      <c r="D6" s="130">
        <v>54000</v>
      </c>
      <c r="E6" s="130">
        <v>60000</v>
      </c>
      <c r="F6" s="131"/>
      <c r="G6" s="130">
        <v>57240</v>
      </c>
      <c r="H6" s="130">
        <v>57240</v>
      </c>
      <c r="I6" s="130"/>
      <c r="J6" s="130">
        <v>70000</v>
      </c>
      <c r="K6" s="130">
        <f t="shared" ref="K6:K10" si="0">J6+J6*4%</f>
        <v>72800</v>
      </c>
      <c r="L6" s="130">
        <f>K6+K6*4%</f>
        <v>75712</v>
      </c>
      <c r="M6" s="130">
        <f>L6+L6*4%</f>
        <v>78740.479999999996</v>
      </c>
      <c r="AA6" s="139">
        <f t="shared" ref="AA6:AA68" si="1">M6*1.04</f>
        <v>81890.099199999997</v>
      </c>
    </row>
    <row r="7" spans="1:28">
      <c r="A7" s="124" t="s">
        <v>158</v>
      </c>
      <c r="B7" s="130">
        <v>0</v>
      </c>
      <c r="C7" s="130">
        <v>60000</v>
      </c>
      <c r="D7" s="140">
        <v>60000</v>
      </c>
      <c r="E7" s="125">
        <v>70000</v>
      </c>
      <c r="F7" s="131"/>
      <c r="G7" s="130">
        <v>60000</v>
      </c>
      <c r="H7" s="130">
        <v>60000</v>
      </c>
      <c r="I7" s="130"/>
      <c r="J7" s="130">
        <v>80000</v>
      </c>
      <c r="K7" s="130">
        <f t="shared" si="0"/>
        <v>83200</v>
      </c>
      <c r="L7" s="130">
        <f>K7+K7*4%</f>
        <v>86528</v>
      </c>
      <c r="M7" s="130">
        <f>L7+L7*4%</f>
        <v>89989.119999999995</v>
      </c>
      <c r="AA7" s="139">
        <f t="shared" si="1"/>
        <v>93588.684800000003</v>
      </c>
    </row>
    <row r="8" spans="1:28">
      <c r="A8" s="124" t="s">
        <v>312</v>
      </c>
      <c r="B8" s="130">
        <v>40000</v>
      </c>
      <c r="C8" s="125">
        <v>45320</v>
      </c>
      <c r="D8" s="125">
        <v>47000</v>
      </c>
      <c r="E8" s="125">
        <v>51300</v>
      </c>
      <c r="F8" s="131"/>
      <c r="G8" s="125">
        <v>53350</v>
      </c>
      <c r="H8" s="125">
        <v>53350</v>
      </c>
      <c r="I8" s="125"/>
      <c r="J8" s="125">
        <v>55484</v>
      </c>
      <c r="K8" s="130">
        <f t="shared" si="0"/>
        <v>57703.360000000001</v>
      </c>
      <c r="L8" s="130">
        <f t="shared" ref="L8:M9" si="2">K8+K8*4%</f>
        <v>60011.494400000003</v>
      </c>
      <c r="M8" s="130">
        <f>L8+L8*4%</f>
        <v>62411.954176000007</v>
      </c>
      <c r="AA8" s="139">
        <f t="shared" si="1"/>
        <v>64908.432343040011</v>
      </c>
    </row>
    <row r="9" spans="1:28">
      <c r="A9" s="124" t="s">
        <v>374</v>
      </c>
      <c r="B9" s="130">
        <v>32000</v>
      </c>
      <c r="C9" s="125">
        <v>40000</v>
      </c>
      <c r="D9" s="125">
        <v>45000</v>
      </c>
      <c r="E9" s="125">
        <v>51600</v>
      </c>
      <c r="F9" s="131"/>
      <c r="G9" s="125">
        <v>53664</v>
      </c>
      <c r="H9" s="125">
        <v>53650</v>
      </c>
      <c r="I9" s="125"/>
      <c r="J9" s="125">
        <v>58000</v>
      </c>
      <c r="K9" s="130">
        <f t="shared" si="0"/>
        <v>60320</v>
      </c>
      <c r="L9" s="130">
        <f t="shared" si="2"/>
        <v>62732.800000000003</v>
      </c>
      <c r="M9" s="130">
        <f t="shared" si="2"/>
        <v>65242.112000000001</v>
      </c>
      <c r="AA9" s="139">
        <f t="shared" si="1"/>
        <v>67851.796480000005</v>
      </c>
    </row>
    <row r="10" spans="1:28">
      <c r="A10" s="124" t="s">
        <v>375</v>
      </c>
      <c r="B10" s="130"/>
      <c r="C10" s="125"/>
      <c r="D10" s="125"/>
      <c r="E10" s="125"/>
      <c r="F10" s="131"/>
      <c r="G10" s="125">
        <v>22000</v>
      </c>
      <c r="H10" s="125">
        <f>(2192.31*26)*0.58</f>
        <v>33060.034799999994</v>
      </c>
      <c r="I10" s="125"/>
      <c r="J10" s="125">
        <v>36000</v>
      </c>
      <c r="K10" s="130">
        <f t="shared" si="0"/>
        <v>37440</v>
      </c>
      <c r="L10" s="130">
        <f t="shared" ref="L10:M13" si="3">K10+K10*4%</f>
        <v>38937.599999999999</v>
      </c>
      <c r="M10" s="130">
        <f>L10+L10*4%</f>
        <v>40495.103999999999</v>
      </c>
      <c r="AA10" s="139">
        <f t="shared" si="1"/>
        <v>42114.908159999999</v>
      </c>
    </row>
    <row r="11" spans="1:28">
      <c r="A11" s="124" t="s">
        <v>376</v>
      </c>
      <c r="B11" s="130"/>
      <c r="C11" s="130"/>
      <c r="D11" s="130"/>
      <c r="E11" s="125"/>
      <c r="F11" s="131"/>
      <c r="G11" s="125">
        <v>33000</v>
      </c>
      <c r="H11" s="125">
        <f>(2192.31*26)*0.58</f>
        <v>33060.034799999994</v>
      </c>
      <c r="I11" s="125"/>
      <c r="J11" s="130">
        <v>30000</v>
      </c>
      <c r="K11" s="130">
        <f t="shared" ref="K11" si="4">J11+J11*4%</f>
        <v>31200</v>
      </c>
      <c r="L11" s="130">
        <f t="shared" ref="L11" si="5">K11+K11*4%</f>
        <v>32448</v>
      </c>
      <c r="M11" s="130">
        <f>L11+L11*4%</f>
        <v>33745.919999999998</v>
      </c>
      <c r="AA11" s="139">
        <f t="shared" si="1"/>
        <v>35095.756800000003</v>
      </c>
    </row>
    <row r="12" spans="1:28">
      <c r="A12" s="124" t="s">
        <v>377</v>
      </c>
      <c r="B12" s="130"/>
      <c r="C12" s="130"/>
      <c r="D12" s="130"/>
      <c r="E12" s="125"/>
      <c r="F12" s="131"/>
      <c r="G12" s="125"/>
      <c r="H12" s="125"/>
      <c r="I12" s="125"/>
      <c r="J12" s="130"/>
      <c r="K12" s="130">
        <v>30000</v>
      </c>
      <c r="L12" s="130">
        <f t="shared" si="3"/>
        <v>31200</v>
      </c>
      <c r="M12" s="132">
        <f>L12*2</f>
        <v>62400</v>
      </c>
      <c r="AA12" s="139">
        <f t="shared" si="1"/>
        <v>64896</v>
      </c>
    </row>
    <row r="13" spans="1:28">
      <c r="A13" s="124" t="s">
        <v>378</v>
      </c>
      <c r="B13" s="141">
        <v>37500</v>
      </c>
      <c r="C13" s="141">
        <v>22275</v>
      </c>
      <c r="D13" s="141">
        <v>28032</v>
      </c>
      <c r="E13" s="141">
        <v>29155</v>
      </c>
      <c r="F13" s="131"/>
      <c r="G13" s="125">
        <v>25510</v>
      </c>
      <c r="H13" s="125">
        <v>27450</v>
      </c>
      <c r="I13" s="125"/>
      <c r="J13" s="125">
        <v>31720</v>
      </c>
      <c r="K13" s="125">
        <f>J13+J13*4%</f>
        <v>32988.800000000003</v>
      </c>
      <c r="L13" s="130">
        <f t="shared" si="3"/>
        <v>34308.352000000006</v>
      </c>
      <c r="M13" s="130">
        <f t="shared" si="3"/>
        <v>35680.686080000007</v>
      </c>
      <c r="AA13" s="139">
        <f t="shared" si="1"/>
        <v>37107.913523200012</v>
      </c>
    </row>
    <row r="14" spans="1:28">
      <c r="A14" s="124" t="s">
        <v>379</v>
      </c>
      <c r="B14" s="130"/>
      <c r="C14" s="130"/>
      <c r="D14" s="130"/>
      <c r="E14" s="125">
        <v>23000</v>
      </c>
      <c r="F14" s="131"/>
      <c r="G14" s="125">
        <v>26208</v>
      </c>
      <c r="H14" s="125"/>
      <c r="I14" s="125"/>
      <c r="J14" s="130">
        <v>27256</v>
      </c>
      <c r="K14" s="130">
        <f>J14*1.04</f>
        <v>28346.240000000002</v>
      </c>
      <c r="L14" s="130">
        <f>K14+K14*4%</f>
        <v>29480.089600000003</v>
      </c>
      <c r="M14" s="130">
        <f>L14+L14*4%</f>
        <v>30659.293184000002</v>
      </c>
      <c r="AA14" s="139">
        <f t="shared" si="1"/>
        <v>31885.664911360003</v>
      </c>
    </row>
    <row r="15" spans="1:28">
      <c r="A15" s="124" t="s">
        <v>380</v>
      </c>
      <c r="B15" s="130"/>
      <c r="C15" s="130"/>
      <c r="D15" s="130"/>
      <c r="E15" s="125"/>
      <c r="F15" s="131"/>
      <c r="G15" s="125">
        <v>16200</v>
      </c>
      <c r="H15" s="125"/>
      <c r="I15" s="125"/>
      <c r="J15" s="130">
        <v>16848</v>
      </c>
      <c r="K15" s="130">
        <f t="shared" ref="K15:K16" si="6">J15*1.04</f>
        <v>17521.920000000002</v>
      </c>
      <c r="L15" s="130">
        <f t="shared" ref="L15:M15" si="7">K15+K15*4%</f>
        <v>18222.796800000004</v>
      </c>
      <c r="M15" s="130">
        <f t="shared" si="7"/>
        <v>18951.708672000004</v>
      </c>
      <c r="AA15" s="139">
        <f t="shared" si="1"/>
        <v>19709.777018880006</v>
      </c>
    </row>
    <row r="16" spans="1:28">
      <c r="A16" s="124" t="s">
        <v>352</v>
      </c>
      <c r="B16" s="130"/>
      <c r="C16" s="130"/>
      <c r="D16" s="130"/>
      <c r="E16" s="125"/>
      <c r="F16" s="131"/>
      <c r="G16" s="125">
        <v>13464</v>
      </c>
      <c r="H16" s="125"/>
      <c r="I16" s="125"/>
      <c r="J16" s="130">
        <v>25000</v>
      </c>
      <c r="K16" s="130">
        <f t="shared" si="6"/>
        <v>26000</v>
      </c>
      <c r="L16" s="130">
        <f t="shared" ref="L16:M16" si="8">K16+K16*4%</f>
        <v>27040</v>
      </c>
      <c r="M16" s="130">
        <f t="shared" si="8"/>
        <v>28121.599999999999</v>
      </c>
      <c r="AA16" s="139">
        <f t="shared" si="1"/>
        <v>29246.464</v>
      </c>
      <c r="AB16" s="109">
        <v>11</v>
      </c>
    </row>
    <row r="17" spans="1:28" ht="13.5" thickBot="1">
      <c r="A17" s="124" t="s">
        <v>105</v>
      </c>
      <c r="B17" s="142">
        <f>SUM(B6:B14)</f>
        <v>157500</v>
      </c>
      <c r="C17" s="142">
        <f>SUM(C6:C14)</f>
        <v>219595</v>
      </c>
      <c r="D17" s="142">
        <f>SUM(D6:D14)</f>
        <v>234032</v>
      </c>
      <c r="E17" s="142">
        <f>SUM(E6:E16)</f>
        <v>285055</v>
      </c>
      <c r="F17" s="142"/>
      <c r="G17" s="142">
        <f>SUM(G6:G16)</f>
        <v>360636</v>
      </c>
      <c r="H17" s="142">
        <f>SUM(H6:H16)</f>
        <v>317810.06959999999</v>
      </c>
      <c r="I17" s="142"/>
      <c r="J17" s="142">
        <f>SUM(J6:J16)</f>
        <v>430308</v>
      </c>
      <c r="K17" s="142">
        <f>SUM(K6:K16)</f>
        <v>477520.31999999995</v>
      </c>
      <c r="L17" s="142">
        <f>SUM(L6:L16)</f>
        <v>496621.13280000002</v>
      </c>
      <c r="M17" s="142">
        <f>SUM(M6:M16)</f>
        <v>546437.97811199992</v>
      </c>
      <c r="N17" s="142">
        <f t="shared" ref="N17:AA17" si="9">SUM(N6:N16)</f>
        <v>0</v>
      </c>
      <c r="O17" s="142">
        <f t="shared" si="9"/>
        <v>0</v>
      </c>
      <c r="P17" s="142">
        <f t="shared" si="9"/>
        <v>0</v>
      </c>
      <c r="Q17" s="142">
        <f t="shared" si="9"/>
        <v>0</v>
      </c>
      <c r="R17" s="142">
        <f t="shared" si="9"/>
        <v>0</v>
      </c>
      <c r="S17" s="142">
        <f t="shared" si="9"/>
        <v>0</v>
      </c>
      <c r="T17" s="142">
        <f t="shared" si="9"/>
        <v>0</v>
      </c>
      <c r="U17" s="142">
        <f t="shared" si="9"/>
        <v>0</v>
      </c>
      <c r="V17" s="142">
        <f t="shared" si="9"/>
        <v>0</v>
      </c>
      <c r="W17" s="142">
        <f t="shared" si="9"/>
        <v>0</v>
      </c>
      <c r="X17" s="142">
        <f t="shared" si="9"/>
        <v>0</v>
      </c>
      <c r="Y17" s="142">
        <f t="shared" si="9"/>
        <v>0</v>
      </c>
      <c r="Z17" s="142">
        <f t="shared" si="9"/>
        <v>0</v>
      </c>
      <c r="AA17" s="142">
        <f t="shared" si="9"/>
        <v>568295.49723648012</v>
      </c>
    </row>
    <row r="18" spans="1:28" ht="13.5" thickTop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N18" s="132"/>
      <c r="AA18" s="139"/>
    </row>
    <row r="19" spans="1:28">
      <c r="A19" s="143" t="s">
        <v>234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N19" s="132"/>
      <c r="AA19" s="139"/>
    </row>
    <row r="20" spans="1:28">
      <c r="A20" s="124" t="s">
        <v>381</v>
      </c>
      <c r="B20" s="130"/>
      <c r="C20" s="130"/>
      <c r="D20" s="125">
        <v>35000</v>
      </c>
      <c r="E20" s="125">
        <v>37150</v>
      </c>
      <c r="F20" s="131"/>
      <c r="G20" s="125">
        <v>54500</v>
      </c>
      <c r="H20" s="125">
        <f>2096.16*26</f>
        <v>54500.159999999996</v>
      </c>
      <c r="I20" s="125"/>
      <c r="J20" s="125">
        <v>56135</v>
      </c>
      <c r="K20" s="125">
        <f t="shared" ref="K20:M21" si="10">J20+J20*4%</f>
        <v>58380.4</v>
      </c>
      <c r="L20" s="125">
        <f t="shared" si="10"/>
        <v>60715.616000000002</v>
      </c>
      <c r="M20" s="125">
        <f t="shared" si="10"/>
        <v>63144.240640000004</v>
      </c>
      <c r="AA20" s="139">
        <f t="shared" si="1"/>
        <v>65670.010265600009</v>
      </c>
    </row>
    <row r="21" spans="1:28">
      <c r="A21" s="124" t="s">
        <v>382</v>
      </c>
      <c r="B21" s="125"/>
      <c r="C21" s="125"/>
      <c r="D21" s="125"/>
      <c r="E21" s="125">
        <v>37000</v>
      </c>
      <c r="F21" s="131"/>
      <c r="G21" s="125">
        <v>37000</v>
      </c>
      <c r="H21" s="125">
        <f>1538.47*26</f>
        <v>40000.22</v>
      </c>
      <c r="I21" s="125"/>
      <c r="J21" s="125">
        <v>38850</v>
      </c>
      <c r="K21" s="125">
        <f t="shared" si="10"/>
        <v>40404</v>
      </c>
      <c r="L21" s="125">
        <f t="shared" si="10"/>
        <v>42020.160000000003</v>
      </c>
      <c r="M21" s="125">
        <f t="shared" si="10"/>
        <v>43700.966400000005</v>
      </c>
      <c r="N21" s="132" t="s">
        <v>267</v>
      </c>
      <c r="AA21" s="139">
        <f t="shared" si="1"/>
        <v>45449.005056000009</v>
      </c>
    </row>
    <row r="22" spans="1:28">
      <c r="A22" s="124" t="s">
        <v>381</v>
      </c>
      <c r="B22" s="125"/>
      <c r="C22" s="125"/>
      <c r="D22" s="125"/>
      <c r="E22" s="125"/>
      <c r="F22" s="131"/>
      <c r="G22" s="125">
        <v>24000</v>
      </c>
      <c r="H22" s="125"/>
      <c r="I22" s="125"/>
      <c r="J22" s="125">
        <v>25000</v>
      </c>
      <c r="K22" s="125">
        <f>J22+J22*4%</f>
        <v>26000</v>
      </c>
      <c r="L22" s="125">
        <f>K22+K22*4%</f>
        <v>27040</v>
      </c>
      <c r="M22" s="125">
        <f>L22+L22*4%</f>
        <v>28121.599999999999</v>
      </c>
      <c r="N22" s="132"/>
      <c r="AA22" s="139">
        <f t="shared" si="1"/>
        <v>29246.464</v>
      </c>
    </row>
    <row r="23" spans="1:28">
      <c r="A23" s="124" t="s">
        <v>372</v>
      </c>
      <c r="B23" s="125"/>
      <c r="C23" s="125"/>
      <c r="D23" s="125"/>
      <c r="E23" s="125"/>
      <c r="F23" s="131"/>
      <c r="G23" s="125"/>
      <c r="H23" s="125"/>
      <c r="I23" s="125"/>
      <c r="J23" s="125">
        <v>40000</v>
      </c>
      <c r="K23" s="125">
        <v>18500</v>
      </c>
      <c r="L23" s="132">
        <f>K23*2</f>
        <v>37000</v>
      </c>
      <c r="M23" s="125">
        <f>L23+L23*4%+37000</f>
        <v>75480</v>
      </c>
      <c r="N23" s="132"/>
      <c r="AA23" s="139">
        <f>M23*1.04+37000</f>
        <v>115499.2</v>
      </c>
      <c r="AB23" s="109">
        <v>4</v>
      </c>
    </row>
    <row r="24" spans="1:28" ht="13.5" thickBot="1">
      <c r="A24" s="124"/>
      <c r="B24" s="142"/>
      <c r="C24" s="142"/>
      <c r="D24" s="142">
        <f>SUM(D19:D23)</f>
        <v>35000</v>
      </c>
      <c r="E24" s="142">
        <f>SUM(E19:E23)</f>
        <v>74150</v>
      </c>
      <c r="F24" s="142"/>
      <c r="G24" s="142">
        <f>SUM(G20:G23)</f>
        <v>115500</v>
      </c>
      <c r="H24" s="142">
        <f>SUM(H20:H23)</f>
        <v>94500.38</v>
      </c>
      <c r="I24" s="142"/>
      <c r="J24" s="142">
        <f>SUM(J20:J23)</f>
        <v>159985</v>
      </c>
      <c r="K24" s="142">
        <f>SUM(K20:K23)</f>
        <v>143284.4</v>
      </c>
      <c r="L24" s="142">
        <f>SUM(L20:L23)</f>
        <v>166775.77600000001</v>
      </c>
      <c r="M24" s="142">
        <f>SUM(M20:M23)</f>
        <v>210446.80704000001</v>
      </c>
      <c r="N24" s="142">
        <f t="shared" ref="N24:AA24" si="11">SUM(N20:N23)</f>
        <v>0</v>
      </c>
      <c r="O24" s="142">
        <f t="shared" si="11"/>
        <v>0</v>
      </c>
      <c r="P24" s="142">
        <f t="shared" si="11"/>
        <v>0</v>
      </c>
      <c r="Q24" s="142">
        <f t="shared" si="11"/>
        <v>0</v>
      </c>
      <c r="R24" s="142">
        <f t="shared" si="11"/>
        <v>0</v>
      </c>
      <c r="S24" s="142">
        <f t="shared" si="11"/>
        <v>0</v>
      </c>
      <c r="T24" s="142">
        <f t="shared" si="11"/>
        <v>0</v>
      </c>
      <c r="U24" s="142">
        <f t="shared" si="11"/>
        <v>0</v>
      </c>
      <c r="V24" s="142">
        <f t="shared" si="11"/>
        <v>0</v>
      </c>
      <c r="W24" s="142">
        <f t="shared" si="11"/>
        <v>0</v>
      </c>
      <c r="X24" s="142">
        <f t="shared" si="11"/>
        <v>0</v>
      </c>
      <c r="Y24" s="142">
        <f t="shared" si="11"/>
        <v>0</v>
      </c>
      <c r="Z24" s="142">
        <f t="shared" si="11"/>
        <v>0</v>
      </c>
      <c r="AA24" s="142">
        <f t="shared" si="11"/>
        <v>255864.67932160001</v>
      </c>
    </row>
    <row r="25" spans="1:28" ht="13.5" thickTop="1">
      <c r="A25" s="143" t="s">
        <v>189</v>
      </c>
      <c r="B25" s="130"/>
      <c r="C25" s="130"/>
      <c r="D25" s="130"/>
      <c r="E25" s="130"/>
      <c r="F25" s="130"/>
      <c r="AA25" s="139"/>
    </row>
    <row r="26" spans="1:28">
      <c r="A26" s="124" t="s">
        <v>383</v>
      </c>
      <c r="B26" s="130"/>
      <c r="C26" s="130">
        <v>40000</v>
      </c>
      <c r="D26" s="130">
        <v>40500</v>
      </c>
      <c r="E26" s="130">
        <v>41000</v>
      </c>
      <c r="F26" s="131"/>
      <c r="G26" s="130">
        <v>42500</v>
      </c>
      <c r="H26" s="130"/>
      <c r="I26" s="130"/>
      <c r="J26" s="130">
        <v>43775</v>
      </c>
      <c r="K26" s="130">
        <f>J26*1.04</f>
        <v>45526</v>
      </c>
      <c r="L26" s="130">
        <f>K26*1.04</f>
        <v>47347.040000000001</v>
      </c>
      <c r="M26" s="130">
        <f>L26*1.04</f>
        <v>49240.921600000001</v>
      </c>
      <c r="AA26" s="139">
        <f t="shared" si="1"/>
        <v>51210.558464000002</v>
      </c>
    </row>
    <row r="27" spans="1:28">
      <c r="A27" s="124" t="s">
        <v>384</v>
      </c>
      <c r="B27" s="130"/>
      <c r="D27" s="130">
        <v>28000</v>
      </c>
      <c r="E27" s="130">
        <f>D27*1.04</f>
        <v>29120</v>
      </c>
      <c r="F27" s="131"/>
      <c r="G27" s="130">
        <v>31360</v>
      </c>
      <c r="H27" s="130"/>
      <c r="I27" s="130"/>
      <c r="J27" s="130">
        <v>32300</v>
      </c>
      <c r="K27" s="130">
        <f>J27*1.04</f>
        <v>33592</v>
      </c>
      <c r="L27" s="130">
        <f t="shared" ref="L27:M30" si="12">K27*1.04</f>
        <v>34935.68</v>
      </c>
      <c r="M27" s="130">
        <f t="shared" si="12"/>
        <v>36333.107199999999</v>
      </c>
      <c r="AA27" s="139">
        <f t="shared" si="1"/>
        <v>37786.431488000002</v>
      </c>
    </row>
    <row r="28" spans="1:28">
      <c r="A28" s="124" t="s">
        <v>385</v>
      </c>
      <c r="B28" s="130"/>
      <c r="D28" s="130">
        <v>15800</v>
      </c>
      <c r="E28" s="130">
        <f>39500*1.04</f>
        <v>41080</v>
      </c>
      <c r="F28" s="131"/>
      <c r="G28" s="130">
        <v>42723.199999999997</v>
      </c>
      <c r="H28" s="130">
        <f>1634.62*26</f>
        <v>42500.119999999995</v>
      </c>
      <c r="I28" s="130"/>
      <c r="J28" s="130"/>
      <c r="K28" s="130"/>
      <c r="L28" s="130"/>
      <c r="AA28" s="139"/>
    </row>
    <row r="29" spans="1:28">
      <c r="A29" s="124" t="s">
        <v>317</v>
      </c>
      <c r="B29" s="130"/>
      <c r="D29" s="130"/>
      <c r="E29" s="130"/>
      <c r="F29" s="131"/>
      <c r="G29" s="130"/>
      <c r="H29" s="130"/>
      <c r="I29" s="130"/>
      <c r="J29" s="130">
        <v>48000</v>
      </c>
      <c r="K29" s="130">
        <v>60000</v>
      </c>
      <c r="L29" s="130">
        <f t="shared" si="12"/>
        <v>62400</v>
      </c>
      <c r="M29" s="130">
        <f>L29*1.04</f>
        <v>64896</v>
      </c>
      <c r="AA29" s="139">
        <f t="shared" si="1"/>
        <v>67491.839999999997</v>
      </c>
    </row>
    <row r="30" spans="1:28" ht="13.5" thickBot="1">
      <c r="A30" s="124" t="s">
        <v>272</v>
      </c>
      <c r="B30" s="130"/>
      <c r="D30" s="130"/>
      <c r="E30" s="130"/>
      <c r="F30" s="131"/>
      <c r="G30" s="130"/>
      <c r="H30" s="130"/>
      <c r="I30" s="130"/>
      <c r="J30" s="130">
        <v>10000</v>
      </c>
      <c r="K30" s="130">
        <v>20000</v>
      </c>
      <c r="L30" s="130">
        <f t="shared" si="12"/>
        <v>20800</v>
      </c>
      <c r="M30" s="130">
        <f>L30*1.04</f>
        <v>21632</v>
      </c>
      <c r="AA30" s="139">
        <f t="shared" si="1"/>
        <v>22497.280000000002</v>
      </c>
      <c r="AB30" s="109">
        <v>4</v>
      </c>
    </row>
    <row r="31" spans="1:28" ht="13.5" thickBot="1">
      <c r="A31" s="144"/>
      <c r="B31" s="145"/>
      <c r="C31" s="145">
        <f>SUM(C26:C30)</f>
        <v>40000</v>
      </c>
      <c r="D31" s="145">
        <f>SUM(D26:D30)</f>
        <v>84300</v>
      </c>
      <c r="E31" s="146">
        <f>SUM(E26:E30)</f>
        <v>111200</v>
      </c>
      <c r="F31" s="147"/>
      <c r="G31" s="148">
        <f>SUM(G26:G30)</f>
        <v>116583.2</v>
      </c>
      <c r="H31" s="148"/>
      <c r="I31" s="148"/>
      <c r="J31" s="148">
        <f>SUM(J26:J30)</f>
        <v>134075</v>
      </c>
      <c r="K31" s="148">
        <f>SUM(K26:K30)</f>
        <v>159118</v>
      </c>
      <c r="L31" s="148">
        <f>SUM(L26:L30)</f>
        <v>165482.72</v>
      </c>
      <c r="M31" s="148">
        <f>SUM(M26:M30)</f>
        <v>172102.0288</v>
      </c>
      <c r="N31" s="148">
        <f t="shared" ref="N31:AA31" si="13">SUM(N26:N30)</f>
        <v>0</v>
      </c>
      <c r="O31" s="148">
        <f t="shared" si="13"/>
        <v>0</v>
      </c>
      <c r="P31" s="148">
        <f t="shared" si="13"/>
        <v>0</v>
      </c>
      <c r="Q31" s="148">
        <f t="shared" si="13"/>
        <v>0</v>
      </c>
      <c r="R31" s="148">
        <f t="shared" si="13"/>
        <v>0</v>
      </c>
      <c r="S31" s="148">
        <f t="shared" si="13"/>
        <v>0</v>
      </c>
      <c r="T31" s="148">
        <f t="shared" si="13"/>
        <v>0</v>
      </c>
      <c r="U31" s="148">
        <f t="shared" si="13"/>
        <v>0</v>
      </c>
      <c r="V31" s="148">
        <f t="shared" si="13"/>
        <v>0</v>
      </c>
      <c r="W31" s="148">
        <f t="shared" si="13"/>
        <v>0</v>
      </c>
      <c r="X31" s="148">
        <f t="shared" si="13"/>
        <v>0</v>
      </c>
      <c r="Y31" s="148">
        <f t="shared" si="13"/>
        <v>0</v>
      </c>
      <c r="Z31" s="148">
        <f t="shared" si="13"/>
        <v>0</v>
      </c>
      <c r="AA31" s="148">
        <f t="shared" si="13"/>
        <v>178986.109952</v>
      </c>
    </row>
    <row r="32" spans="1:28">
      <c r="A32" s="124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AA32" s="139"/>
    </row>
    <row r="33" spans="1:28">
      <c r="A33" s="143" t="s">
        <v>187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AA33" s="139"/>
    </row>
    <row r="34" spans="1:28">
      <c r="A34" s="124" t="s">
        <v>386</v>
      </c>
      <c r="B34" s="130">
        <v>38000</v>
      </c>
      <c r="C34" s="125">
        <v>42000</v>
      </c>
      <c r="D34" s="125">
        <v>42000</v>
      </c>
      <c r="E34" s="125">
        <f>(43000/0.8)/2</f>
        <v>26875</v>
      </c>
      <c r="F34" s="131"/>
      <c r="G34" s="125"/>
      <c r="H34" s="125"/>
      <c r="I34" s="125"/>
      <c r="J34" s="125">
        <v>50000</v>
      </c>
      <c r="K34" s="125">
        <f>(J34+J34*4%)</f>
        <v>52000</v>
      </c>
      <c r="L34" s="125">
        <f>(K34+K34*4%)</f>
        <v>54080</v>
      </c>
      <c r="M34" s="125">
        <f>(L34+L34*4%)</f>
        <v>56243.199999999997</v>
      </c>
      <c r="N34" s="132" t="s">
        <v>270</v>
      </c>
      <c r="AA34" s="139">
        <f t="shared" si="1"/>
        <v>58492.928</v>
      </c>
    </row>
    <row r="35" spans="1:28" hidden="1">
      <c r="A35" s="124" t="s">
        <v>186</v>
      </c>
      <c r="B35" s="130"/>
      <c r="C35" s="125"/>
      <c r="D35" s="125"/>
      <c r="E35" s="125">
        <v>22500</v>
      </c>
      <c r="F35" s="131"/>
      <c r="G35" s="125"/>
      <c r="H35" s="125"/>
      <c r="I35" s="125"/>
      <c r="J35" s="125"/>
      <c r="K35" s="125"/>
      <c r="L35" s="125"/>
      <c r="M35" s="125"/>
      <c r="AA35" s="139">
        <f t="shared" si="1"/>
        <v>0</v>
      </c>
    </row>
    <row r="36" spans="1:28">
      <c r="A36" s="124" t="s">
        <v>387</v>
      </c>
      <c r="B36" s="130"/>
      <c r="C36" s="125"/>
      <c r="D36" s="125"/>
      <c r="E36" s="125">
        <v>35000</v>
      </c>
      <c r="F36" s="131"/>
      <c r="G36" s="125">
        <v>43000</v>
      </c>
      <c r="H36" s="125"/>
      <c r="I36" s="125"/>
      <c r="J36" s="125">
        <v>44290</v>
      </c>
      <c r="K36" s="125">
        <f>(J36+J36*4%)</f>
        <v>46061.599999999999</v>
      </c>
      <c r="L36" s="125">
        <f>(K36+K36*4%)</f>
        <v>47904.063999999998</v>
      </c>
      <c r="M36" s="125">
        <f>(L36+L36*4%)</f>
        <v>49820.226559999996</v>
      </c>
      <c r="AA36" s="139">
        <f t="shared" si="1"/>
        <v>51813.035622399999</v>
      </c>
    </row>
    <row r="37" spans="1:28" ht="13.5" thickBot="1">
      <c r="A37" s="124" t="s">
        <v>388</v>
      </c>
      <c r="B37" s="130"/>
      <c r="C37" s="125"/>
      <c r="D37" s="125"/>
      <c r="E37" s="125"/>
      <c r="F37" s="131"/>
      <c r="G37" s="125"/>
      <c r="H37" s="125"/>
      <c r="I37" s="125"/>
      <c r="J37" s="125"/>
      <c r="K37" s="125"/>
      <c r="L37" s="125">
        <v>0</v>
      </c>
      <c r="M37" s="125">
        <v>43000</v>
      </c>
      <c r="AA37" s="139">
        <f>M37*1.04+43000</f>
        <v>87720</v>
      </c>
      <c r="AB37" s="109">
        <v>2</v>
      </c>
    </row>
    <row r="38" spans="1:28" ht="13.5" thickBot="1">
      <c r="A38" s="144"/>
      <c r="B38" s="145"/>
      <c r="C38" s="145"/>
      <c r="D38" s="145">
        <f>SUM(D34:D37)</f>
        <v>42000</v>
      </c>
      <c r="E38" s="146">
        <f>SUM(E34:E37)</f>
        <v>84375</v>
      </c>
      <c r="F38" s="149"/>
      <c r="G38" s="148">
        <f>SUM(G34:G37)</f>
        <v>43000</v>
      </c>
      <c r="H38" s="148"/>
      <c r="I38" s="148"/>
      <c r="J38" s="148">
        <f>SUM(J34:J37)</f>
        <v>94290</v>
      </c>
      <c r="K38" s="148">
        <f>SUM(K34:K37)</f>
        <v>98061.6</v>
      </c>
      <c r="L38" s="148">
        <f>SUM(L34:L37)</f>
        <v>101984.064</v>
      </c>
      <c r="M38" s="148">
        <f>SUM(M34:M37)</f>
        <v>149063.42655999999</v>
      </c>
      <c r="N38" s="148">
        <f t="shared" ref="N38:AA38" si="14">SUM(N34:N37)</f>
        <v>0</v>
      </c>
      <c r="O38" s="148">
        <f t="shared" si="14"/>
        <v>0</v>
      </c>
      <c r="P38" s="148">
        <f t="shared" si="14"/>
        <v>0</v>
      </c>
      <c r="Q38" s="148">
        <f t="shared" si="14"/>
        <v>0</v>
      </c>
      <c r="R38" s="148">
        <f t="shared" si="14"/>
        <v>0</v>
      </c>
      <c r="S38" s="148">
        <f t="shared" si="14"/>
        <v>0</v>
      </c>
      <c r="T38" s="148">
        <f t="shared" si="14"/>
        <v>0</v>
      </c>
      <c r="U38" s="148">
        <f t="shared" si="14"/>
        <v>0</v>
      </c>
      <c r="V38" s="148">
        <f t="shared" si="14"/>
        <v>0</v>
      </c>
      <c r="W38" s="148">
        <f t="shared" si="14"/>
        <v>0</v>
      </c>
      <c r="X38" s="148">
        <f t="shared" si="14"/>
        <v>0</v>
      </c>
      <c r="Y38" s="148">
        <f t="shared" si="14"/>
        <v>0</v>
      </c>
      <c r="Z38" s="148">
        <f t="shared" si="14"/>
        <v>0</v>
      </c>
      <c r="AA38" s="148">
        <f t="shared" si="14"/>
        <v>198025.96362240001</v>
      </c>
    </row>
    <row r="39" spans="1:28">
      <c r="A39" s="143" t="s">
        <v>194</v>
      </c>
      <c r="B39" s="130"/>
      <c r="C39" s="130"/>
      <c r="D39" s="130"/>
      <c r="E39" s="130"/>
      <c r="F39" s="131"/>
      <c r="AA39" s="139"/>
    </row>
    <row r="40" spans="1:28" hidden="1">
      <c r="A40" s="143"/>
      <c r="B40" s="130"/>
      <c r="C40" s="130"/>
      <c r="D40" s="130"/>
      <c r="E40" s="130"/>
      <c r="F40" s="131"/>
      <c r="AA40" s="139">
        <f t="shared" si="1"/>
        <v>0</v>
      </c>
    </row>
    <row r="41" spans="1:28">
      <c r="A41" s="124" t="s">
        <v>389</v>
      </c>
      <c r="B41" s="130">
        <v>0</v>
      </c>
      <c r="C41" s="130">
        <v>0</v>
      </c>
      <c r="D41" s="130">
        <v>20000</v>
      </c>
      <c r="E41" s="130">
        <v>20800</v>
      </c>
      <c r="F41" s="131"/>
      <c r="G41" s="130">
        <v>21650</v>
      </c>
      <c r="H41" s="130"/>
      <c r="I41" s="130"/>
      <c r="J41" s="130">
        <v>20000</v>
      </c>
      <c r="K41" s="130">
        <f t="shared" ref="K41:M42" si="15">J41*1.04</f>
        <v>20800</v>
      </c>
      <c r="L41" s="130">
        <f t="shared" si="15"/>
        <v>21632</v>
      </c>
      <c r="M41" s="130">
        <f t="shared" si="15"/>
        <v>22497.280000000002</v>
      </c>
      <c r="AA41" s="139">
        <f t="shared" si="1"/>
        <v>23397.171200000004</v>
      </c>
    </row>
    <row r="42" spans="1:28">
      <c r="A42" s="124" t="s">
        <v>390</v>
      </c>
      <c r="B42" s="150">
        <f>6*4*25*36</f>
        <v>21600</v>
      </c>
      <c r="C42" s="150">
        <v>31000</v>
      </c>
      <c r="D42" s="150">
        <v>29500</v>
      </c>
      <c r="E42" s="130">
        <v>30000</v>
      </c>
      <c r="F42" s="131"/>
      <c r="G42" s="130">
        <v>34000</v>
      </c>
      <c r="H42" s="130"/>
      <c r="I42" s="130"/>
      <c r="J42" s="130">
        <v>37000</v>
      </c>
      <c r="K42" s="130">
        <f t="shared" si="15"/>
        <v>38480</v>
      </c>
      <c r="L42" s="130">
        <f t="shared" si="15"/>
        <v>40019.200000000004</v>
      </c>
      <c r="M42" s="130">
        <f t="shared" si="15"/>
        <v>41619.968000000008</v>
      </c>
      <c r="AA42" s="139">
        <f t="shared" si="1"/>
        <v>43284.766720000007</v>
      </c>
    </row>
    <row r="43" spans="1:28" hidden="1">
      <c r="A43" s="124"/>
      <c r="B43" s="150"/>
      <c r="C43" s="150"/>
      <c r="D43" s="150"/>
      <c r="E43" s="130"/>
      <c r="F43" s="131"/>
      <c r="G43" s="130"/>
      <c r="H43" s="130"/>
      <c r="I43" s="130"/>
      <c r="J43" s="130"/>
      <c r="K43" s="130"/>
      <c r="L43" s="130"/>
      <c r="M43" s="130"/>
      <c r="AA43" s="139">
        <f t="shared" si="1"/>
        <v>0</v>
      </c>
    </row>
    <row r="44" spans="1:28">
      <c r="A44" s="124"/>
      <c r="B44" s="150"/>
      <c r="C44" s="150"/>
      <c r="D44" s="150"/>
      <c r="E44" s="130"/>
      <c r="F44" s="131"/>
      <c r="G44" s="130"/>
      <c r="H44" s="130"/>
      <c r="I44" s="130"/>
      <c r="J44" s="130"/>
      <c r="K44" s="130"/>
      <c r="L44" s="130"/>
      <c r="M44" s="130"/>
      <c r="AA44" s="139"/>
    </row>
    <row r="45" spans="1:28">
      <c r="A45" s="124" t="s">
        <v>391</v>
      </c>
      <c r="B45" s="125">
        <v>47000</v>
      </c>
      <c r="C45" s="125">
        <v>42000</v>
      </c>
      <c r="D45" s="125">
        <v>43680</v>
      </c>
      <c r="E45" s="125">
        <v>44990</v>
      </c>
      <c r="F45" s="131"/>
      <c r="G45" s="125">
        <v>46700</v>
      </c>
      <c r="H45" s="125">
        <f>1796.16*26</f>
        <v>46700.160000000003</v>
      </c>
      <c r="I45" s="125"/>
      <c r="J45" s="125">
        <v>48101</v>
      </c>
      <c r="K45" s="125">
        <f t="shared" ref="K45:K55" si="16">J45+J45*4%</f>
        <v>50025.04</v>
      </c>
      <c r="L45" s="125">
        <f>K45+K45*4%</f>
        <v>52026.041600000004</v>
      </c>
      <c r="M45" s="125">
        <f>L45+L45*4%</f>
        <v>54107.083264000001</v>
      </c>
      <c r="AA45" s="139">
        <f t="shared" si="1"/>
        <v>56271.366594560001</v>
      </c>
    </row>
    <row r="46" spans="1:28" hidden="1">
      <c r="A46" s="124" t="s">
        <v>283</v>
      </c>
      <c r="B46" s="125"/>
      <c r="C46" s="125"/>
      <c r="D46" s="125"/>
      <c r="E46" s="125"/>
      <c r="F46" s="131"/>
      <c r="G46" s="125"/>
      <c r="H46" s="125"/>
      <c r="I46" s="125"/>
      <c r="J46" s="125">
        <f t="shared" ref="J46:J47" si="17">G46+G46*4%</f>
        <v>0</v>
      </c>
      <c r="K46" s="125"/>
      <c r="L46" s="125"/>
      <c r="M46" s="125"/>
      <c r="AA46" s="139">
        <f t="shared" si="1"/>
        <v>0</v>
      </c>
    </row>
    <row r="47" spans="1:28" hidden="1">
      <c r="A47" s="151" t="s">
        <v>232</v>
      </c>
      <c r="B47" s="150">
        <v>36000</v>
      </c>
      <c r="C47" s="152">
        <v>38000</v>
      </c>
      <c r="D47" s="152">
        <v>39000</v>
      </c>
      <c r="E47" s="125"/>
      <c r="F47" s="131"/>
      <c r="G47" s="125"/>
      <c r="H47" s="125"/>
      <c r="I47" s="125"/>
      <c r="J47" s="125">
        <f t="shared" si="17"/>
        <v>0</v>
      </c>
      <c r="K47" s="125"/>
      <c r="L47" s="125"/>
      <c r="M47" s="125"/>
      <c r="AA47" s="139">
        <f t="shared" si="1"/>
        <v>0</v>
      </c>
    </row>
    <row r="48" spans="1:28">
      <c r="A48" s="124" t="s">
        <v>392</v>
      </c>
      <c r="B48" s="130"/>
      <c r="C48" s="125"/>
      <c r="D48" s="125"/>
      <c r="E48" s="125"/>
      <c r="F48" s="131"/>
      <c r="G48" s="125">
        <v>30000</v>
      </c>
      <c r="H48" s="125"/>
      <c r="I48" s="125"/>
      <c r="J48" s="125">
        <v>31366</v>
      </c>
      <c r="K48" s="125"/>
      <c r="L48" s="125"/>
      <c r="M48" s="125"/>
      <c r="AA48" s="139"/>
    </row>
    <row r="49" spans="1:28">
      <c r="A49" s="124" t="s">
        <v>393</v>
      </c>
      <c r="B49" s="130">
        <v>38000</v>
      </c>
      <c r="C49" s="125">
        <v>33000</v>
      </c>
      <c r="D49" s="125">
        <v>34000</v>
      </c>
      <c r="E49" s="125">
        <v>36000</v>
      </c>
      <c r="F49" s="131"/>
      <c r="G49" s="125">
        <v>38150</v>
      </c>
      <c r="H49" s="125"/>
      <c r="I49" s="125"/>
      <c r="J49" s="125">
        <v>39676</v>
      </c>
      <c r="K49" s="125">
        <f t="shared" ref="K49:M50" si="18">J49+J49*4%</f>
        <v>41263.040000000001</v>
      </c>
      <c r="L49" s="125">
        <f t="shared" si="18"/>
        <v>42913.561600000001</v>
      </c>
      <c r="M49" s="125">
        <f t="shared" si="18"/>
        <v>44630.104063999999</v>
      </c>
      <c r="AA49" s="139">
        <f t="shared" si="1"/>
        <v>46415.308226560002</v>
      </c>
    </row>
    <row r="50" spans="1:28">
      <c r="A50" s="124" t="s">
        <v>393</v>
      </c>
      <c r="B50" s="152">
        <v>31500</v>
      </c>
      <c r="C50" s="152">
        <v>38000</v>
      </c>
      <c r="D50" s="152">
        <v>40000</v>
      </c>
      <c r="E50" s="125">
        <v>34300</v>
      </c>
      <c r="F50" s="131"/>
      <c r="G50" s="125">
        <v>12000</v>
      </c>
      <c r="H50" s="125">
        <f>1350*26</f>
        <v>35100</v>
      </c>
      <c r="I50" s="125"/>
      <c r="J50" s="125">
        <v>35375</v>
      </c>
      <c r="K50" s="125">
        <f t="shared" si="18"/>
        <v>36790</v>
      </c>
      <c r="L50" s="125">
        <f t="shared" si="18"/>
        <v>38261.599999999999</v>
      </c>
      <c r="M50" s="125">
        <f t="shared" si="18"/>
        <v>39792.063999999998</v>
      </c>
      <c r="AA50" s="139">
        <f t="shared" si="1"/>
        <v>41383.74656</v>
      </c>
    </row>
    <row r="51" spans="1:28">
      <c r="A51" s="124" t="s">
        <v>394</v>
      </c>
      <c r="B51" s="130">
        <v>36720</v>
      </c>
      <c r="C51" s="125">
        <v>22000</v>
      </c>
      <c r="D51" s="125">
        <v>32000</v>
      </c>
      <c r="E51" s="125">
        <v>34000</v>
      </c>
      <c r="F51" s="131"/>
      <c r="G51" s="125">
        <v>35400</v>
      </c>
      <c r="H51" s="125"/>
      <c r="I51" s="125"/>
      <c r="J51" s="125">
        <v>37524</v>
      </c>
      <c r="K51" s="125">
        <f t="shared" si="16"/>
        <v>39024.959999999999</v>
      </c>
      <c r="L51" s="125">
        <f t="shared" ref="L51:M51" si="19">K51+K51*4%</f>
        <v>40585.958399999996</v>
      </c>
      <c r="M51" s="125">
        <f t="shared" si="19"/>
        <v>42209.396735999995</v>
      </c>
      <c r="N51" s="128" t="s">
        <v>282</v>
      </c>
      <c r="AA51" s="139">
        <f t="shared" si="1"/>
        <v>43897.772605439997</v>
      </c>
    </row>
    <row r="52" spans="1:28">
      <c r="A52" s="124" t="s">
        <v>394</v>
      </c>
      <c r="B52" s="130"/>
      <c r="C52" s="152">
        <v>31500</v>
      </c>
      <c r="D52" s="152">
        <v>33000</v>
      </c>
      <c r="E52" s="125">
        <v>21000</v>
      </c>
      <c r="F52" s="131"/>
      <c r="G52" s="125">
        <v>36125</v>
      </c>
      <c r="H52" s="125">
        <f>1346.16*26</f>
        <v>35000.160000000003</v>
      </c>
      <c r="I52" s="125"/>
      <c r="J52" s="125">
        <v>36823</v>
      </c>
      <c r="K52" s="125">
        <f>J52+J52*4%</f>
        <v>38295.919999999998</v>
      </c>
      <c r="L52" s="125">
        <f>K52+K52*4%</f>
        <v>39827.756799999996</v>
      </c>
      <c r="M52" s="125">
        <f>L52+L52*4%</f>
        <v>41420.867071999994</v>
      </c>
      <c r="AA52" s="139">
        <f t="shared" si="1"/>
        <v>43077.701754879992</v>
      </c>
    </row>
    <row r="53" spans="1:28" hidden="1">
      <c r="A53" s="124"/>
      <c r="B53" s="125"/>
      <c r="C53" s="125"/>
      <c r="D53" s="125"/>
      <c r="E53" s="125"/>
      <c r="F53" s="131"/>
      <c r="G53" s="125"/>
      <c r="H53" s="125"/>
      <c r="I53" s="125"/>
      <c r="J53" s="125"/>
      <c r="K53" s="125"/>
      <c r="L53" s="125"/>
      <c r="M53" s="125"/>
      <c r="AA53" s="139">
        <f t="shared" si="1"/>
        <v>0</v>
      </c>
    </row>
    <row r="54" spans="1:28">
      <c r="A54" s="124"/>
      <c r="B54" s="125"/>
      <c r="C54" s="125"/>
      <c r="D54" s="125"/>
      <c r="E54" s="125"/>
      <c r="F54" s="131"/>
      <c r="G54" s="125"/>
      <c r="H54" s="125"/>
      <c r="I54" s="125"/>
      <c r="J54" s="125"/>
      <c r="K54" s="125"/>
      <c r="L54" s="125"/>
      <c r="M54" s="125"/>
      <c r="AA54" s="139"/>
    </row>
    <row r="55" spans="1:28">
      <c r="A55" s="124" t="s">
        <v>395</v>
      </c>
      <c r="B55" s="130">
        <v>32000</v>
      </c>
      <c r="C55" s="125">
        <v>36000</v>
      </c>
      <c r="D55" s="125">
        <v>37440</v>
      </c>
      <c r="E55" s="125">
        <v>32000</v>
      </c>
      <c r="F55" s="131"/>
      <c r="G55" s="125">
        <v>37000</v>
      </c>
      <c r="H55" s="125">
        <f>1440*26</f>
        <v>37440</v>
      </c>
      <c r="I55" s="125"/>
      <c r="J55" s="125">
        <v>40000</v>
      </c>
      <c r="K55" s="125">
        <f t="shared" si="16"/>
        <v>41600</v>
      </c>
      <c r="L55" s="125">
        <f>K55+K55*4%</f>
        <v>43264</v>
      </c>
      <c r="M55" s="125">
        <f>L55+L55*4%</f>
        <v>44994.559999999998</v>
      </c>
      <c r="AA55" s="139">
        <f t="shared" si="1"/>
        <v>46794.342400000001</v>
      </c>
      <c r="AB55" s="109" t="s">
        <v>332</v>
      </c>
    </row>
    <row r="56" spans="1:28">
      <c r="A56" s="124" t="s">
        <v>353</v>
      </c>
      <c r="B56" s="130">
        <v>38000</v>
      </c>
      <c r="C56" s="125">
        <v>36000</v>
      </c>
      <c r="D56" s="125">
        <v>37000</v>
      </c>
      <c r="E56" s="125">
        <v>38500</v>
      </c>
      <c r="F56" s="131"/>
      <c r="G56" s="125">
        <v>42120</v>
      </c>
      <c r="H56" s="125"/>
      <c r="I56" s="125"/>
      <c r="J56" s="125">
        <v>45000</v>
      </c>
      <c r="K56" s="125">
        <f>J56+J56*4%</f>
        <v>46800</v>
      </c>
      <c r="L56" s="125">
        <f>K56+K56*4%</f>
        <v>48672</v>
      </c>
      <c r="M56" s="125">
        <f>L56+L56*4%</f>
        <v>50618.879999999997</v>
      </c>
      <c r="AA56" s="139">
        <f t="shared" si="1"/>
        <v>52643.635199999997</v>
      </c>
    </row>
    <row r="57" spans="1:28" hidden="1">
      <c r="A57" s="151" t="s">
        <v>233</v>
      </c>
      <c r="B57" s="150">
        <v>36000</v>
      </c>
      <c r="C57" s="152">
        <v>44000</v>
      </c>
      <c r="D57" s="152">
        <v>45500</v>
      </c>
      <c r="E57" s="125"/>
      <c r="F57" s="131"/>
      <c r="G57" s="125"/>
      <c r="H57" s="125"/>
      <c r="I57" s="125"/>
      <c r="J57" s="125"/>
      <c r="K57" s="125"/>
      <c r="L57" s="125"/>
      <c r="M57" s="125"/>
      <c r="AA57" s="139">
        <f t="shared" si="1"/>
        <v>0</v>
      </c>
    </row>
    <row r="58" spans="1:28">
      <c r="A58" s="124" t="s">
        <v>396</v>
      </c>
      <c r="B58" s="130"/>
      <c r="C58" s="130">
        <v>33000</v>
      </c>
      <c r="D58" s="125">
        <v>34000</v>
      </c>
      <c r="E58" s="125">
        <v>39500</v>
      </c>
      <c r="F58" s="131"/>
      <c r="G58" s="125">
        <v>41445</v>
      </c>
      <c r="H58" s="125">
        <f>1580*26</f>
        <v>41080</v>
      </c>
      <c r="I58" s="125"/>
      <c r="J58" s="125">
        <v>43883</v>
      </c>
      <c r="K58" s="125">
        <f>J58+J58*4%</f>
        <v>45638.32</v>
      </c>
      <c r="L58" s="125">
        <f t="shared" ref="L58:M61" si="20">K58+K58*4%</f>
        <v>47463.852800000001</v>
      </c>
      <c r="M58" s="125">
        <f t="shared" si="20"/>
        <v>49362.406911999999</v>
      </c>
      <c r="AA58" s="139">
        <f t="shared" si="1"/>
        <v>51336.903188479999</v>
      </c>
    </row>
    <row r="59" spans="1:28">
      <c r="A59" s="124" t="s">
        <v>397</v>
      </c>
      <c r="B59" s="130"/>
      <c r="C59" s="130"/>
      <c r="D59" s="125"/>
      <c r="E59" s="125"/>
      <c r="F59" s="131"/>
      <c r="G59" s="125">
        <v>35850</v>
      </c>
      <c r="H59" s="125"/>
      <c r="I59" s="125"/>
      <c r="J59" s="125">
        <v>37284</v>
      </c>
      <c r="K59" s="125">
        <f>J59+J59*4%</f>
        <v>38775.360000000001</v>
      </c>
      <c r="L59" s="125">
        <f t="shared" ref="L59" si="21">K59+K59*4%</f>
        <v>40326.374400000001</v>
      </c>
      <c r="M59" s="125">
        <f t="shared" ref="M59" si="22">L59+L59*4%</f>
        <v>41939.429376</v>
      </c>
      <c r="AA59" s="139">
        <f t="shared" si="1"/>
        <v>43617.006551040002</v>
      </c>
    </row>
    <row r="60" spans="1:28">
      <c r="A60" s="124" t="s">
        <v>398</v>
      </c>
      <c r="C60" s="153">
        <v>32500</v>
      </c>
      <c r="D60" s="153">
        <v>33702</v>
      </c>
      <c r="E60" s="132">
        <v>39500</v>
      </c>
      <c r="F60" s="154"/>
      <c r="G60" s="132">
        <v>40500</v>
      </c>
      <c r="H60" s="132">
        <f>1557.7*26</f>
        <v>40500.200000000004</v>
      </c>
      <c r="I60" s="132"/>
      <c r="J60" s="132">
        <v>42525</v>
      </c>
      <c r="K60" s="132">
        <f>J60+J60*4%</f>
        <v>44226</v>
      </c>
      <c r="L60" s="132">
        <f t="shared" si="20"/>
        <v>45995.040000000001</v>
      </c>
      <c r="M60" s="132">
        <f t="shared" si="20"/>
        <v>47834.8416</v>
      </c>
      <c r="N60" s="132" t="s">
        <v>267</v>
      </c>
      <c r="AA60" s="139">
        <f t="shared" si="1"/>
        <v>49748.235264000003</v>
      </c>
    </row>
    <row r="61" spans="1:28">
      <c r="A61" s="124" t="s">
        <v>399</v>
      </c>
      <c r="B61" s="150">
        <v>34840</v>
      </c>
      <c r="C61" s="152">
        <v>38000</v>
      </c>
      <c r="D61" s="152">
        <v>39520</v>
      </c>
      <c r="E61" s="132">
        <f>39000*1.04</f>
        <v>40560</v>
      </c>
      <c r="F61" s="154"/>
      <c r="G61" s="132">
        <v>38565</v>
      </c>
      <c r="H61" s="132"/>
      <c r="I61" s="132"/>
      <c r="J61" s="132">
        <v>40494</v>
      </c>
      <c r="K61" s="132">
        <f>J61+J61*4%</f>
        <v>42113.760000000002</v>
      </c>
      <c r="L61" s="132">
        <f t="shared" si="20"/>
        <v>43798.310400000002</v>
      </c>
      <c r="M61" s="132">
        <f t="shared" si="20"/>
        <v>45550.242816000005</v>
      </c>
      <c r="AA61" s="139">
        <f t="shared" si="1"/>
        <v>47372.252528640005</v>
      </c>
    </row>
    <row r="62" spans="1:28" hidden="1">
      <c r="F62" s="129"/>
      <c r="AA62" s="139">
        <f t="shared" si="1"/>
        <v>0</v>
      </c>
    </row>
    <row r="63" spans="1:28">
      <c r="F63" s="129"/>
      <c r="AA63" s="139"/>
    </row>
    <row r="64" spans="1:28">
      <c r="A64" s="124" t="s">
        <v>400</v>
      </c>
      <c r="B64" s="130">
        <v>37000</v>
      </c>
      <c r="C64" s="125">
        <v>39330</v>
      </c>
      <c r="D64" s="125">
        <v>39000</v>
      </c>
      <c r="E64" s="155">
        <v>28000</v>
      </c>
      <c r="F64" s="156"/>
      <c r="G64" s="125">
        <v>37000</v>
      </c>
      <c r="H64" s="125"/>
      <c r="I64" s="125"/>
      <c r="J64" s="125">
        <v>38000</v>
      </c>
      <c r="K64" s="125">
        <f t="shared" ref="K64:M65" si="23">J64+J64*4%</f>
        <v>39520</v>
      </c>
      <c r="L64" s="125">
        <f t="shared" si="23"/>
        <v>41100.800000000003</v>
      </c>
      <c r="M64" s="125">
        <f t="shared" si="23"/>
        <v>42744.832000000002</v>
      </c>
      <c r="AA64" s="139">
        <f t="shared" si="1"/>
        <v>44454.62528</v>
      </c>
    </row>
    <row r="65" spans="1:73">
      <c r="A65" s="124" t="s">
        <v>400</v>
      </c>
      <c r="B65" s="130"/>
      <c r="C65" s="130">
        <v>38000</v>
      </c>
      <c r="D65" s="125">
        <v>39520</v>
      </c>
      <c r="E65" s="125">
        <v>40500</v>
      </c>
      <c r="F65" s="131"/>
      <c r="G65" s="125">
        <v>57000</v>
      </c>
      <c r="H65" s="125">
        <f>1620*26</f>
        <v>42120</v>
      </c>
      <c r="I65" s="125"/>
      <c r="J65" s="125">
        <v>59280</v>
      </c>
      <c r="K65" s="125">
        <f t="shared" si="23"/>
        <v>61651.199999999997</v>
      </c>
      <c r="L65" s="125">
        <f t="shared" si="23"/>
        <v>64117.248</v>
      </c>
      <c r="M65" s="125">
        <f t="shared" si="23"/>
        <v>66681.937919999997</v>
      </c>
      <c r="AA65" s="139">
        <f t="shared" si="1"/>
        <v>69349.215436800005</v>
      </c>
    </row>
    <row r="66" spans="1:73">
      <c r="A66" s="128" t="s">
        <v>401</v>
      </c>
      <c r="C66" s="132">
        <v>36000</v>
      </c>
      <c r="D66" s="132">
        <v>23700</v>
      </c>
      <c r="E66" s="132">
        <v>36000</v>
      </c>
      <c r="F66" s="154"/>
      <c r="G66" s="132">
        <v>35875</v>
      </c>
      <c r="H66" s="132"/>
      <c r="I66" s="132"/>
      <c r="J66" s="132">
        <v>37670</v>
      </c>
      <c r="K66" s="132">
        <f t="shared" ref="K66:M67" si="24">J66*1.04</f>
        <v>39176.800000000003</v>
      </c>
      <c r="L66" s="132">
        <f t="shared" si="24"/>
        <v>40743.872000000003</v>
      </c>
      <c r="M66" s="132">
        <f t="shared" si="24"/>
        <v>42373.626880000003</v>
      </c>
      <c r="AA66" s="139">
        <f t="shared" si="1"/>
        <v>44068.571955200008</v>
      </c>
    </row>
    <row r="67" spans="1:73">
      <c r="A67" s="128" t="s">
        <v>401</v>
      </c>
      <c r="B67" s="132"/>
      <c r="C67" s="150">
        <v>33000</v>
      </c>
      <c r="D67" s="152">
        <v>34320</v>
      </c>
      <c r="E67" s="132">
        <v>42000</v>
      </c>
      <c r="F67" s="154"/>
      <c r="G67" s="132">
        <v>43680</v>
      </c>
      <c r="H67" s="132"/>
      <c r="I67" s="132"/>
      <c r="J67" s="132">
        <v>45864</v>
      </c>
      <c r="K67" s="132">
        <f t="shared" si="24"/>
        <v>47698.560000000005</v>
      </c>
      <c r="L67" s="132">
        <f t="shared" si="24"/>
        <v>49606.502400000005</v>
      </c>
      <c r="M67" s="132">
        <f t="shared" si="24"/>
        <v>51590.76249600001</v>
      </c>
      <c r="AA67" s="139">
        <f t="shared" si="1"/>
        <v>53654.392995840011</v>
      </c>
    </row>
    <row r="68" spans="1:73" hidden="1">
      <c r="A68" s="124"/>
      <c r="B68" s="130"/>
      <c r="C68" s="125"/>
      <c r="D68" s="125"/>
      <c r="E68" s="125"/>
      <c r="F68" s="131"/>
      <c r="G68" s="125"/>
      <c r="H68" s="125"/>
      <c r="I68" s="125"/>
      <c r="J68" s="125"/>
      <c r="K68" s="125"/>
      <c r="L68" s="125"/>
      <c r="M68" s="125"/>
      <c r="AA68" s="139">
        <f t="shared" si="1"/>
        <v>0</v>
      </c>
    </row>
    <row r="69" spans="1:73">
      <c r="A69" s="124"/>
      <c r="B69" s="130"/>
      <c r="C69" s="125"/>
      <c r="D69" s="125"/>
      <c r="E69" s="125"/>
      <c r="F69" s="131"/>
      <c r="G69" s="125"/>
      <c r="H69" s="125"/>
      <c r="I69" s="125"/>
      <c r="J69" s="125"/>
      <c r="K69" s="125"/>
      <c r="L69" s="125"/>
      <c r="M69" s="125"/>
      <c r="AA69" s="139"/>
    </row>
    <row r="70" spans="1:73">
      <c r="A70" s="124" t="s">
        <v>402</v>
      </c>
      <c r="B70" s="132"/>
      <c r="C70" s="132"/>
      <c r="D70" s="132">
        <v>37440</v>
      </c>
      <c r="E70" s="125">
        <v>40000</v>
      </c>
      <c r="F70" s="131"/>
      <c r="G70" s="125">
        <v>41600</v>
      </c>
      <c r="H70" s="125"/>
      <c r="I70" s="125"/>
      <c r="J70" s="125">
        <v>43264</v>
      </c>
      <c r="K70" s="125">
        <f>J70+J70*4%</f>
        <v>44994.559999999998</v>
      </c>
      <c r="L70" s="125">
        <f t="shared" ref="L70:M73" si="25">K70+K70*4%</f>
        <v>46794.342399999994</v>
      </c>
      <c r="M70" s="125">
        <f t="shared" si="25"/>
        <v>48666.116095999991</v>
      </c>
      <c r="AA70" s="139">
        <f t="shared" ref="AA70:AA86" si="26">M70*1.04</f>
        <v>50612.760739839992</v>
      </c>
    </row>
    <row r="71" spans="1:73">
      <c r="A71" s="124" t="s">
        <v>403</v>
      </c>
      <c r="B71" s="130"/>
      <c r="D71" s="125">
        <v>39000</v>
      </c>
      <c r="E71" s="125">
        <v>38000</v>
      </c>
      <c r="F71" s="131"/>
      <c r="G71" s="125">
        <v>40000</v>
      </c>
      <c r="H71" s="125">
        <f>1538.47*26</f>
        <v>40000.22</v>
      </c>
      <c r="I71" s="125"/>
      <c r="J71" s="125">
        <v>41600</v>
      </c>
      <c r="K71" s="125">
        <f>J71+J71*4%</f>
        <v>43264</v>
      </c>
      <c r="L71" s="125">
        <f t="shared" si="25"/>
        <v>44994.559999999998</v>
      </c>
      <c r="M71" s="125">
        <f t="shared" si="25"/>
        <v>46794.342399999994</v>
      </c>
      <c r="AA71" s="139">
        <f t="shared" si="26"/>
        <v>48666.116095999998</v>
      </c>
    </row>
    <row r="72" spans="1:73">
      <c r="A72" s="128" t="s">
        <v>404</v>
      </c>
      <c r="D72" s="132">
        <v>35000</v>
      </c>
      <c r="E72" s="125">
        <v>35800</v>
      </c>
      <c r="F72" s="131"/>
      <c r="G72" s="125">
        <v>37000</v>
      </c>
      <c r="H72" s="125">
        <f>1430.77*26</f>
        <v>37200.019999999997</v>
      </c>
      <c r="I72" s="125"/>
      <c r="J72" s="125">
        <v>38850</v>
      </c>
      <c r="K72" s="125">
        <f>J72+J72*4%</f>
        <v>40404</v>
      </c>
      <c r="L72" s="125">
        <f t="shared" si="25"/>
        <v>42020.160000000003</v>
      </c>
      <c r="M72" s="125">
        <f t="shared" si="25"/>
        <v>43700.966400000005</v>
      </c>
      <c r="AA72" s="139">
        <f t="shared" si="26"/>
        <v>45449.005056000009</v>
      </c>
    </row>
    <row r="73" spans="1:73">
      <c r="A73" s="124" t="s">
        <v>405</v>
      </c>
      <c r="B73" s="150">
        <v>31500</v>
      </c>
      <c r="C73" s="152">
        <v>36000</v>
      </c>
      <c r="D73" s="152">
        <v>37440</v>
      </c>
      <c r="E73" s="125">
        <v>35500</v>
      </c>
      <c r="F73" s="131"/>
      <c r="G73" s="125">
        <v>40000</v>
      </c>
      <c r="H73" s="125"/>
      <c r="I73" s="125"/>
      <c r="J73" s="125">
        <v>41600</v>
      </c>
      <c r="K73" s="125">
        <f>J73+J73*4%</f>
        <v>43264</v>
      </c>
      <c r="L73" s="125">
        <f t="shared" si="25"/>
        <v>44994.559999999998</v>
      </c>
      <c r="M73" s="125">
        <f t="shared" si="25"/>
        <v>46794.342399999994</v>
      </c>
      <c r="N73" s="132" t="s">
        <v>267</v>
      </c>
      <c r="AA73" s="139">
        <f t="shared" si="26"/>
        <v>48666.116095999998</v>
      </c>
    </row>
    <row r="74" spans="1:73" hidden="1">
      <c r="A74" s="124" t="s">
        <v>314</v>
      </c>
      <c r="F74" s="129"/>
      <c r="AA74" s="139">
        <f t="shared" si="26"/>
        <v>0</v>
      </c>
    </row>
    <row r="75" spans="1:73" hidden="1">
      <c r="A75" s="124" t="s">
        <v>314</v>
      </c>
      <c r="F75" s="129"/>
      <c r="AA75" s="139">
        <f t="shared" si="26"/>
        <v>0</v>
      </c>
    </row>
    <row r="76" spans="1:73">
      <c r="A76" s="124" t="s">
        <v>405</v>
      </c>
      <c r="F76" s="129"/>
      <c r="G76" s="128">
        <v>6000</v>
      </c>
      <c r="AA76" s="139"/>
    </row>
    <row r="77" spans="1:73">
      <c r="F77" s="129"/>
      <c r="AA77" s="139"/>
    </row>
    <row r="78" spans="1:73">
      <c r="A78" s="124" t="s">
        <v>406</v>
      </c>
      <c r="B78" s="130"/>
      <c r="C78" s="130">
        <v>36000</v>
      </c>
      <c r="D78" s="125">
        <v>42000</v>
      </c>
      <c r="E78" s="125">
        <v>43700</v>
      </c>
      <c r="F78" s="131"/>
      <c r="G78" s="125">
        <v>45000</v>
      </c>
      <c r="H78" s="125">
        <f>1730.77*26</f>
        <v>45000.02</v>
      </c>
      <c r="I78" s="125"/>
      <c r="J78" s="125">
        <v>46350</v>
      </c>
      <c r="K78" s="125">
        <f>J78+J78*4%</f>
        <v>48204</v>
      </c>
      <c r="L78" s="125">
        <f>K78+K78*4%</f>
        <v>50132.160000000003</v>
      </c>
      <c r="M78" s="125">
        <f>L78+L78*4%</f>
        <v>52137.446400000001</v>
      </c>
      <c r="AA78" s="139">
        <f t="shared" si="26"/>
        <v>54222.944256000002</v>
      </c>
    </row>
    <row r="79" spans="1:73" s="117" customFormat="1" hidden="1">
      <c r="A79" s="124" t="s">
        <v>313</v>
      </c>
      <c r="B79" s="128"/>
      <c r="C79" s="128"/>
      <c r="D79" s="128"/>
      <c r="E79" s="128"/>
      <c r="F79" s="129"/>
      <c r="G79" s="128"/>
      <c r="H79" s="128"/>
      <c r="I79" s="128"/>
      <c r="J79" s="125">
        <f t="shared" ref="J79" si="27">G79+G79*4%</f>
        <v>0</v>
      </c>
      <c r="K79" s="125">
        <f t="shared" ref="K79:M79" si="28">J79+J79*4%</f>
        <v>0</v>
      </c>
      <c r="L79" s="125">
        <f t="shared" si="28"/>
        <v>0</v>
      </c>
      <c r="M79" s="125">
        <f t="shared" si="28"/>
        <v>0</v>
      </c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39">
        <f t="shared" si="26"/>
        <v>0</v>
      </c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</row>
    <row r="80" spans="1:73" s="117" customFormat="1">
      <c r="A80" s="124" t="s">
        <v>407</v>
      </c>
      <c r="B80" s="128"/>
      <c r="C80" s="128"/>
      <c r="D80" s="128"/>
      <c r="E80" s="128"/>
      <c r="F80" s="129"/>
      <c r="G80" s="132">
        <v>29000</v>
      </c>
      <c r="H80" s="128"/>
      <c r="I80" s="128"/>
      <c r="J80" s="125">
        <v>29870</v>
      </c>
      <c r="K80" s="125">
        <f t="shared" ref="K80:M80" si="29">J80+J80*4%</f>
        <v>31064.799999999999</v>
      </c>
      <c r="L80" s="125">
        <f t="shared" si="29"/>
        <v>32307.392</v>
      </c>
      <c r="M80" s="125">
        <f t="shared" si="29"/>
        <v>33599.687680000003</v>
      </c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39">
        <f t="shared" si="26"/>
        <v>34943.675187200002</v>
      </c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</row>
    <row r="81" spans="1:27">
      <c r="A81" s="124" t="s">
        <v>408</v>
      </c>
      <c r="B81" s="150">
        <v>37500</v>
      </c>
      <c r="C81" s="152">
        <v>39500</v>
      </c>
      <c r="D81" s="152">
        <v>41000</v>
      </c>
      <c r="E81" s="125">
        <v>48230</v>
      </c>
      <c r="F81" s="131"/>
      <c r="G81" s="125">
        <v>12000</v>
      </c>
      <c r="H81" s="125"/>
      <c r="I81" s="125"/>
      <c r="J81" s="125">
        <v>37000</v>
      </c>
      <c r="K81" s="125">
        <f>J81*1.04</f>
        <v>38480</v>
      </c>
      <c r="L81" s="125">
        <f>K81*1.04</f>
        <v>40019.200000000004</v>
      </c>
      <c r="M81" s="125">
        <f>L81*1.04</f>
        <v>41619.968000000008</v>
      </c>
      <c r="AA81" s="139">
        <f t="shared" si="26"/>
        <v>43284.766720000007</v>
      </c>
    </row>
    <row r="82" spans="1:27">
      <c r="A82" s="124" t="s">
        <v>408</v>
      </c>
      <c r="B82" s="150">
        <v>30500</v>
      </c>
      <c r="C82" s="152">
        <v>36000</v>
      </c>
      <c r="D82" s="152">
        <v>33000</v>
      </c>
      <c r="E82" s="125">
        <v>35500</v>
      </c>
      <c r="F82" s="131"/>
      <c r="G82" s="125">
        <v>38500</v>
      </c>
      <c r="H82" s="125">
        <f>1423.08*26</f>
        <v>37000.080000000002</v>
      </c>
      <c r="I82" s="125"/>
      <c r="J82" s="125">
        <v>40425</v>
      </c>
      <c r="K82" s="125">
        <f>J82+J82*4%</f>
        <v>42042</v>
      </c>
      <c r="L82" s="125">
        <f>K82+K82*4%</f>
        <v>43723.68</v>
      </c>
      <c r="M82" s="125">
        <f>L82+L82*4%</f>
        <v>45472.627200000003</v>
      </c>
      <c r="AA82" s="139">
        <f t="shared" si="26"/>
        <v>47291.532288000002</v>
      </c>
    </row>
    <row r="83" spans="1:27" hidden="1">
      <c r="F83" s="129"/>
      <c r="AA83" s="139">
        <f t="shared" si="26"/>
        <v>0</v>
      </c>
    </row>
    <row r="84" spans="1:27" hidden="1">
      <c r="A84" s="124"/>
      <c r="B84" s="130"/>
      <c r="C84" s="125"/>
      <c r="D84" s="125"/>
      <c r="E84" s="125"/>
      <c r="F84" s="131"/>
      <c r="G84" s="125"/>
      <c r="H84" s="125"/>
      <c r="I84" s="125"/>
      <c r="J84" s="125"/>
      <c r="K84" s="125"/>
      <c r="L84" s="125"/>
      <c r="M84" s="125"/>
      <c r="AA84" s="139">
        <f t="shared" si="26"/>
        <v>0</v>
      </c>
    </row>
    <row r="85" spans="1:27">
      <c r="A85" s="124"/>
      <c r="B85" s="130"/>
      <c r="C85" s="125"/>
      <c r="D85" s="125"/>
      <c r="E85" s="125"/>
      <c r="F85" s="131"/>
      <c r="G85" s="125"/>
      <c r="H85" s="125"/>
      <c r="I85" s="125"/>
      <c r="J85" s="125"/>
      <c r="K85" s="125"/>
      <c r="L85" s="125"/>
      <c r="M85" s="125"/>
      <c r="AA85" s="139"/>
    </row>
    <row r="86" spans="1:27">
      <c r="A86" s="124" t="s">
        <v>409</v>
      </c>
      <c r="B86" s="130"/>
      <c r="C86" s="130"/>
      <c r="D86" s="125"/>
      <c r="E86" s="125">
        <v>40600</v>
      </c>
      <c r="F86" s="131"/>
      <c r="G86" s="125">
        <v>46000</v>
      </c>
      <c r="H86" s="125">
        <f>1769.24*26</f>
        <v>46000.24</v>
      </c>
      <c r="I86" s="125"/>
      <c r="J86" s="125">
        <v>47840</v>
      </c>
      <c r="K86" s="125">
        <f>J86+J86*4%</f>
        <v>49753.599999999999</v>
      </c>
      <c r="L86" s="125">
        <f t="shared" ref="L86:M89" si="30">K86+K86*4%</f>
        <v>51743.743999999999</v>
      </c>
      <c r="M86" s="125">
        <f t="shared" si="30"/>
        <v>53813.493759999998</v>
      </c>
      <c r="AA86" s="139">
        <f t="shared" si="26"/>
        <v>55966.033510399997</v>
      </c>
    </row>
    <row r="87" spans="1:27">
      <c r="A87" s="124" t="s">
        <v>410</v>
      </c>
      <c r="B87" s="130"/>
      <c r="C87" s="130"/>
      <c r="D87" s="125"/>
      <c r="E87" s="125"/>
      <c r="F87" s="131"/>
      <c r="G87" s="125">
        <v>30000</v>
      </c>
      <c r="H87" s="125"/>
      <c r="I87" s="125"/>
      <c r="J87" s="125">
        <v>31500</v>
      </c>
      <c r="K87" s="125">
        <f>J87+J87*4%</f>
        <v>32760</v>
      </c>
      <c r="L87" s="125">
        <f t="shared" si="30"/>
        <v>34070.400000000001</v>
      </c>
      <c r="M87" s="125">
        <f t="shared" si="30"/>
        <v>35433.216</v>
      </c>
      <c r="AA87" s="139">
        <f>M87*1.04</f>
        <v>36850.54464</v>
      </c>
    </row>
    <row r="88" spans="1:27">
      <c r="A88" s="124" t="s">
        <v>411</v>
      </c>
      <c r="B88" s="130"/>
      <c r="C88" s="130"/>
      <c r="D88" s="125">
        <v>35000</v>
      </c>
      <c r="E88" s="125">
        <v>35500</v>
      </c>
      <c r="F88" s="131"/>
      <c r="G88" s="125">
        <v>38500</v>
      </c>
      <c r="H88" s="125"/>
      <c r="I88" s="125"/>
      <c r="J88" s="125">
        <v>40040</v>
      </c>
      <c r="K88" s="125">
        <f>J88+J88*4%</f>
        <v>41641.599999999999</v>
      </c>
      <c r="L88" s="125">
        <f t="shared" si="30"/>
        <v>43307.263999999996</v>
      </c>
      <c r="M88" s="125">
        <f t="shared" si="30"/>
        <v>45039.554559999997</v>
      </c>
      <c r="N88" s="132" t="s">
        <v>267</v>
      </c>
      <c r="AA88" s="139">
        <f t="shared" ref="AA88:AA180" si="31">M88*1.04</f>
        <v>46841.136742399998</v>
      </c>
    </row>
    <row r="89" spans="1:27">
      <c r="A89" s="128" t="s">
        <v>411</v>
      </c>
      <c r="E89" s="132">
        <v>18000</v>
      </c>
      <c r="F89" s="154"/>
      <c r="G89" s="125">
        <v>35750</v>
      </c>
      <c r="H89" s="125"/>
      <c r="I89" s="125"/>
      <c r="J89" s="125">
        <v>36823</v>
      </c>
      <c r="K89" s="125">
        <f>J89+J89*4%</f>
        <v>38295.919999999998</v>
      </c>
      <c r="L89" s="125">
        <f t="shared" si="30"/>
        <v>39827.756799999996</v>
      </c>
      <c r="M89" s="125">
        <f t="shared" si="30"/>
        <v>41420.867071999994</v>
      </c>
      <c r="AA89" s="139">
        <f t="shared" si="31"/>
        <v>43077.701754879992</v>
      </c>
    </row>
    <row r="90" spans="1:27" hidden="1">
      <c r="A90" s="124"/>
      <c r="B90" s="130"/>
      <c r="C90" s="125"/>
      <c r="D90" s="125"/>
      <c r="E90" s="125"/>
      <c r="F90" s="131"/>
      <c r="G90" s="125"/>
      <c r="H90" s="125"/>
      <c r="I90" s="125"/>
      <c r="J90" s="125"/>
      <c r="K90" s="125"/>
      <c r="L90" s="125">
        <f>K90+K90*4%</f>
        <v>0</v>
      </c>
      <c r="M90" s="125">
        <f t="shared" ref="M90:M94" si="32">L90+L90*4%</f>
        <v>0</v>
      </c>
      <c r="AA90" s="139">
        <f t="shared" si="31"/>
        <v>0</v>
      </c>
    </row>
    <row r="91" spans="1:27" hidden="1">
      <c r="A91" s="124"/>
      <c r="B91" s="130"/>
      <c r="C91" s="125"/>
      <c r="D91" s="125"/>
      <c r="E91" s="125"/>
      <c r="F91" s="131"/>
      <c r="G91" s="125"/>
      <c r="H91" s="125"/>
      <c r="I91" s="125"/>
      <c r="J91" s="125"/>
      <c r="K91" s="125"/>
      <c r="L91" s="125">
        <f>K91+K91*4%</f>
        <v>0</v>
      </c>
      <c r="M91" s="125">
        <f t="shared" si="32"/>
        <v>0</v>
      </c>
      <c r="AA91" s="139">
        <f t="shared" si="31"/>
        <v>0</v>
      </c>
    </row>
    <row r="92" spans="1:27">
      <c r="A92" s="124"/>
      <c r="B92" s="130"/>
      <c r="C92" s="125"/>
      <c r="D92" s="125"/>
      <c r="E92" s="125"/>
      <c r="F92" s="131"/>
      <c r="G92" s="125"/>
      <c r="H92" s="125"/>
      <c r="I92" s="125"/>
      <c r="J92" s="125"/>
      <c r="K92" s="125"/>
      <c r="L92" s="125"/>
      <c r="M92" s="125"/>
      <c r="AA92" s="139"/>
    </row>
    <row r="93" spans="1:27">
      <c r="A93" s="124" t="s">
        <v>412</v>
      </c>
      <c r="B93" s="125">
        <v>33500</v>
      </c>
      <c r="C93" s="125">
        <v>40000</v>
      </c>
      <c r="D93" s="125">
        <v>41600</v>
      </c>
      <c r="E93" s="125">
        <v>43300</v>
      </c>
      <c r="F93" s="131"/>
      <c r="G93" s="125">
        <v>33774</v>
      </c>
      <c r="H93" s="125">
        <f>1299*26</f>
        <v>33774</v>
      </c>
      <c r="I93" s="125"/>
      <c r="J93" s="125">
        <v>46800</v>
      </c>
      <c r="K93" s="125">
        <f>(J93+J93*4%)*2</f>
        <v>97344</v>
      </c>
      <c r="L93" s="125">
        <f>K93+K93*4%</f>
        <v>101237.75999999999</v>
      </c>
      <c r="M93" s="125">
        <f t="shared" si="32"/>
        <v>105287.27039999999</v>
      </c>
      <c r="N93" s="132" t="s">
        <v>267</v>
      </c>
      <c r="AA93" s="139">
        <f t="shared" si="31"/>
        <v>109498.761216</v>
      </c>
    </row>
    <row r="94" spans="1:27">
      <c r="A94" s="124" t="s">
        <v>413</v>
      </c>
      <c r="B94" s="125"/>
      <c r="C94" s="125"/>
      <c r="D94" s="125"/>
      <c r="E94" s="125"/>
      <c r="F94" s="131"/>
      <c r="G94" s="125">
        <v>24000</v>
      </c>
      <c r="H94" s="125">
        <f>(2192.31*26)*0.21</f>
        <v>11970.012599999998</v>
      </c>
      <c r="I94" s="125"/>
      <c r="J94" s="125">
        <v>15000</v>
      </c>
      <c r="K94" s="125">
        <f>J94+J94*4%</f>
        <v>15600</v>
      </c>
      <c r="L94" s="125">
        <f>K94+K94*4%</f>
        <v>16224</v>
      </c>
      <c r="M94" s="125">
        <f t="shared" si="32"/>
        <v>16872.96</v>
      </c>
      <c r="N94" s="132"/>
      <c r="AA94" s="139">
        <f t="shared" si="31"/>
        <v>17547.878400000001</v>
      </c>
    </row>
    <row r="95" spans="1:27">
      <c r="A95" s="124" t="s">
        <v>414</v>
      </c>
      <c r="B95" s="125"/>
      <c r="C95" s="125"/>
      <c r="D95" s="125"/>
      <c r="E95" s="125"/>
      <c r="F95" s="131"/>
      <c r="G95" s="125"/>
      <c r="H95" s="125"/>
      <c r="I95" s="125"/>
      <c r="J95" s="125">
        <v>15000</v>
      </c>
      <c r="K95" s="125"/>
      <c r="L95" s="125"/>
      <c r="M95" s="125"/>
      <c r="N95" s="132"/>
      <c r="AA95" s="139"/>
    </row>
    <row r="96" spans="1:27">
      <c r="A96" s="124" t="s">
        <v>369</v>
      </c>
      <c r="B96" s="125"/>
      <c r="C96" s="125"/>
      <c r="D96" s="125"/>
      <c r="E96" s="125"/>
      <c r="F96" s="131"/>
      <c r="G96" s="125"/>
      <c r="H96" s="125"/>
      <c r="I96" s="125"/>
      <c r="J96" s="125"/>
      <c r="K96" s="125">
        <v>25000</v>
      </c>
      <c r="L96" s="125">
        <v>50000</v>
      </c>
      <c r="M96" s="125">
        <f t="shared" ref="M96" si="33">L96+L96*4%</f>
        <v>52000</v>
      </c>
      <c r="N96" s="132"/>
      <c r="AA96" s="139">
        <f t="shared" ref="AA96" si="34">M96*1.04</f>
        <v>54080</v>
      </c>
    </row>
    <row r="97" spans="1:27">
      <c r="A97" s="124"/>
      <c r="B97" s="125"/>
      <c r="C97" s="125"/>
      <c r="D97" s="125"/>
      <c r="E97" s="125"/>
      <c r="F97" s="131"/>
      <c r="G97" s="125"/>
      <c r="H97" s="125"/>
      <c r="I97" s="125"/>
      <c r="J97" s="125"/>
      <c r="K97" s="125"/>
      <c r="L97" s="125"/>
      <c r="M97" s="125"/>
      <c r="N97" s="132"/>
      <c r="AA97" s="139"/>
    </row>
    <row r="98" spans="1:27">
      <c r="A98" s="124" t="s">
        <v>319</v>
      </c>
      <c r="B98" s="125"/>
      <c r="C98" s="125"/>
      <c r="D98" s="125"/>
      <c r="E98" s="125">
        <v>39500</v>
      </c>
      <c r="F98" s="131"/>
      <c r="G98" s="125">
        <v>41080</v>
      </c>
      <c r="H98" s="125">
        <f>1580*26</f>
        <v>41080</v>
      </c>
      <c r="I98" s="125"/>
      <c r="J98" s="125">
        <v>43134</v>
      </c>
      <c r="K98" s="125">
        <f t="shared" ref="K98:M99" si="35">J98+J98*4%</f>
        <v>44859.360000000001</v>
      </c>
      <c r="L98" s="125">
        <f t="shared" si="35"/>
        <v>46653.734400000001</v>
      </c>
      <c r="M98" s="125">
        <f t="shared" si="35"/>
        <v>48519.883776000002</v>
      </c>
      <c r="AA98" s="139">
        <f t="shared" si="31"/>
        <v>50460.679127040006</v>
      </c>
    </row>
    <row r="99" spans="1:27">
      <c r="A99" s="124" t="s">
        <v>319</v>
      </c>
      <c r="B99" s="125"/>
      <c r="C99" s="125"/>
      <c r="D99" s="125"/>
      <c r="E99" s="125"/>
      <c r="F99" s="131"/>
      <c r="G99" s="125">
        <v>37125</v>
      </c>
      <c r="H99" s="125">
        <f>(1611.54*26)*0.5</f>
        <v>20950.02</v>
      </c>
      <c r="I99" s="125"/>
      <c r="J99" s="125">
        <v>38980</v>
      </c>
      <c r="K99" s="125">
        <f t="shared" si="35"/>
        <v>40539.199999999997</v>
      </c>
      <c r="L99" s="125">
        <f t="shared" si="35"/>
        <v>42160.767999999996</v>
      </c>
      <c r="M99" s="125">
        <f t="shared" si="35"/>
        <v>43847.198719999993</v>
      </c>
      <c r="AA99" s="139">
        <f t="shared" si="31"/>
        <v>45601.086668799995</v>
      </c>
    </row>
    <row r="100" spans="1:27">
      <c r="A100" s="124" t="s">
        <v>319</v>
      </c>
      <c r="B100" s="125"/>
      <c r="C100" s="125"/>
      <c r="D100" s="125"/>
      <c r="E100" s="125"/>
      <c r="F100" s="131"/>
      <c r="G100" s="125">
        <v>37250</v>
      </c>
      <c r="H100" s="125">
        <f>1346.16*26</f>
        <v>35000.160000000003</v>
      </c>
      <c r="I100" s="125"/>
      <c r="J100" s="125">
        <v>39900</v>
      </c>
      <c r="K100" s="125">
        <v>48000</v>
      </c>
      <c r="L100" s="125">
        <f>K100+K100*4%</f>
        <v>49920</v>
      </c>
      <c r="M100" s="125">
        <f>L100+L100*4%</f>
        <v>51916.800000000003</v>
      </c>
      <c r="AA100" s="139">
        <f t="shared" si="31"/>
        <v>53993.472000000002</v>
      </c>
    </row>
    <row r="101" spans="1:27">
      <c r="A101" s="124" t="s">
        <v>319</v>
      </c>
      <c r="B101" s="125"/>
      <c r="C101" s="125"/>
      <c r="D101" s="125"/>
      <c r="E101" s="125"/>
      <c r="F101" s="131"/>
      <c r="G101" s="125"/>
      <c r="H101" s="125"/>
      <c r="I101" s="125"/>
      <c r="J101" s="125"/>
      <c r="K101" s="125">
        <v>38000</v>
      </c>
      <c r="L101" s="125">
        <f>K101+K101*4%</f>
        <v>39520</v>
      </c>
      <c r="M101" s="125">
        <f>L101+L101*4%</f>
        <v>41100.800000000003</v>
      </c>
      <c r="AA101" s="139">
        <f t="shared" si="31"/>
        <v>42744.832000000002</v>
      </c>
    </row>
    <row r="102" spans="1:27">
      <c r="A102" s="124" t="s">
        <v>319</v>
      </c>
      <c r="B102" s="125"/>
      <c r="C102" s="125"/>
      <c r="D102" s="125"/>
      <c r="E102" s="125"/>
      <c r="F102" s="131"/>
      <c r="G102" s="125"/>
      <c r="H102" s="125"/>
      <c r="I102" s="125"/>
      <c r="J102" s="125"/>
      <c r="K102" s="125"/>
      <c r="L102" s="125">
        <v>38000</v>
      </c>
      <c r="M102" s="125">
        <f>L102+L102*4%</f>
        <v>39520</v>
      </c>
      <c r="AA102" s="139">
        <f t="shared" ref="AA102" si="36">M102*1.04</f>
        <v>41100.800000000003</v>
      </c>
    </row>
    <row r="103" spans="1:27">
      <c r="A103" s="124"/>
      <c r="B103" s="125"/>
      <c r="C103" s="125"/>
      <c r="D103" s="125"/>
      <c r="E103" s="125"/>
      <c r="F103" s="131"/>
      <c r="G103" s="125"/>
      <c r="H103" s="125"/>
      <c r="I103" s="125"/>
      <c r="J103" s="125"/>
      <c r="K103" s="125"/>
      <c r="L103" s="125"/>
      <c r="M103" s="125"/>
      <c r="AA103" s="139"/>
    </row>
    <row r="104" spans="1:27">
      <c r="A104" s="124" t="s">
        <v>415</v>
      </c>
      <c r="B104" s="130"/>
      <c r="C104" s="125">
        <v>36000</v>
      </c>
      <c r="D104" s="125">
        <v>39000</v>
      </c>
      <c r="E104" s="125">
        <f>D104+D104*4%</f>
        <v>40560</v>
      </c>
      <c r="F104" s="131"/>
      <c r="G104" s="125">
        <v>42185</v>
      </c>
      <c r="H104" s="125">
        <f>1622.5*26</f>
        <v>42185</v>
      </c>
      <c r="I104" s="125"/>
      <c r="J104" s="125">
        <v>43873</v>
      </c>
      <c r="K104" s="125">
        <f>J104+J104*4%</f>
        <v>45627.92</v>
      </c>
      <c r="L104" s="125">
        <f t="shared" ref="L104:M118" si="37">K104+K104*4%</f>
        <v>47453.036800000002</v>
      </c>
      <c r="M104" s="125">
        <f t="shared" ref="M104:M111" si="38">L104+L104*4%</f>
        <v>49351.158272000001</v>
      </c>
      <c r="AA104" s="139">
        <f t="shared" si="31"/>
        <v>51325.204602880003</v>
      </c>
    </row>
    <row r="105" spans="1:27">
      <c r="A105" s="124" t="s">
        <v>416</v>
      </c>
      <c r="B105" s="130"/>
      <c r="C105" s="125"/>
      <c r="D105" s="125"/>
      <c r="E105" s="125"/>
      <c r="F105" s="131"/>
      <c r="G105" s="125"/>
      <c r="H105" s="125"/>
      <c r="I105" s="125"/>
      <c r="J105" s="125">
        <v>15000</v>
      </c>
      <c r="K105" s="125">
        <f>J105+J105*4%</f>
        <v>15600</v>
      </c>
      <c r="L105" s="125">
        <f t="shared" si="37"/>
        <v>16224</v>
      </c>
      <c r="M105" s="125">
        <f t="shared" si="38"/>
        <v>16872.96</v>
      </c>
      <c r="AA105" s="139">
        <f t="shared" si="31"/>
        <v>17547.878400000001</v>
      </c>
    </row>
    <row r="106" spans="1:27">
      <c r="A106" s="124" t="s">
        <v>320</v>
      </c>
      <c r="B106" s="130"/>
      <c r="C106" s="125"/>
      <c r="D106" s="125"/>
      <c r="E106" s="125"/>
      <c r="F106" s="131"/>
      <c r="G106" s="125"/>
      <c r="H106" s="125"/>
      <c r="I106" s="125"/>
      <c r="J106" s="125"/>
      <c r="K106" s="125">
        <v>25000</v>
      </c>
      <c r="L106" s="125">
        <v>50000</v>
      </c>
      <c r="M106" s="125">
        <f t="shared" ref="M106" si="39">L106+L106*4%</f>
        <v>52000</v>
      </c>
      <c r="AA106" s="139">
        <f t="shared" ref="AA106" si="40">M106*1.04</f>
        <v>54080</v>
      </c>
    </row>
    <row r="107" spans="1:27">
      <c r="A107" s="124"/>
      <c r="B107" s="130"/>
      <c r="C107" s="125"/>
      <c r="D107" s="125"/>
      <c r="E107" s="125"/>
      <c r="F107" s="131"/>
      <c r="G107" s="125"/>
      <c r="H107" s="125"/>
      <c r="I107" s="125"/>
      <c r="J107" s="125"/>
      <c r="K107" s="125"/>
      <c r="L107" s="125"/>
      <c r="M107" s="125"/>
      <c r="AA107" s="139"/>
    </row>
    <row r="108" spans="1:27">
      <c r="A108" s="124"/>
      <c r="B108" s="130"/>
      <c r="C108" s="125"/>
      <c r="D108" s="125"/>
      <c r="E108" s="125"/>
      <c r="F108" s="131"/>
      <c r="G108" s="125"/>
      <c r="H108" s="125"/>
      <c r="I108" s="125"/>
      <c r="J108" s="125"/>
      <c r="K108" s="125"/>
      <c r="L108" s="125"/>
      <c r="M108" s="125"/>
      <c r="AA108" s="139"/>
    </row>
    <row r="109" spans="1:27">
      <c r="A109" s="124" t="s">
        <v>417</v>
      </c>
      <c r="B109" s="130"/>
      <c r="C109" s="125"/>
      <c r="D109" s="125">
        <v>36000</v>
      </c>
      <c r="E109" s="125">
        <v>37500</v>
      </c>
      <c r="F109" s="131"/>
      <c r="G109" s="125">
        <v>39000</v>
      </c>
      <c r="H109" s="125"/>
      <c r="I109" s="125"/>
      <c r="J109" s="125">
        <v>40560</v>
      </c>
      <c r="K109" s="125">
        <f>J109+J109*4%</f>
        <v>42182.400000000001</v>
      </c>
      <c r="L109" s="125">
        <f t="shared" si="37"/>
        <v>43869.696000000004</v>
      </c>
      <c r="M109" s="125">
        <f t="shared" si="38"/>
        <v>45624.483840000001</v>
      </c>
      <c r="AA109" s="139">
        <f t="shared" si="31"/>
        <v>47449.463193600001</v>
      </c>
    </row>
    <row r="110" spans="1:27">
      <c r="A110" s="124" t="s">
        <v>418</v>
      </c>
      <c r="B110" s="130"/>
      <c r="C110" s="125"/>
      <c r="D110" s="125"/>
      <c r="E110" s="125"/>
      <c r="F110" s="131"/>
      <c r="G110" s="125"/>
      <c r="H110" s="125"/>
      <c r="I110" s="125"/>
      <c r="J110" s="125">
        <v>15000</v>
      </c>
      <c r="K110" s="125">
        <f>J110+J110*4%</f>
        <v>15600</v>
      </c>
      <c r="L110" s="125">
        <f t="shared" si="37"/>
        <v>16224</v>
      </c>
      <c r="M110" s="125">
        <f t="shared" si="38"/>
        <v>16872.96</v>
      </c>
      <c r="AA110" s="139">
        <f t="shared" si="31"/>
        <v>17547.878400000001</v>
      </c>
    </row>
    <row r="111" spans="1:27">
      <c r="A111" s="124" t="s">
        <v>324</v>
      </c>
      <c r="B111" s="130"/>
      <c r="C111" s="125"/>
      <c r="D111" s="125"/>
      <c r="E111" s="125"/>
      <c r="F111" s="131"/>
      <c r="G111" s="125"/>
      <c r="H111" s="125"/>
      <c r="I111" s="125"/>
      <c r="J111" s="125"/>
      <c r="K111" s="125">
        <v>25000</v>
      </c>
      <c r="L111" s="132">
        <v>50000</v>
      </c>
      <c r="M111" s="125">
        <f t="shared" si="38"/>
        <v>52000</v>
      </c>
      <c r="AA111" s="139">
        <f t="shared" si="31"/>
        <v>54080</v>
      </c>
    </row>
    <row r="112" spans="1:27">
      <c r="A112" s="124"/>
      <c r="B112" s="130"/>
      <c r="C112" s="125"/>
      <c r="D112" s="125"/>
      <c r="E112" s="125"/>
      <c r="F112" s="131"/>
      <c r="G112" s="125"/>
      <c r="H112" s="125"/>
      <c r="I112" s="125"/>
      <c r="J112" s="125"/>
      <c r="K112" s="125"/>
      <c r="L112" s="132"/>
      <c r="M112" s="125"/>
      <c r="AA112" s="139"/>
    </row>
    <row r="113" spans="1:27">
      <c r="A113" s="124"/>
      <c r="B113" s="130"/>
      <c r="C113" s="125"/>
      <c r="D113" s="125"/>
      <c r="E113" s="125"/>
      <c r="F113" s="131"/>
      <c r="G113" s="125"/>
      <c r="H113" s="125"/>
      <c r="I113" s="125"/>
      <c r="J113" s="125"/>
      <c r="K113" s="125"/>
      <c r="L113" s="132"/>
      <c r="M113" s="125"/>
      <c r="AA113" s="139"/>
    </row>
    <row r="114" spans="1:27">
      <c r="A114" s="124" t="s">
        <v>419</v>
      </c>
      <c r="B114" s="130"/>
      <c r="C114" s="125"/>
      <c r="D114" s="125"/>
      <c r="E114" s="125"/>
      <c r="F114" s="131"/>
      <c r="G114" s="132">
        <v>39500</v>
      </c>
      <c r="H114" s="132">
        <f>1519.24*26</f>
        <v>39500.239999999998</v>
      </c>
      <c r="I114" s="132"/>
      <c r="J114" s="125">
        <v>41080</v>
      </c>
      <c r="K114" s="125">
        <f>J114+J114*4%</f>
        <v>42723.199999999997</v>
      </c>
      <c r="L114" s="125">
        <f t="shared" si="37"/>
        <v>44432.127999999997</v>
      </c>
      <c r="M114" s="125">
        <f t="shared" si="37"/>
        <v>46209.413119999997</v>
      </c>
      <c r="AA114" s="139">
        <f t="shared" si="31"/>
        <v>48057.789644799996</v>
      </c>
    </row>
    <row r="115" spans="1:27">
      <c r="A115" s="124" t="s">
        <v>420</v>
      </c>
      <c r="B115" s="130"/>
      <c r="C115" s="125"/>
      <c r="D115" s="125"/>
      <c r="E115" s="125"/>
      <c r="F115" s="131"/>
      <c r="G115" s="132"/>
      <c r="H115" s="132">
        <f>(2192.31*26)*0.5</f>
        <v>28500.03</v>
      </c>
      <c r="I115" s="132"/>
      <c r="J115" s="132">
        <v>15000</v>
      </c>
      <c r="K115" s="132">
        <v>48000</v>
      </c>
      <c r="L115" s="125">
        <f t="shared" si="37"/>
        <v>49920</v>
      </c>
      <c r="M115" s="125">
        <f t="shared" si="37"/>
        <v>51916.800000000003</v>
      </c>
      <c r="AA115" s="139">
        <f t="shared" si="31"/>
        <v>53993.472000000002</v>
      </c>
    </row>
    <row r="116" spans="1:27">
      <c r="A116" s="124" t="s">
        <v>350</v>
      </c>
      <c r="B116" s="130"/>
      <c r="C116" s="125"/>
      <c r="D116" s="125"/>
      <c r="E116" s="125"/>
      <c r="F116" s="131"/>
      <c r="G116" s="132"/>
      <c r="H116" s="132"/>
      <c r="I116" s="132"/>
      <c r="J116" s="132"/>
      <c r="K116" s="132">
        <v>25000</v>
      </c>
      <c r="L116" s="132">
        <v>50000</v>
      </c>
      <c r="M116" s="125">
        <f t="shared" si="37"/>
        <v>52000</v>
      </c>
      <c r="AA116" s="139">
        <f t="shared" si="31"/>
        <v>54080</v>
      </c>
    </row>
    <row r="117" spans="1:27">
      <c r="A117" s="124"/>
      <c r="B117" s="130"/>
      <c r="C117" s="125"/>
      <c r="D117" s="125"/>
      <c r="E117" s="125"/>
      <c r="F117" s="131"/>
      <c r="G117" s="132"/>
      <c r="H117" s="132"/>
      <c r="I117" s="132"/>
      <c r="J117" s="132"/>
      <c r="K117" s="132"/>
      <c r="L117" s="132"/>
      <c r="M117" s="125"/>
      <c r="AA117" s="139"/>
    </row>
    <row r="118" spans="1:27">
      <c r="A118" s="124" t="s">
        <v>421</v>
      </c>
      <c r="B118" s="130">
        <v>0</v>
      </c>
      <c r="C118" s="130">
        <v>0</v>
      </c>
      <c r="D118" s="130">
        <v>35000</v>
      </c>
      <c r="E118" s="130">
        <v>39000</v>
      </c>
      <c r="F118" s="131"/>
      <c r="G118" s="125">
        <v>40560</v>
      </c>
      <c r="H118" s="125"/>
      <c r="I118" s="125"/>
      <c r="J118" s="125">
        <v>42183</v>
      </c>
      <c r="K118" s="125">
        <f>J118+J118*4%</f>
        <v>43870.32</v>
      </c>
      <c r="L118" s="125">
        <f t="shared" si="37"/>
        <v>45625.132799999999</v>
      </c>
      <c r="M118" s="125">
        <f t="shared" si="37"/>
        <v>47450.138112000001</v>
      </c>
      <c r="N118" s="132" t="s">
        <v>267</v>
      </c>
      <c r="AA118" s="139">
        <f t="shared" si="31"/>
        <v>49348.143636480003</v>
      </c>
    </row>
    <row r="119" spans="1:27" hidden="1">
      <c r="A119" s="124" t="s">
        <v>318</v>
      </c>
      <c r="B119" s="130"/>
      <c r="C119" s="130"/>
      <c r="D119" s="130"/>
      <c r="E119" s="130"/>
      <c r="F119" s="131"/>
      <c r="G119" s="125"/>
      <c r="H119" s="125"/>
      <c r="I119" s="125"/>
      <c r="J119" s="125"/>
      <c r="K119" s="130"/>
      <c r="N119" s="132"/>
      <c r="AA119" s="139">
        <f t="shared" si="31"/>
        <v>0</v>
      </c>
    </row>
    <row r="120" spans="1:27" hidden="1">
      <c r="A120" s="124" t="s">
        <v>318</v>
      </c>
      <c r="B120" s="130"/>
      <c r="C120" s="130"/>
      <c r="D120" s="130"/>
      <c r="E120" s="130"/>
      <c r="F120" s="131"/>
      <c r="G120" s="125"/>
      <c r="H120" s="125"/>
      <c r="I120" s="125"/>
      <c r="J120" s="125"/>
      <c r="K120" s="130"/>
      <c r="N120" s="132"/>
      <c r="AA120" s="139">
        <f t="shared" si="31"/>
        <v>0</v>
      </c>
    </row>
    <row r="121" spans="1:27" hidden="1">
      <c r="A121" s="124" t="s">
        <v>318</v>
      </c>
      <c r="F121" s="129"/>
      <c r="AA121" s="139">
        <f t="shared" si="31"/>
        <v>0</v>
      </c>
    </row>
    <row r="122" spans="1:27">
      <c r="A122" s="124"/>
      <c r="F122" s="129"/>
      <c r="AA122" s="139"/>
    </row>
    <row r="123" spans="1:27">
      <c r="F123" s="129"/>
      <c r="AA123" s="139"/>
    </row>
    <row r="124" spans="1:27">
      <c r="F124" s="129"/>
      <c r="AA124" s="139"/>
    </row>
    <row r="125" spans="1:27">
      <c r="A125" s="124" t="s">
        <v>347</v>
      </c>
      <c r="B125" s="130">
        <v>32500</v>
      </c>
      <c r="C125" s="125">
        <v>36500</v>
      </c>
      <c r="D125" s="125">
        <v>37960</v>
      </c>
      <c r="E125" s="125">
        <v>33750</v>
      </c>
      <c r="F125" s="131"/>
      <c r="G125" s="125"/>
      <c r="H125" s="125"/>
      <c r="I125" s="125"/>
      <c r="J125" s="125">
        <v>38000</v>
      </c>
      <c r="K125" s="125">
        <f>J125+J125*4%</f>
        <v>39520</v>
      </c>
      <c r="L125" s="125">
        <f>K125+K125*4%</f>
        <v>41100.800000000003</v>
      </c>
      <c r="M125" s="125">
        <f>L125+L125*4%</f>
        <v>42744.832000000002</v>
      </c>
      <c r="AA125" s="139">
        <f t="shared" si="31"/>
        <v>44454.62528</v>
      </c>
    </row>
    <row r="126" spans="1:27">
      <c r="A126" s="124" t="s">
        <v>347</v>
      </c>
      <c r="F126" s="129"/>
      <c r="G126" s="132"/>
      <c r="H126" s="125">
        <f>(1611.54*26)*0.5</f>
        <v>20950.02</v>
      </c>
      <c r="I126" s="132"/>
      <c r="J126" s="132">
        <v>37000</v>
      </c>
      <c r="K126" s="132">
        <f>J126*1.04</f>
        <v>38480</v>
      </c>
      <c r="L126" s="132">
        <f t="shared" ref="L126:AA126" si="41">K126*1.04</f>
        <v>40019.200000000004</v>
      </c>
      <c r="M126" s="132">
        <f t="shared" si="41"/>
        <v>41619.968000000008</v>
      </c>
      <c r="N126" s="132">
        <f t="shared" si="41"/>
        <v>43284.766720000007</v>
      </c>
      <c r="O126" s="132">
        <f t="shared" si="41"/>
        <v>45016.157388800006</v>
      </c>
      <c r="P126" s="132">
        <f t="shared" si="41"/>
        <v>46816.803684352009</v>
      </c>
      <c r="Q126" s="132">
        <f t="shared" si="41"/>
        <v>48689.475831726093</v>
      </c>
      <c r="R126" s="132">
        <f t="shared" si="41"/>
        <v>50637.054864995138</v>
      </c>
      <c r="S126" s="132">
        <f t="shared" si="41"/>
        <v>52662.537059594943</v>
      </c>
      <c r="T126" s="132">
        <f t="shared" si="41"/>
        <v>54769.038541978742</v>
      </c>
      <c r="U126" s="132">
        <f t="shared" si="41"/>
        <v>56959.800083657894</v>
      </c>
      <c r="V126" s="132">
        <f t="shared" si="41"/>
        <v>59238.192087004209</v>
      </c>
      <c r="W126" s="132">
        <f t="shared" si="41"/>
        <v>61607.719770484378</v>
      </c>
      <c r="X126" s="132">
        <f t="shared" si="41"/>
        <v>64072.028561303756</v>
      </c>
      <c r="Y126" s="132">
        <f t="shared" si="41"/>
        <v>66634.909703755911</v>
      </c>
      <c r="Z126" s="132">
        <f t="shared" si="41"/>
        <v>69300.306091906154</v>
      </c>
      <c r="AA126" s="132">
        <f t="shared" si="41"/>
        <v>72072.3183355824</v>
      </c>
    </row>
    <row r="127" spans="1:27" hidden="1">
      <c r="A127" s="124" t="s">
        <v>321</v>
      </c>
      <c r="F127" s="129"/>
      <c r="G127" s="132"/>
      <c r="H127" s="132"/>
      <c r="I127" s="132"/>
      <c r="J127" s="132"/>
      <c r="K127" s="132">
        <v>24000</v>
      </c>
      <c r="L127" s="132">
        <f t="shared" ref="L127" si="42">K127*1.04</f>
        <v>24960</v>
      </c>
      <c r="M127" s="125">
        <f>L127+L127*4%</f>
        <v>25958.400000000001</v>
      </c>
      <c r="AA127" s="139">
        <f t="shared" si="31"/>
        <v>26996.736000000001</v>
      </c>
    </row>
    <row r="128" spans="1:27">
      <c r="A128" s="124" t="s">
        <v>347</v>
      </c>
      <c r="F128" s="129"/>
      <c r="G128" s="132">
        <v>6000</v>
      </c>
      <c r="H128" s="132"/>
      <c r="I128" s="132"/>
      <c r="J128" s="132"/>
      <c r="K128" s="132">
        <v>40000</v>
      </c>
      <c r="L128" s="132">
        <f t="shared" ref="L128" si="43">K128*1.04</f>
        <v>41600</v>
      </c>
      <c r="M128" s="125">
        <f>L128+L128*4%</f>
        <v>43264</v>
      </c>
      <c r="AA128" s="139">
        <f t="shared" si="31"/>
        <v>44994.560000000005</v>
      </c>
    </row>
    <row r="129" spans="1:27">
      <c r="A129" s="124" t="s">
        <v>347</v>
      </c>
      <c r="F129" s="129"/>
      <c r="G129" s="132"/>
      <c r="H129" s="132"/>
      <c r="I129" s="132"/>
      <c r="J129" s="132"/>
      <c r="K129" s="132"/>
      <c r="L129" s="132">
        <v>40000</v>
      </c>
      <c r="M129" s="125">
        <f>L129+L129*4%</f>
        <v>41600</v>
      </c>
      <c r="AA129" s="139">
        <f t="shared" ref="AA129:AA130" si="44">M129*1.04</f>
        <v>43264</v>
      </c>
    </row>
    <row r="130" spans="1:27">
      <c r="A130" s="124" t="s">
        <v>347</v>
      </c>
      <c r="F130" s="129"/>
      <c r="G130" s="132"/>
      <c r="H130" s="132"/>
      <c r="I130" s="132"/>
      <c r="J130" s="132"/>
      <c r="K130" s="132"/>
      <c r="L130" s="132"/>
      <c r="M130" s="125">
        <v>40000</v>
      </c>
      <c r="AA130" s="139">
        <f t="shared" si="44"/>
        <v>41600</v>
      </c>
    </row>
    <row r="131" spans="1:27">
      <c r="A131" s="124" t="s">
        <v>347</v>
      </c>
      <c r="F131" s="129"/>
      <c r="G131" s="132"/>
      <c r="H131" s="132"/>
      <c r="I131" s="132"/>
      <c r="J131" s="132"/>
      <c r="K131" s="132"/>
      <c r="L131" s="132"/>
      <c r="M131" s="125"/>
      <c r="AA131" s="139">
        <v>40000</v>
      </c>
    </row>
    <row r="132" spans="1:27">
      <c r="A132" s="124"/>
      <c r="F132" s="129"/>
      <c r="G132" s="132"/>
      <c r="H132" s="132"/>
      <c r="I132" s="132"/>
      <c r="J132" s="132"/>
      <c r="K132" s="132"/>
      <c r="L132" s="132"/>
      <c r="M132" s="125"/>
      <c r="AA132" s="139"/>
    </row>
    <row r="133" spans="1:27">
      <c r="A133" s="124"/>
      <c r="F133" s="129"/>
      <c r="G133" s="132"/>
      <c r="H133" s="132"/>
      <c r="I133" s="132"/>
      <c r="J133" s="132"/>
      <c r="K133" s="132"/>
      <c r="L133" s="132"/>
      <c r="M133" s="125"/>
      <c r="AA133" s="139"/>
    </row>
    <row r="134" spans="1:27">
      <c r="A134" s="124" t="s">
        <v>422</v>
      </c>
      <c r="B134" s="130"/>
      <c r="C134" s="125"/>
      <c r="D134" s="125"/>
      <c r="E134" s="125">
        <v>15000</v>
      </c>
      <c r="F134" s="131"/>
      <c r="G134" s="132">
        <v>24000</v>
      </c>
      <c r="H134" s="132">
        <f>(2192.31*26)*0.21</f>
        <v>11970.012599999998</v>
      </c>
      <c r="I134" s="132"/>
      <c r="J134" s="125">
        <v>30000</v>
      </c>
      <c r="K134" s="125">
        <v>60000</v>
      </c>
      <c r="L134" s="125">
        <f>K134+K134*4%</f>
        <v>62400</v>
      </c>
      <c r="M134" s="125">
        <f>L134+L134*4%</f>
        <v>64896</v>
      </c>
      <c r="AA134" s="139">
        <f t="shared" si="31"/>
        <v>67491.839999999997</v>
      </c>
    </row>
    <row r="135" spans="1:27">
      <c r="A135" s="124" t="s">
        <v>351</v>
      </c>
      <c r="F135" s="129"/>
      <c r="G135" s="132"/>
      <c r="H135" s="132">
        <f>(2192.31*26)*0.21</f>
        <v>11970.012599999998</v>
      </c>
      <c r="I135" s="132"/>
      <c r="J135" s="132"/>
      <c r="K135" s="125">
        <v>24000</v>
      </c>
      <c r="L135" s="132">
        <v>48000</v>
      </c>
      <c r="M135" s="132">
        <v>60000</v>
      </c>
      <c r="AA135" s="139">
        <f t="shared" ref="AA135" si="45">M135*1.04</f>
        <v>62400</v>
      </c>
    </row>
    <row r="136" spans="1:27">
      <c r="A136" s="124" t="s">
        <v>351</v>
      </c>
      <c r="F136" s="129"/>
      <c r="G136" s="132"/>
      <c r="H136" s="132"/>
      <c r="I136" s="132"/>
      <c r="J136" s="132"/>
      <c r="K136" s="125"/>
      <c r="L136" s="132"/>
      <c r="M136" s="132">
        <v>30000</v>
      </c>
      <c r="AA136" s="139">
        <v>60000</v>
      </c>
    </row>
    <row r="137" spans="1:27">
      <c r="A137" s="124" t="s">
        <v>351</v>
      </c>
      <c r="F137" s="129"/>
      <c r="G137" s="132"/>
      <c r="H137" s="132"/>
      <c r="I137" s="132"/>
      <c r="J137" s="132"/>
      <c r="K137" s="125"/>
      <c r="L137" s="132"/>
      <c r="M137" s="132"/>
      <c r="AA137" s="139">
        <v>30000</v>
      </c>
    </row>
    <row r="138" spans="1:27">
      <c r="A138" s="124"/>
      <c r="F138" s="129"/>
      <c r="G138" s="132"/>
      <c r="H138" s="132"/>
      <c r="I138" s="132"/>
      <c r="J138" s="132"/>
      <c r="K138" s="132"/>
      <c r="L138" s="132"/>
      <c r="M138" s="132"/>
      <c r="AA138" s="139"/>
    </row>
    <row r="139" spans="1:27">
      <c r="A139" s="124"/>
      <c r="F139" s="129"/>
      <c r="G139" s="132"/>
      <c r="H139" s="132"/>
      <c r="I139" s="132"/>
      <c r="J139" s="132"/>
      <c r="K139" s="132"/>
      <c r="L139" s="132"/>
      <c r="M139" s="132"/>
      <c r="AA139" s="139"/>
    </row>
    <row r="140" spans="1:27">
      <c r="A140" s="124" t="s">
        <v>423</v>
      </c>
      <c r="B140" s="130"/>
      <c r="C140" s="125"/>
      <c r="D140" s="125"/>
      <c r="E140" s="125"/>
      <c r="F140" s="131"/>
      <c r="G140" s="125">
        <v>24000</v>
      </c>
      <c r="H140" s="125">
        <f>(2192.31*26)*0.21</f>
        <v>11970.012599999998</v>
      </c>
      <c r="I140" s="125"/>
      <c r="J140" s="125">
        <v>30000</v>
      </c>
      <c r="K140" s="125">
        <v>60000</v>
      </c>
      <c r="L140" s="125">
        <f>K140+K140*4%</f>
        <v>62400</v>
      </c>
      <c r="M140" s="125">
        <f>L140+L140*4%</f>
        <v>64896</v>
      </c>
      <c r="AA140" s="139">
        <f t="shared" si="31"/>
        <v>67491.839999999997</v>
      </c>
    </row>
    <row r="141" spans="1:27" hidden="1">
      <c r="A141" s="124" t="s">
        <v>322</v>
      </c>
      <c r="B141" s="130"/>
      <c r="C141" s="125"/>
      <c r="D141" s="125"/>
      <c r="E141" s="125"/>
      <c r="F141" s="131"/>
      <c r="G141" s="125"/>
      <c r="H141" s="125"/>
      <c r="I141" s="125"/>
      <c r="J141" s="125"/>
      <c r="K141" s="125"/>
      <c r="AA141" s="139">
        <f t="shared" si="31"/>
        <v>0</v>
      </c>
    </row>
    <row r="142" spans="1:27">
      <c r="A142" s="124" t="s">
        <v>322</v>
      </c>
      <c r="B142" s="130"/>
      <c r="C142" s="125"/>
      <c r="D142" s="125"/>
      <c r="E142" s="125"/>
      <c r="F142" s="131"/>
      <c r="G142" s="125"/>
      <c r="H142" s="125"/>
      <c r="I142" s="125"/>
      <c r="J142" s="125"/>
      <c r="K142" s="125">
        <v>24000</v>
      </c>
      <c r="L142" s="132">
        <v>48000</v>
      </c>
      <c r="M142" s="132">
        <v>60000</v>
      </c>
      <c r="AA142" s="139">
        <f t="shared" si="31"/>
        <v>62400</v>
      </c>
    </row>
    <row r="143" spans="1:27">
      <c r="A143" s="124" t="s">
        <v>322</v>
      </c>
      <c r="B143" s="130"/>
      <c r="C143" s="125"/>
      <c r="D143" s="125"/>
      <c r="E143" s="125"/>
      <c r="F143" s="131"/>
      <c r="G143" s="125"/>
      <c r="H143" s="125"/>
      <c r="I143" s="125"/>
      <c r="J143" s="125"/>
      <c r="K143" s="125"/>
      <c r="L143" s="132"/>
      <c r="M143" s="132">
        <v>24000</v>
      </c>
      <c r="AA143" s="139">
        <v>60000</v>
      </c>
    </row>
    <row r="144" spans="1:27">
      <c r="A144" s="124" t="s">
        <v>322</v>
      </c>
      <c r="B144" s="130"/>
      <c r="C144" s="125"/>
      <c r="D144" s="125"/>
      <c r="E144" s="125"/>
      <c r="F144" s="131"/>
      <c r="G144" s="125"/>
      <c r="H144" s="125"/>
      <c r="I144" s="125"/>
      <c r="J144" s="125"/>
      <c r="K144" s="125"/>
      <c r="L144" s="132"/>
      <c r="M144" s="132"/>
      <c r="AA144" s="139">
        <v>12000</v>
      </c>
    </row>
    <row r="145" spans="1:27">
      <c r="A145" s="124"/>
      <c r="B145" s="130"/>
      <c r="C145" s="125"/>
      <c r="D145" s="125"/>
      <c r="E145" s="125"/>
      <c r="F145" s="131"/>
      <c r="G145" s="125"/>
      <c r="H145" s="125"/>
      <c r="I145" s="125"/>
      <c r="J145" s="125"/>
      <c r="K145" s="125"/>
      <c r="L145" s="132"/>
      <c r="M145" s="132"/>
      <c r="AA145" s="139"/>
    </row>
    <row r="146" spans="1:27">
      <c r="A146" s="124" t="s">
        <v>424</v>
      </c>
      <c r="B146" s="130"/>
      <c r="C146" s="125"/>
      <c r="D146" s="125">
        <v>18000</v>
      </c>
      <c r="E146" s="125">
        <v>38000</v>
      </c>
      <c r="F146" s="131"/>
      <c r="G146" s="125">
        <v>24000</v>
      </c>
      <c r="H146" s="125"/>
      <c r="I146" s="125"/>
      <c r="J146" s="125">
        <v>30000</v>
      </c>
      <c r="K146" s="125">
        <v>60000</v>
      </c>
      <c r="L146" s="125">
        <f>K146+K146*4%</f>
        <v>62400</v>
      </c>
      <c r="M146" s="125">
        <f>L146+L146*4%</f>
        <v>64896</v>
      </c>
      <c r="AA146" s="139">
        <f t="shared" si="31"/>
        <v>67491.839999999997</v>
      </c>
    </row>
    <row r="147" spans="1:27" hidden="1">
      <c r="A147" s="124" t="s">
        <v>326</v>
      </c>
      <c r="F147" s="129"/>
      <c r="AA147" s="139">
        <f t="shared" si="31"/>
        <v>0</v>
      </c>
    </row>
    <row r="148" spans="1:27">
      <c r="A148" s="124" t="s">
        <v>326</v>
      </c>
      <c r="F148" s="129"/>
      <c r="K148" s="125">
        <v>24000</v>
      </c>
      <c r="L148" s="132">
        <v>48000</v>
      </c>
      <c r="M148" s="132">
        <v>60000</v>
      </c>
      <c r="AA148" s="139">
        <f t="shared" ref="AA148" si="46">M148*1.04</f>
        <v>62400</v>
      </c>
    </row>
    <row r="149" spans="1:27">
      <c r="A149" s="124" t="s">
        <v>326</v>
      </c>
      <c r="F149" s="129"/>
      <c r="K149" s="125"/>
      <c r="L149" s="132"/>
      <c r="M149" s="132">
        <v>24000</v>
      </c>
      <c r="AA149" s="139">
        <v>60000</v>
      </c>
    </row>
    <row r="150" spans="1:27">
      <c r="A150" s="124" t="s">
        <v>326</v>
      </c>
      <c r="F150" s="129"/>
      <c r="K150" s="125"/>
      <c r="L150" s="132"/>
      <c r="M150" s="132"/>
      <c r="AA150" s="139">
        <v>12000</v>
      </c>
    </row>
    <row r="151" spans="1:27">
      <c r="A151" s="124"/>
      <c r="F151" s="129"/>
      <c r="L151" s="132"/>
      <c r="M151" s="132"/>
      <c r="AA151" s="139"/>
    </row>
    <row r="152" spans="1:27">
      <c r="A152" s="124" t="s">
        <v>426</v>
      </c>
      <c r="B152" s="130"/>
      <c r="C152" s="125"/>
      <c r="D152" s="125"/>
      <c r="E152" s="125">
        <v>26000</v>
      </c>
      <c r="F152" s="131"/>
      <c r="G152" s="125">
        <v>12000</v>
      </c>
      <c r="H152" s="125">
        <f>461.54*26</f>
        <v>12000.04</v>
      </c>
      <c r="I152" s="125"/>
      <c r="J152" s="125">
        <v>13000</v>
      </c>
      <c r="K152" s="125">
        <v>60000</v>
      </c>
      <c r="L152" s="125">
        <f>K152+K152*4%</f>
        <v>62400</v>
      </c>
      <c r="M152" s="125">
        <f>L152+L152*4%</f>
        <v>64896</v>
      </c>
      <c r="AA152" s="139">
        <f t="shared" si="31"/>
        <v>67491.839999999997</v>
      </c>
    </row>
    <row r="153" spans="1:27" hidden="1">
      <c r="A153" s="124" t="s">
        <v>325</v>
      </c>
      <c r="F153" s="129"/>
      <c r="AA153" s="139">
        <f t="shared" si="31"/>
        <v>0</v>
      </c>
    </row>
    <row r="154" spans="1:27">
      <c r="A154" s="124" t="s">
        <v>425</v>
      </c>
      <c r="F154" s="129"/>
      <c r="J154" s="132">
        <v>15000</v>
      </c>
      <c r="K154" s="139">
        <f>J154*1.04</f>
        <v>15600</v>
      </c>
      <c r="L154" s="139">
        <f t="shared" ref="L154:AA154" si="47">K154*1.04</f>
        <v>16224</v>
      </c>
      <c r="M154" s="139">
        <f t="shared" si="47"/>
        <v>16872.96</v>
      </c>
      <c r="N154" s="139">
        <f t="shared" si="47"/>
        <v>17547.878400000001</v>
      </c>
      <c r="O154" s="139">
        <f t="shared" si="47"/>
        <v>18249.793536000001</v>
      </c>
      <c r="P154" s="139">
        <f t="shared" si="47"/>
        <v>18979.785277440002</v>
      </c>
      <c r="Q154" s="139">
        <f t="shared" si="47"/>
        <v>19738.976688537601</v>
      </c>
      <c r="R154" s="139">
        <f t="shared" si="47"/>
        <v>20528.535756079105</v>
      </c>
      <c r="S154" s="139">
        <f t="shared" si="47"/>
        <v>21349.677186322271</v>
      </c>
      <c r="T154" s="139">
        <f t="shared" si="47"/>
        <v>22203.664273775164</v>
      </c>
      <c r="U154" s="139">
        <f t="shared" si="47"/>
        <v>23091.810844726173</v>
      </c>
      <c r="V154" s="139">
        <f t="shared" si="47"/>
        <v>24015.483278515221</v>
      </c>
      <c r="W154" s="139">
        <f t="shared" si="47"/>
        <v>24976.102609655831</v>
      </c>
      <c r="X154" s="139">
        <f t="shared" si="47"/>
        <v>25975.146714042065</v>
      </c>
      <c r="Y154" s="139">
        <f t="shared" si="47"/>
        <v>27014.152582603747</v>
      </c>
      <c r="Z154" s="139">
        <f t="shared" si="47"/>
        <v>28094.718685907897</v>
      </c>
      <c r="AA154" s="139">
        <f t="shared" si="47"/>
        <v>29218.507433344213</v>
      </c>
    </row>
    <row r="155" spans="1:27">
      <c r="A155" s="124"/>
      <c r="F155" s="129"/>
      <c r="J155" s="132"/>
      <c r="K155" s="125">
        <v>24000</v>
      </c>
      <c r="L155" s="132">
        <v>48000</v>
      </c>
      <c r="M155" s="132">
        <v>60000</v>
      </c>
      <c r="AA155" s="139">
        <f t="shared" ref="AA155" si="48">M155*1.04</f>
        <v>62400</v>
      </c>
    </row>
    <row r="156" spans="1:27">
      <c r="A156" s="124"/>
      <c r="F156" s="129"/>
      <c r="J156" s="132"/>
      <c r="K156" s="125"/>
      <c r="L156" s="132"/>
      <c r="M156" s="132">
        <v>24000</v>
      </c>
      <c r="AA156" s="139">
        <v>60000</v>
      </c>
    </row>
    <row r="157" spans="1:27">
      <c r="A157" s="124"/>
      <c r="F157" s="129"/>
      <c r="J157" s="132"/>
      <c r="K157" s="125"/>
      <c r="L157" s="132"/>
      <c r="M157" s="132"/>
      <c r="AA157" s="139">
        <v>12000</v>
      </c>
    </row>
    <row r="158" spans="1:27">
      <c r="A158" s="124"/>
      <c r="F158" s="129"/>
      <c r="J158" s="132"/>
      <c r="L158" s="132"/>
      <c r="M158" s="132"/>
      <c r="AA158" s="139"/>
    </row>
    <row r="159" spans="1:27">
      <c r="A159" s="124" t="s">
        <v>427</v>
      </c>
      <c r="B159" s="130"/>
      <c r="C159" s="125"/>
      <c r="D159" s="125"/>
      <c r="E159" s="125"/>
      <c r="F159" s="131"/>
      <c r="G159" s="125">
        <v>24000</v>
      </c>
      <c r="H159" s="132">
        <f>(2192.31*26)*0.5</f>
        <v>28500.03</v>
      </c>
      <c r="I159" s="125"/>
      <c r="J159" s="125">
        <f>G159+G159*4%</f>
        <v>24960</v>
      </c>
      <c r="K159" s="125">
        <f>J159*1.04</f>
        <v>25958.400000000001</v>
      </c>
      <c r="L159" s="125">
        <f t="shared" ref="L159:AA159" si="49">K159*1.04</f>
        <v>26996.736000000001</v>
      </c>
      <c r="M159" s="125">
        <f t="shared" si="49"/>
        <v>28076.605440000003</v>
      </c>
      <c r="N159" s="125">
        <f t="shared" si="49"/>
        <v>29199.669657600003</v>
      </c>
      <c r="O159" s="125">
        <f t="shared" si="49"/>
        <v>30367.656443904005</v>
      </c>
      <c r="P159" s="125">
        <f t="shared" si="49"/>
        <v>31582.362701660168</v>
      </c>
      <c r="Q159" s="125">
        <f t="shared" si="49"/>
        <v>32845.657209726574</v>
      </c>
      <c r="R159" s="125">
        <f t="shared" si="49"/>
        <v>34159.483498115638</v>
      </c>
      <c r="S159" s="125">
        <f t="shared" si="49"/>
        <v>35525.862838040266</v>
      </c>
      <c r="T159" s="125">
        <f t="shared" si="49"/>
        <v>36946.897351561878</v>
      </c>
      <c r="U159" s="125">
        <f t="shared" si="49"/>
        <v>38424.773245624354</v>
      </c>
      <c r="V159" s="125">
        <f t="shared" si="49"/>
        <v>39961.764175449331</v>
      </c>
      <c r="W159" s="125">
        <f t="shared" si="49"/>
        <v>41560.234742467306</v>
      </c>
      <c r="X159" s="125">
        <f t="shared" si="49"/>
        <v>43222.644132166002</v>
      </c>
      <c r="Y159" s="125">
        <f t="shared" si="49"/>
        <v>44951.549897452642</v>
      </c>
      <c r="Z159" s="125">
        <f t="shared" si="49"/>
        <v>46749.611893350746</v>
      </c>
      <c r="AA159" s="125">
        <f t="shared" si="49"/>
        <v>48619.596369084778</v>
      </c>
    </row>
    <row r="160" spans="1:27" hidden="1">
      <c r="A160" s="124" t="s">
        <v>323</v>
      </c>
      <c r="B160" s="130"/>
      <c r="C160" s="125"/>
      <c r="D160" s="125"/>
      <c r="E160" s="125"/>
      <c r="F160" s="131"/>
      <c r="G160" s="132"/>
      <c r="H160" s="132"/>
      <c r="I160" s="132"/>
      <c r="J160" s="125"/>
      <c r="K160" s="125"/>
      <c r="AA160" s="139">
        <f t="shared" si="31"/>
        <v>0</v>
      </c>
    </row>
    <row r="161" spans="1:30" hidden="1">
      <c r="A161" s="124" t="s">
        <v>323</v>
      </c>
      <c r="F161" s="129"/>
      <c r="AA161" s="139">
        <f t="shared" si="31"/>
        <v>0</v>
      </c>
    </row>
    <row r="162" spans="1:30">
      <c r="A162" s="124" t="s">
        <v>323</v>
      </c>
      <c r="F162" s="129"/>
      <c r="K162" s="125">
        <v>24000</v>
      </c>
      <c r="L162" s="132">
        <v>48000</v>
      </c>
      <c r="M162" s="132">
        <v>60000</v>
      </c>
      <c r="AA162" s="139">
        <f t="shared" si="31"/>
        <v>62400</v>
      </c>
    </row>
    <row r="163" spans="1:30">
      <c r="A163" s="124" t="s">
        <v>323</v>
      </c>
      <c r="F163" s="129"/>
      <c r="K163" s="125"/>
      <c r="L163" s="132"/>
      <c r="M163" s="132">
        <v>24000</v>
      </c>
      <c r="AA163" s="139">
        <v>60000</v>
      </c>
    </row>
    <row r="164" spans="1:30">
      <c r="A164" s="124" t="s">
        <v>323</v>
      </c>
      <c r="F164" s="129"/>
      <c r="K164" s="125"/>
      <c r="L164" s="132"/>
      <c r="M164" s="132"/>
      <c r="AA164" s="139">
        <v>12000</v>
      </c>
    </row>
    <row r="165" spans="1:30">
      <c r="A165" s="124"/>
      <c r="F165" s="129"/>
      <c r="L165" s="132"/>
      <c r="M165" s="132"/>
      <c r="AA165" s="139"/>
    </row>
    <row r="166" spans="1:30">
      <c r="A166" s="124"/>
      <c r="F166" s="129"/>
      <c r="L166" s="132"/>
      <c r="M166" s="132"/>
      <c r="AA166" s="139"/>
    </row>
    <row r="167" spans="1:30">
      <c r="A167" s="124" t="s">
        <v>430</v>
      </c>
      <c r="F167" s="129"/>
      <c r="G167" s="132">
        <v>20000</v>
      </c>
      <c r="H167" s="132"/>
      <c r="I167" s="132"/>
      <c r="J167" s="132">
        <v>15000</v>
      </c>
      <c r="K167" s="132">
        <v>50000</v>
      </c>
      <c r="L167" s="125">
        <f>K167+K167*4%</f>
        <v>52000</v>
      </c>
      <c r="M167" s="125">
        <f>L167+L167*4%</f>
        <v>54080</v>
      </c>
      <c r="AA167" s="139">
        <f t="shared" si="31"/>
        <v>56243.200000000004</v>
      </c>
    </row>
    <row r="168" spans="1:30">
      <c r="A168" s="124" t="s">
        <v>354</v>
      </c>
      <c r="B168" s="130"/>
      <c r="C168" s="125"/>
      <c r="D168" s="125"/>
      <c r="E168" s="125"/>
      <c r="F168" s="131"/>
      <c r="G168" s="132"/>
      <c r="H168" s="132"/>
      <c r="I168" s="132"/>
      <c r="J168" s="132">
        <v>15000</v>
      </c>
      <c r="K168" s="132"/>
      <c r="L168" s="132">
        <v>10000</v>
      </c>
      <c r="M168" s="132">
        <v>20000</v>
      </c>
      <c r="AA168" s="139">
        <f t="shared" si="31"/>
        <v>20800</v>
      </c>
      <c r="AB168" s="109">
        <v>71</v>
      </c>
      <c r="AC168" s="109">
        <v>55</v>
      </c>
      <c r="AD168" s="109">
        <f>AB168-AC168</f>
        <v>16</v>
      </c>
    </row>
    <row r="169" spans="1:30" ht="13.5" thickBot="1">
      <c r="A169" s="157" t="s">
        <v>209</v>
      </c>
      <c r="B169" s="142">
        <f>SUM(B45:B159)</f>
        <v>532560</v>
      </c>
      <c r="C169" s="142">
        <f>SUM(C45:C168)</f>
        <v>830330</v>
      </c>
      <c r="D169" s="142">
        <f>SUM(D39:D168)</f>
        <v>1142322</v>
      </c>
      <c r="E169" s="142">
        <f>SUM(E39:E168)</f>
        <v>1241090</v>
      </c>
      <c r="F169" s="131"/>
      <c r="G169" s="158">
        <f>SUM(G39:G168)</f>
        <v>1570884</v>
      </c>
      <c r="H169" s="142"/>
      <c r="I169" s="142"/>
      <c r="J169" s="142">
        <f t="shared" ref="J169:AA169" si="50">SUM(J39:J168)</f>
        <v>1850497</v>
      </c>
      <c r="K169" s="142">
        <f t="shared" si="50"/>
        <v>2437552.2399999998</v>
      </c>
      <c r="L169" s="142">
        <f t="shared" si="50"/>
        <v>2834254.3296000003</v>
      </c>
      <c r="M169" s="142">
        <f t="shared" si="50"/>
        <v>3173624.5027840002</v>
      </c>
      <c r="N169" s="142">
        <f t="shared" si="50"/>
        <v>90032.314777600011</v>
      </c>
      <c r="O169" s="142">
        <f t="shared" si="50"/>
        <v>93633.607368704019</v>
      </c>
      <c r="P169" s="142">
        <f t="shared" si="50"/>
        <v>97378.951663452171</v>
      </c>
      <c r="Q169" s="142">
        <f t="shared" si="50"/>
        <v>101274.10972999028</v>
      </c>
      <c r="R169" s="142">
        <f t="shared" si="50"/>
        <v>105325.07411918987</v>
      </c>
      <c r="S169" s="142">
        <f t="shared" si="50"/>
        <v>109538.07708395748</v>
      </c>
      <c r="T169" s="142">
        <f t="shared" si="50"/>
        <v>113919.60016731577</v>
      </c>
      <c r="U169" s="142">
        <f t="shared" si="50"/>
        <v>118476.38417400842</v>
      </c>
      <c r="V169" s="142">
        <f t="shared" si="50"/>
        <v>123215.43954096877</v>
      </c>
      <c r="W169" s="142">
        <f t="shared" si="50"/>
        <v>128144.05712260751</v>
      </c>
      <c r="X169" s="142">
        <f t="shared" si="50"/>
        <v>133269.81940751182</v>
      </c>
      <c r="Y169" s="142">
        <f t="shared" si="50"/>
        <v>138600.61218381231</v>
      </c>
      <c r="Z169" s="142">
        <f t="shared" si="50"/>
        <v>144144.6366711648</v>
      </c>
      <c r="AA169" s="142">
        <f t="shared" si="50"/>
        <v>3647407.5902557708</v>
      </c>
    </row>
    <row r="170" spans="1:30" ht="13.5" hidden="1" thickTop="1">
      <c r="A170" s="124"/>
      <c r="B170" s="130"/>
      <c r="C170" s="130"/>
      <c r="D170" s="130"/>
      <c r="E170" s="130"/>
      <c r="F170" s="131"/>
      <c r="AA170" s="139">
        <f t="shared" si="31"/>
        <v>0</v>
      </c>
    </row>
    <row r="171" spans="1:30" ht="13.5" hidden="1" thickTop="1">
      <c r="A171" s="124"/>
      <c r="B171" s="130"/>
      <c r="C171" s="130"/>
      <c r="D171" s="130"/>
      <c r="E171" s="130"/>
      <c r="F171" s="131"/>
      <c r="AA171" s="139">
        <f t="shared" si="31"/>
        <v>0</v>
      </c>
    </row>
    <row r="172" spans="1:30" ht="13.5" thickTop="1">
      <c r="A172" s="143" t="s">
        <v>169</v>
      </c>
      <c r="B172" s="130">
        <f>21600+9360</f>
        <v>30960</v>
      </c>
      <c r="C172" s="130">
        <v>88000</v>
      </c>
      <c r="D172" s="130"/>
      <c r="E172" s="130"/>
      <c r="F172" s="131"/>
      <c r="G172" s="130"/>
      <c r="H172" s="130"/>
      <c r="I172" s="130"/>
      <c r="J172" s="130"/>
      <c r="K172" s="130"/>
      <c r="AA172" s="139"/>
    </row>
    <row r="173" spans="1:30">
      <c r="A173" s="124"/>
      <c r="B173" s="130"/>
      <c r="C173" s="130"/>
      <c r="D173" s="130">
        <v>24000</v>
      </c>
      <c r="E173" s="130">
        <v>25200</v>
      </c>
      <c r="F173" s="131"/>
      <c r="G173" s="130"/>
      <c r="H173" s="130"/>
      <c r="I173" s="130"/>
      <c r="J173" s="130"/>
      <c r="K173" s="130"/>
      <c r="L173" s="125"/>
      <c r="M173" s="125"/>
      <c r="N173" s="128" t="s">
        <v>268</v>
      </c>
      <c r="AA173" s="139"/>
    </row>
    <row r="174" spans="1:30">
      <c r="A174" s="124" t="s">
        <v>428</v>
      </c>
      <c r="B174" s="130"/>
      <c r="C174" s="130"/>
      <c r="D174" s="130">
        <v>20000</v>
      </c>
      <c r="E174" s="130">
        <v>29000</v>
      </c>
      <c r="F174" s="131"/>
      <c r="G174" s="130">
        <v>23775</v>
      </c>
      <c r="H174" s="130"/>
      <c r="I174" s="130"/>
      <c r="J174" s="130">
        <v>24726</v>
      </c>
      <c r="K174" s="130">
        <f t="shared" ref="K174:K180" si="51">J174*1.04</f>
        <v>25715.040000000001</v>
      </c>
      <c r="L174" s="125">
        <f>K174+K174*4%</f>
        <v>26743.641600000003</v>
      </c>
      <c r="M174" s="125">
        <f t="shared" ref="M174:M178" si="52">L174+L174*4%</f>
        <v>27813.387264000005</v>
      </c>
      <c r="AA174" s="139">
        <f t="shared" si="31"/>
        <v>28925.922754560004</v>
      </c>
    </row>
    <row r="175" spans="1:30">
      <c r="A175" s="124" t="s">
        <v>429</v>
      </c>
      <c r="B175" s="130"/>
      <c r="C175" s="130"/>
      <c r="D175" s="130">
        <v>21000</v>
      </c>
      <c r="E175" s="130">
        <v>22300</v>
      </c>
      <c r="F175" s="131"/>
      <c r="G175" s="130">
        <v>23192</v>
      </c>
      <c r="H175" s="130">
        <f>892*26</f>
        <v>23192</v>
      </c>
      <c r="I175" s="130"/>
      <c r="J175" s="130">
        <v>24120</v>
      </c>
      <c r="K175" s="130">
        <f t="shared" si="51"/>
        <v>25084.799999999999</v>
      </c>
      <c r="L175" s="125">
        <f>K175+K175*4%</f>
        <v>26088.191999999999</v>
      </c>
      <c r="M175" s="125">
        <f t="shared" si="52"/>
        <v>27131.719679999998</v>
      </c>
      <c r="AA175" s="139">
        <f t="shared" si="31"/>
        <v>28216.988467200001</v>
      </c>
    </row>
    <row r="176" spans="1:30">
      <c r="A176" s="124" t="s">
        <v>348</v>
      </c>
      <c r="B176" s="130"/>
      <c r="C176" s="130"/>
      <c r="D176" s="130"/>
      <c r="E176" s="130">
        <v>20000</v>
      </c>
      <c r="F176" s="131"/>
      <c r="G176" s="130"/>
      <c r="H176" s="130"/>
      <c r="I176" s="130"/>
      <c r="J176" s="130">
        <v>25000</v>
      </c>
      <c r="K176" s="130">
        <f t="shared" si="51"/>
        <v>26000</v>
      </c>
      <c r="L176" s="125">
        <f>K176+K176*4%</f>
        <v>27040</v>
      </c>
      <c r="M176" s="125">
        <f t="shared" si="52"/>
        <v>28121.599999999999</v>
      </c>
      <c r="AA176" s="139">
        <f t="shared" si="31"/>
        <v>29246.464</v>
      </c>
    </row>
    <row r="177" spans="1:28">
      <c r="A177" s="124" t="s">
        <v>349</v>
      </c>
      <c r="B177" s="130"/>
      <c r="C177" s="130"/>
      <c r="D177" s="130"/>
      <c r="E177" s="130"/>
      <c r="F177" s="131"/>
      <c r="G177" s="130"/>
      <c r="H177" s="130"/>
      <c r="I177" s="130"/>
      <c r="J177" s="130"/>
      <c r="K177" s="130"/>
      <c r="L177" s="125"/>
      <c r="M177" s="125"/>
      <c r="AA177" s="139"/>
    </row>
    <row r="178" spans="1:28">
      <c r="A178" s="124" t="s">
        <v>333</v>
      </c>
      <c r="B178" s="130"/>
      <c r="C178" s="130"/>
      <c r="D178" s="130"/>
      <c r="E178" s="130"/>
      <c r="F178" s="131"/>
      <c r="G178" s="130"/>
      <c r="H178" s="130"/>
      <c r="I178" s="130"/>
      <c r="J178" s="130"/>
      <c r="K178" s="130"/>
      <c r="L178" s="159">
        <v>25000</v>
      </c>
      <c r="M178" s="125">
        <f t="shared" si="52"/>
        <v>26000</v>
      </c>
      <c r="AA178" s="139">
        <f t="shared" si="31"/>
        <v>27040</v>
      </c>
      <c r="AB178" s="109">
        <v>4</v>
      </c>
    </row>
    <row r="179" spans="1:28" ht="13.5" thickBot="1">
      <c r="A179" s="124" t="s">
        <v>373</v>
      </c>
      <c r="B179" s="130"/>
      <c r="C179" s="130"/>
      <c r="D179" s="130"/>
      <c r="E179" s="130">
        <v>66000</v>
      </c>
      <c r="F179" s="131"/>
      <c r="G179" s="130">
        <f>68640-36000</f>
        <v>32640</v>
      </c>
      <c r="H179" s="130"/>
      <c r="I179" s="130"/>
      <c r="J179" s="130"/>
      <c r="K179" s="130"/>
      <c r="L179" s="125"/>
      <c r="M179" s="125">
        <v>32640</v>
      </c>
      <c r="N179" s="128" t="s">
        <v>284</v>
      </c>
      <c r="AA179" s="139">
        <f>M179+M179*4%+M179</f>
        <v>66585.600000000006</v>
      </c>
    </row>
    <row r="180" spans="1:28" ht="13.5" hidden="1" thickBot="1">
      <c r="A180" s="124" t="s">
        <v>273</v>
      </c>
      <c r="B180" s="130"/>
      <c r="C180" s="130"/>
      <c r="D180" s="130"/>
      <c r="E180" s="130">
        <v>0</v>
      </c>
      <c r="F180" s="131"/>
      <c r="G180" s="130">
        <f t="shared" ref="G180" si="53">E180*1.04</f>
        <v>0</v>
      </c>
      <c r="H180" s="130"/>
      <c r="I180" s="130"/>
      <c r="J180" s="130">
        <f>G180*1.04</f>
        <v>0</v>
      </c>
      <c r="K180" s="130">
        <f t="shared" si="51"/>
        <v>0</v>
      </c>
      <c r="N180" s="128" t="s">
        <v>285</v>
      </c>
      <c r="AA180" s="139">
        <f t="shared" si="31"/>
        <v>0</v>
      </c>
    </row>
    <row r="181" spans="1:28" ht="13.5" hidden="1" thickBot="1">
      <c r="F181" s="129"/>
      <c r="AA181" s="139">
        <f t="shared" ref="AA181:AA242" si="54">M181*1.04</f>
        <v>0</v>
      </c>
    </row>
    <row r="182" spans="1:28" ht="13.5" hidden="1" thickBot="1">
      <c r="A182" s="124"/>
      <c r="B182" s="130"/>
      <c r="C182" s="130"/>
      <c r="D182" s="130"/>
      <c r="E182" s="130"/>
      <c r="F182" s="131"/>
      <c r="G182" s="130"/>
      <c r="H182" s="130"/>
      <c r="I182" s="130"/>
      <c r="J182" s="130"/>
      <c r="K182" s="130"/>
      <c r="AA182" s="139">
        <f t="shared" si="54"/>
        <v>0</v>
      </c>
    </row>
    <row r="183" spans="1:28" ht="13.5" thickBot="1">
      <c r="A183" s="144"/>
      <c r="B183" s="145">
        <f t="shared" ref="B183:AA183" si="55">SUM(B172:B182)</f>
        <v>30960</v>
      </c>
      <c r="C183" s="145">
        <f t="shared" si="55"/>
        <v>88000</v>
      </c>
      <c r="D183" s="145">
        <f t="shared" si="55"/>
        <v>65000</v>
      </c>
      <c r="E183" s="160">
        <f t="shared" si="55"/>
        <v>162500</v>
      </c>
      <c r="F183" s="131"/>
      <c r="G183" s="158">
        <f t="shared" si="55"/>
        <v>79607</v>
      </c>
      <c r="H183" s="142"/>
      <c r="I183" s="142"/>
      <c r="J183" s="142">
        <f t="shared" si="55"/>
        <v>73846</v>
      </c>
      <c r="K183" s="142">
        <f t="shared" si="55"/>
        <v>76799.839999999997</v>
      </c>
      <c r="L183" s="142">
        <f t="shared" si="55"/>
        <v>104871.8336</v>
      </c>
      <c r="M183" s="142">
        <f t="shared" si="55"/>
        <v>141706.70694400001</v>
      </c>
      <c r="N183" s="142">
        <f t="shared" si="55"/>
        <v>0</v>
      </c>
      <c r="O183" s="142">
        <f t="shared" si="55"/>
        <v>0</v>
      </c>
      <c r="P183" s="142">
        <f t="shared" si="55"/>
        <v>0</v>
      </c>
      <c r="Q183" s="142">
        <f t="shared" si="55"/>
        <v>0</v>
      </c>
      <c r="R183" s="142">
        <f t="shared" si="55"/>
        <v>0</v>
      </c>
      <c r="S183" s="142">
        <f t="shared" si="55"/>
        <v>0</v>
      </c>
      <c r="T183" s="142">
        <f t="shared" si="55"/>
        <v>0</v>
      </c>
      <c r="U183" s="142">
        <f t="shared" si="55"/>
        <v>0</v>
      </c>
      <c r="V183" s="142">
        <f t="shared" si="55"/>
        <v>0</v>
      </c>
      <c r="W183" s="142">
        <f t="shared" si="55"/>
        <v>0</v>
      </c>
      <c r="X183" s="142">
        <f t="shared" si="55"/>
        <v>0</v>
      </c>
      <c r="Y183" s="142">
        <f t="shared" si="55"/>
        <v>0</v>
      </c>
      <c r="Z183" s="142">
        <f t="shared" si="55"/>
        <v>0</v>
      </c>
      <c r="AA183" s="142">
        <f t="shared" si="55"/>
        <v>180014.97522176002</v>
      </c>
    </row>
    <row r="184" spans="1:28" hidden="1">
      <c r="A184" s="136"/>
      <c r="B184" s="125"/>
      <c r="C184" s="125"/>
      <c r="D184" s="125"/>
      <c r="E184" s="125"/>
      <c r="F184" s="131"/>
      <c r="G184" s="125"/>
      <c r="H184" s="125"/>
      <c r="I184" s="125"/>
      <c r="J184" s="125"/>
      <c r="K184" s="125"/>
      <c r="AA184" s="139">
        <f t="shared" si="54"/>
        <v>0</v>
      </c>
    </row>
    <row r="185" spans="1:28">
      <c r="A185" s="143" t="s">
        <v>210</v>
      </c>
      <c r="B185" s="130"/>
      <c r="C185" s="130"/>
      <c r="D185" s="130"/>
      <c r="E185" s="130"/>
      <c r="F185" s="131"/>
      <c r="G185" s="130"/>
      <c r="H185" s="130"/>
      <c r="I185" s="130"/>
      <c r="J185" s="130"/>
      <c r="K185" s="130"/>
      <c r="AA185" s="139"/>
    </row>
    <row r="186" spans="1:28">
      <c r="A186" s="124" t="s">
        <v>431</v>
      </c>
      <c r="B186" s="130"/>
      <c r="C186" s="130"/>
      <c r="D186" s="130">
        <v>9000</v>
      </c>
      <c r="E186" s="130">
        <v>9000</v>
      </c>
      <c r="F186" s="131"/>
      <c r="G186" s="130">
        <v>9360</v>
      </c>
      <c r="H186" s="130"/>
      <c r="I186" s="130"/>
      <c r="J186" s="130">
        <v>10000</v>
      </c>
      <c r="K186" s="130">
        <f>J186*1.04</f>
        <v>10400</v>
      </c>
      <c r="L186" s="125">
        <f t="shared" ref="L186:M190" si="56">K186+K186*4%</f>
        <v>10816</v>
      </c>
      <c r="M186" s="125">
        <f t="shared" si="56"/>
        <v>11248.64</v>
      </c>
      <c r="N186" s="128" t="s">
        <v>269</v>
      </c>
      <c r="AA186" s="139">
        <f t="shared" si="54"/>
        <v>11698.5856</v>
      </c>
    </row>
    <row r="187" spans="1:28" hidden="1">
      <c r="F187" s="129"/>
      <c r="L187" s="125">
        <f t="shared" si="56"/>
        <v>0</v>
      </c>
      <c r="M187" s="125">
        <f t="shared" si="56"/>
        <v>0</v>
      </c>
      <c r="AA187" s="139">
        <f t="shared" si="54"/>
        <v>0</v>
      </c>
    </row>
    <row r="188" spans="1:28" s="110" customFormat="1" hidden="1">
      <c r="A188" s="161" t="s">
        <v>315</v>
      </c>
      <c r="B188" s="161"/>
      <c r="C188" s="161">
        <v>0</v>
      </c>
      <c r="D188" s="161">
        <v>7200</v>
      </c>
      <c r="E188" s="161">
        <v>7200</v>
      </c>
      <c r="F188" s="162"/>
      <c r="G188" s="161"/>
      <c r="H188" s="161"/>
      <c r="I188" s="161"/>
      <c r="J188" s="161"/>
      <c r="K188" s="161"/>
      <c r="L188" s="125">
        <f t="shared" si="56"/>
        <v>0</v>
      </c>
      <c r="M188" s="125">
        <f t="shared" si="56"/>
        <v>0</v>
      </c>
      <c r="N188" s="161" t="s">
        <v>276</v>
      </c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39">
        <f t="shared" si="54"/>
        <v>0</v>
      </c>
    </row>
    <row r="189" spans="1:28" hidden="1">
      <c r="F189" s="129"/>
      <c r="L189" s="125">
        <f t="shared" si="56"/>
        <v>0</v>
      </c>
      <c r="M189" s="125">
        <f t="shared" si="56"/>
        <v>0</v>
      </c>
      <c r="AA189" s="139">
        <f t="shared" si="54"/>
        <v>0</v>
      </c>
    </row>
    <row r="190" spans="1:28" ht="13.5" thickBot="1">
      <c r="A190" s="128" t="s">
        <v>316</v>
      </c>
      <c r="D190" s="128">
        <v>17000</v>
      </c>
      <c r="E190" s="128">
        <v>17000</v>
      </c>
      <c r="F190" s="129"/>
      <c r="G190" s="130">
        <v>17680</v>
      </c>
      <c r="H190" s="130"/>
      <c r="I190" s="130"/>
      <c r="J190" s="130">
        <v>30000</v>
      </c>
      <c r="K190" s="130">
        <f>J190*1.04</f>
        <v>31200</v>
      </c>
      <c r="L190" s="125">
        <f t="shared" si="56"/>
        <v>32448</v>
      </c>
      <c r="M190" s="125">
        <f t="shared" si="56"/>
        <v>33745.919999999998</v>
      </c>
      <c r="N190" s="128" t="s">
        <v>266</v>
      </c>
      <c r="AA190" s="139">
        <f t="shared" si="54"/>
        <v>35095.756800000003</v>
      </c>
      <c r="AB190" s="109">
        <v>1</v>
      </c>
    </row>
    <row r="191" spans="1:28" ht="13.5" hidden="1" thickBot="1">
      <c r="B191" s="130"/>
      <c r="C191" s="130"/>
      <c r="D191" s="130"/>
      <c r="E191" s="130"/>
      <c r="F191" s="131"/>
      <c r="G191" s="130"/>
      <c r="H191" s="130"/>
      <c r="I191" s="130"/>
      <c r="K191" s="130"/>
      <c r="AA191" s="139">
        <f t="shared" si="54"/>
        <v>0</v>
      </c>
    </row>
    <row r="192" spans="1:28" ht="13.5" hidden="1" thickBot="1">
      <c r="A192" s="124"/>
      <c r="B192" s="130"/>
      <c r="C192" s="130"/>
      <c r="D192" s="130"/>
      <c r="E192" s="130"/>
      <c r="F192" s="131"/>
      <c r="G192" s="130"/>
      <c r="H192" s="130"/>
      <c r="I192" s="130"/>
      <c r="J192" s="130"/>
      <c r="K192" s="130"/>
      <c r="AA192" s="139">
        <f t="shared" si="54"/>
        <v>0</v>
      </c>
    </row>
    <row r="193" spans="1:29" ht="13.5" thickBot="1">
      <c r="A193" s="124" t="s">
        <v>211</v>
      </c>
      <c r="B193" s="163">
        <v>0</v>
      </c>
      <c r="C193" s="163">
        <v>0</v>
      </c>
      <c r="D193" s="163">
        <f>SUM(D186:D192)</f>
        <v>33200</v>
      </c>
      <c r="E193" s="164">
        <f>SUM(E186:E192)</f>
        <v>33200</v>
      </c>
      <c r="F193" s="154"/>
      <c r="G193" s="165">
        <f>SUM(G186:G192)</f>
        <v>27040</v>
      </c>
      <c r="H193" s="166"/>
      <c r="I193" s="166"/>
      <c r="J193" s="167">
        <f>SUM(J186:J192)</f>
        <v>40000</v>
      </c>
      <c r="K193" s="167">
        <f>SUM(K186:K192)</f>
        <v>41600</v>
      </c>
      <c r="L193" s="167">
        <f>SUM(L186:L192)</f>
        <v>43264</v>
      </c>
      <c r="M193" s="167">
        <f>SUM(M186:M192)</f>
        <v>44994.559999999998</v>
      </c>
      <c r="N193" s="167">
        <f t="shared" ref="N193:AA193" si="57">SUM(N186:N192)</f>
        <v>0</v>
      </c>
      <c r="O193" s="167">
        <f t="shared" si="57"/>
        <v>0</v>
      </c>
      <c r="P193" s="167">
        <f t="shared" si="57"/>
        <v>0</v>
      </c>
      <c r="Q193" s="167">
        <f t="shared" si="57"/>
        <v>0</v>
      </c>
      <c r="R193" s="167">
        <f t="shared" si="57"/>
        <v>0</v>
      </c>
      <c r="S193" s="167">
        <f t="shared" si="57"/>
        <v>0</v>
      </c>
      <c r="T193" s="167">
        <f t="shared" si="57"/>
        <v>0</v>
      </c>
      <c r="U193" s="167">
        <f t="shared" si="57"/>
        <v>0</v>
      </c>
      <c r="V193" s="167">
        <f t="shared" si="57"/>
        <v>0</v>
      </c>
      <c r="W193" s="167">
        <f t="shared" si="57"/>
        <v>0</v>
      </c>
      <c r="X193" s="167">
        <f t="shared" si="57"/>
        <v>0</v>
      </c>
      <c r="Y193" s="167">
        <f t="shared" si="57"/>
        <v>0</v>
      </c>
      <c r="Z193" s="167">
        <f t="shared" si="57"/>
        <v>0</v>
      </c>
      <c r="AA193" s="167">
        <f t="shared" si="57"/>
        <v>46794.342400000001</v>
      </c>
    </row>
    <row r="194" spans="1:29" hidden="1">
      <c r="A194" s="124"/>
      <c r="B194" s="125"/>
      <c r="C194" s="125"/>
      <c r="D194" s="125"/>
      <c r="E194" s="125"/>
      <c r="F194" s="131"/>
      <c r="G194" s="125"/>
      <c r="H194" s="125"/>
      <c r="I194" s="125"/>
      <c r="J194" s="125"/>
      <c r="K194" s="125"/>
      <c r="AA194" s="139">
        <f t="shared" si="54"/>
        <v>0</v>
      </c>
    </row>
    <row r="195" spans="1:29">
      <c r="A195" s="143" t="s">
        <v>198</v>
      </c>
      <c r="B195" s="130"/>
      <c r="C195" s="130"/>
      <c r="D195" s="130"/>
      <c r="E195" s="130"/>
      <c r="F195" s="131"/>
      <c r="AA195" s="139"/>
    </row>
    <row r="196" spans="1:29">
      <c r="A196" s="124" t="s">
        <v>197</v>
      </c>
      <c r="B196" s="130"/>
      <c r="C196" s="130"/>
      <c r="D196" s="130">
        <v>2000</v>
      </c>
      <c r="E196" s="130">
        <v>2000</v>
      </c>
      <c r="F196" s="131"/>
      <c r="G196" s="132">
        <v>2500</v>
      </c>
      <c r="J196" s="132">
        <v>3000</v>
      </c>
      <c r="K196" s="132">
        <v>3000</v>
      </c>
      <c r="L196" s="128">
        <v>3500</v>
      </c>
      <c r="M196" s="128">
        <v>3500</v>
      </c>
      <c r="N196" s="128">
        <v>3500</v>
      </c>
      <c r="O196" s="128">
        <v>3500</v>
      </c>
      <c r="P196" s="128">
        <v>3500</v>
      </c>
      <c r="Q196" s="128">
        <v>3500</v>
      </c>
      <c r="R196" s="128">
        <v>3500</v>
      </c>
      <c r="S196" s="128">
        <v>3500</v>
      </c>
      <c r="T196" s="128">
        <v>3500</v>
      </c>
      <c r="U196" s="128">
        <v>3500</v>
      </c>
      <c r="V196" s="128">
        <v>3500</v>
      </c>
      <c r="W196" s="128">
        <v>3500</v>
      </c>
      <c r="X196" s="128">
        <v>3500</v>
      </c>
      <c r="Y196" s="128">
        <v>3500</v>
      </c>
      <c r="Z196" s="128">
        <v>3500</v>
      </c>
      <c r="AA196" s="128">
        <v>3500</v>
      </c>
    </row>
    <row r="197" spans="1:29">
      <c r="A197" s="124" t="s">
        <v>432</v>
      </c>
      <c r="B197" s="130"/>
      <c r="C197" s="130"/>
      <c r="D197" s="130"/>
      <c r="E197" s="130"/>
      <c r="F197" s="131"/>
      <c r="G197" s="132">
        <v>39000</v>
      </c>
      <c r="J197" s="130">
        <v>40950</v>
      </c>
      <c r="K197" s="130">
        <f t="shared" ref="K197:M199" si="58">J197+J197*4%</f>
        <v>42588</v>
      </c>
      <c r="L197" s="125">
        <f t="shared" si="58"/>
        <v>44291.519999999997</v>
      </c>
      <c r="M197" s="125">
        <f t="shared" si="58"/>
        <v>46063.180799999995</v>
      </c>
      <c r="N197" s="125">
        <f t="shared" ref="N197:N199" si="59">M197+M197*4%</f>
        <v>47905.708031999995</v>
      </c>
      <c r="O197" s="125">
        <f t="shared" ref="O197:O199" si="60">N197+N197*4%</f>
        <v>49821.936353279998</v>
      </c>
      <c r="P197" s="125">
        <f t="shared" ref="P197:P199" si="61">O197+O197*4%</f>
        <v>51814.813807411199</v>
      </c>
      <c r="Q197" s="125">
        <f t="shared" ref="Q197:Q199" si="62">P197+P197*4%</f>
        <v>53887.406359707646</v>
      </c>
      <c r="R197" s="125">
        <f t="shared" ref="R197:R199" si="63">Q197+Q197*4%</f>
        <v>56042.902614095954</v>
      </c>
      <c r="S197" s="125">
        <f t="shared" ref="S197:S199" si="64">R197+R197*4%</f>
        <v>58284.618718659789</v>
      </c>
      <c r="T197" s="125">
        <f t="shared" ref="T197:T199" si="65">S197+S197*4%</f>
        <v>60616.003467406183</v>
      </c>
      <c r="U197" s="125">
        <f t="shared" ref="U197:U199" si="66">T197+T197*4%</f>
        <v>63040.643606102429</v>
      </c>
      <c r="V197" s="125">
        <f t="shared" ref="V197:V199" si="67">U197+U197*4%</f>
        <v>65562.269350346527</v>
      </c>
      <c r="W197" s="125">
        <f t="shared" ref="W197:W199" si="68">V197+V197*4%</f>
        <v>68184.760124360386</v>
      </c>
      <c r="X197" s="125">
        <f t="shared" ref="X197:X199" si="69">W197+W197*4%</f>
        <v>70912.150529334802</v>
      </c>
      <c r="Y197" s="125">
        <f t="shared" ref="Y197:Y199" si="70">X197+X197*4%</f>
        <v>73748.636550508192</v>
      </c>
      <c r="Z197" s="125">
        <f t="shared" ref="Z197:Z199" si="71">Y197+Y197*4%</f>
        <v>76698.582012528525</v>
      </c>
      <c r="AA197" s="125">
        <f t="shared" ref="AA197:AA199" si="72">Z197+Z197*4%</f>
        <v>79766.52529302967</v>
      </c>
    </row>
    <row r="198" spans="1:29">
      <c r="A198" s="124" t="s">
        <v>432</v>
      </c>
      <c r="B198" s="125">
        <v>28500</v>
      </c>
      <c r="C198" s="125">
        <v>44000</v>
      </c>
      <c r="D198" s="125">
        <v>47500</v>
      </c>
      <c r="E198" s="125">
        <v>57000</v>
      </c>
      <c r="F198" s="131"/>
      <c r="G198" s="125">
        <v>19540</v>
      </c>
      <c r="H198" s="125"/>
      <c r="I198" s="125"/>
      <c r="J198" s="130">
        <v>20790</v>
      </c>
      <c r="K198" s="130">
        <f t="shared" ref="K198" si="73">J198+J198*4%</f>
        <v>21621.599999999999</v>
      </c>
      <c r="L198" s="125">
        <f t="shared" ref="L198" si="74">K198+K198*4%</f>
        <v>22486.464</v>
      </c>
      <c r="M198" s="125">
        <f t="shared" ref="M198" si="75">L198+L198*4%</f>
        <v>23385.922559999999</v>
      </c>
      <c r="N198" s="125">
        <f t="shared" si="59"/>
        <v>24321.3594624</v>
      </c>
      <c r="O198" s="125">
        <f t="shared" si="60"/>
        <v>25294.213840895998</v>
      </c>
      <c r="P198" s="125">
        <f t="shared" si="61"/>
        <v>26305.982394531839</v>
      </c>
      <c r="Q198" s="125">
        <f t="shared" si="62"/>
        <v>27358.221690313112</v>
      </c>
      <c r="R198" s="125">
        <f t="shared" si="63"/>
        <v>28452.550557925635</v>
      </c>
      <c r="S198" s="125">
        <f t="shared" si="64"/>
        <v>29590.652580242662</v>
      </c>
      <c r="T198" s="125">
        <f t="shared" si="65"/>
        <v>30774.278683452369</v>
      </c>
      <c r="U198" s="125">
        <f t="shared" si="66"/>
        <v>32005.249830790464</v>
      </c>
      <c r="V198" s="125">
        <f t="shared" si="67"/>
        <v>33285.45982402208</v>
      </c>
      <c r="W198" s="125">
        <f t="shared" si="68"/>
        <v>34616.878216982965</v>
      </c>
      <c r="X198" s="125">
        <f t="shared" si="69"/>
        <v>36001.55334566228</v>
      </c>
      <c r="Y198" s="125">
        <f t="shared" si="70"/>
        <v>37441.61547948877</v>
      </c>
      <c r="Z198" s="125">
        <f t="shared" si="71"/>
        <v>38939.280098668321</v>
      </c>
      <c r="AA198" s="125">
        <f t="shared" si="72"/>
        <v>40496.851302615054</v>
      </c>
    </row>
    <row r="199" spans="1:29" ht="13.5" thickBot="1">
      <c r="A199" s="124" t="s">
        <v>355</v>
      </c>
      <c r="B199" s="125">
        <v>28500</v>
      </c>
      <c r="C199" s="125">
        <v>44000</v>
      </c>
      <c r="D199" s="125">
        <v>47500</v>
      </c>
      <c r="E199" s="125">
        <v>57000</v>
      </c>
      <c r="F199" s="131"/>
      <c r="G199" s="125"/>
      <c r="H199" s="125"/>
      <c r="I199" s="125"/>
      <c r="J199" s="130">
        <v>20000</v>
      </c>
      <c r="K199" s="130">
        <f t="shared" si="58"/>
        <v>20800</v>
      </c>
      <c r="L199" s="125">
        <v>45000</v>
      </c>
      <c r="M199" s="125">
        <f t="shared" si="58"/>
        <v>46800</v>
      </c>
      <c r="N199" s="125">
        <f t="shared" si="59"/>
        <v>48672</v>
      </c>
      <c r="O199" s="125">
        <f t="shared" si="60"/>
        <v>50618.879999999997</v>
      </c>
      <c r="P199" s="125">
        <f t="shared" si="61"/>
        <v>52643.635199999997</v>
      </c>
      <c r="Q199" s="125">
        <f t="shared" si="62"/>
        <v>54749.380607999999</v>
      </c>
      <c r="R199" s="125">
        <f t="shared" si="63"/>
        <v>56939.355832319998</v>
      </c>
      <c r="S199" s="125">
        <f t="shared" si="64"/>
        <v>59216.930065612796</v>
      </c>
      <c r="T199" s="125">
        <f t="shared" si="65"/>
        <v>61585.607268237305</v>
      </c>
      <c r="U199" s="125">
        <f t="shared" si="66"/>
        <v>64049.031558966795</v>
      </c>
      <c r="V199" s="125">
        <f t="shared" si="67"/>
        <v>66610.992821325461</v>
      </c>
      <c r="W199" s="125">
        <f t="shared" si="68"/>
        <v>69275.432534178486</v>
      </c>
      <c r="X199" s="125">
        <f t="shared" si="69"/>
        <v>72046.449835545631</v>
      </c>
      <c r="Y199" s="125">
        <f t="shared" si="70"/>
        <v>74928.307828967459</v>
      </c>
      <c r="Z199" s="125">
        <f t="shared" si="71"/>
        <v>77925.440142126157</v>
      </c>
      <c r="AA199" s="125">
        <f t="shared" si="72"/>
        <v>81042.457747811204</v>
      </c>
      <c r="AB199" s="109">
        <v>3</v>
      </c>
      <c r="AC199" s="109">
        <v>-1.5</v>
      </c>
    </row>
    <row r="200" spans="1:29" ht="13.5" thickBot="1">
      <c r="A200" s="124" t="s">
        <v>271</v>
      </c>
      <c r="B200" s="145">
        <f t="shared" ref="B200:M200" si="76">SUM(B196:B199)</f>
        <v>57000</v>
      </c>
      <c r="C200" s="145">
        <f t="shared" si="76"/>
        <v>88000</v>
      </c>
      <c r="D200" s="145">
        <f t="shared" si="76"/>
        <v>97000</v>
      </c>
      <c r="E200" s="160">
        <f t="shared" si="76"/>
        <v>116000</v>
      </c>
      <c r="F200" s="131"/>
      <c r="G200" s="158">
        <f t="shared" si="76"/>
        <v>61040</v>
      </c>
      <c r="H200" s="142"/>
      <c r="I200" s="142"/>
      <c r="J200" s="142">
        <f t="shared" si="76"/>
        <v>84740</v>
      </c>
      <c r="K200" s="142">
        <f t="shared" si="76"/>
        <v>88009.600000000006</v>
      </c>
      <c r="L200" s="142">
        <f t="shared" si="76"/>
        <v>115277.984</v>
      </c>
      <c r="M200" s="142">
        <f t="shared" si="76"/>
        <v>119749.10335999999</v>
      </c>
      <c r="N200" s="142">
        <f t="shared" ref="N200:AA200" si="77">SUM(N196:N199)</f>
        <v>124399.06749439999</v>
      </c>
      <c r="O200" s="142">
        <f t="shared" si="77"/>
        <v>129235.03019417598</v>
      </c>
      <c r="P200" s="142">
        <f t="shared" si="77"/>
        <v>134264.43140194303</v>
      </c>
      <c r="Q200" s="142">
        <f t="shared" si="77"/>
        <v>139495.00865802076</v>
      </c>
      <c r="R200" s="142">
        <f t="shared" si="77"/>
        <v>144934.8090043416</v>
      </c>
      <c r="S200" s="142">
        <f t="shared" si="77"/>
        <v>150592.20136451526</v>
      </c>
      <c r="T200" s="142">
        <f t="shared" si="77"/>
        <v>156475.88941909585</v>
      </c>
      <c r="U200" s="142">
        <f t="shared" si="77"/>
        <v>162594.92499585968</v>
      </c>
      <c r="V200" s="142">
        <f t="shared" si="77"/>
        <v>168958.72199569407</v>
      </c>
      <c r="W200" s="142">
        <f t="shared" si="77"/>
        <v>175577.07087552184</v>
      </c>
      <c r="X200" s="142">
        <f t="shared" si="77"/>
        <v>182460.15371054271</v>
      </c>
      <c r="Y200" s="142">
        <f t="shared" si="77"/>
        <v>189618.55985896441</v>
      </c>
      <c r="Z200" s="142">
        <f t="shared" si="77"/>
        <v>197063.30225332303</v>
      </c>
      <c r="AA200" s="142">
        <f t="shared" si="77"/>
        <v>204805.83434345591</v>
      </c>
    </row>
    <row r="201" spans="1:29" hidden="1">
      <c r="A201" s="124"/>
      <c r="B201" s="125"/>
      <c r="C201" s="125"/>
      <c r="D201" s="125"/>
      <c r="E201" s="125"/>
      <c r="F201" s="131"/>
      <c r="G201" s="125"/>
      <c r="H201" s="125"/>
      <c r="I201" s="125"/>
      <c r="J201" s="125"/>
      <c r="K201" s="125"/>
      <c r="AA201" s="139">
        <f t="shared" si="54"/>
        <v>0</v>
      </c>
    </row>
    <row r="202" spans="1:29">
      <c r="A202" s="143" t="s">
        <v>195</v>
      </c>
      <c r="B202" s="130"/>
      <c r="C202" s="130"/>
      <c r="D202" s="130"/>
      <c r="E202" s="130"/>
      <c r="F202" s="131"/>
      <c r="AA202" s="139">
        <f t="shared" si="54"/>
        <v>0</v>
      </c>
    </row>
    <row r="203" spans="1:29">
      <c r="A203" s="124" t="s">
        <v>433</v>
      </c>
      <c r="B203" s="130">
        <v>18905</v>
      </c>
      <c r="C203" s="130">
        <f>180*8*16</f>
        <v>23040</v>
      </c>
      <c r="D203" s="130">
        <v>26000</v>
      </c>
      <c r="E203" s="130">
        <f>D203+D203*4%</f>
        <v>27040</v>
      </c>
      <c r="F203" s="131"/>
      <c r="G203" s="130"/>
      <c r="H203" s="130"/>
      <c r="I203" s="130"/>
      <c r="J203" s="130">
        <v>7200</v>
      </c>
      <c r="K203" s="130">
        <f t="shared" ref="K203:M204" si="78">J203+J203*4%</f>
        <v>7488</v>
      </c>
      <c r="L203" s="130">
        <f t="shared" si="78"/>
        <v>7787.52</v>
      </c>
      <c r="M203" s="130">
        <f t="shared" si="78"/>
        <v>8099.0208000000002</v>
      </c>
      <c r="AA203" s="139">
        <f t="shared" si="54"/>
        <v>8422.9816320000009</v>
      </c>
    </row>
    <row r="204" spans="1:29" ht="13.5" thickBot="1">
      <c r="A204" s="124" t="s">
        <v>346</v>
      </c>
      <c r="B204" s="141">
        <v>12718</v>
      </c>
      <c r="C204" s="141"/>
      <c r="D204" s="141">
        <v>2000</v>
      </c>
      <c r="E204" s="125">
        <f>D204+D204*4%</f>
        <v>2080</v>
      </c>
      <c r="F204" s="131"/>
      <c r="G204" s="141"/>
      <c r="H204" s="141"/>
      <c r="I204" s="141"/>
      <c r="J204" s="141">
        <v>0</v>
      </c>
      <c r="K204" s="141">
        <f t="shared" si="78"/>
        <v>0</v>
      </c>
      <c r="L204" s="141">
        <f t="shared" si="78"/>
        <v>0</v>
      </c>
      <c r="M204" s="141">
        <f t="shared" si="78"/>
        <v>0</v>
      </c>
      <c r="AA204" s="139">
        <f t="shared" si="54"/>
        <v>0</v>
      </c>
    </row>
    <row r="205" spans="1:29" ht="13.5" hidden="1" thickBot="1">
      <c r="A205" s="124"/>
      <c r="B205" s="130"/>
      <c r="C205" s="130"/>
      <c r="D205" s="130"/>
      <c r="E205" s="130"/>
      <c r="F205" s="131"/>
      <c r="G205" s="130"/>
      <c r="H205" s="130"/>
      <c r="I205" s="130"/>
      <c r="J205" s="130"/>
      <c r="K205" s="130"/>
      <c r="L205" s="168"/>
      <c r="AA205" s="139">
        <f t="shared" si="54"/>
        <v>0</v>
      </c>
    </row>
    <row r="206" spans="1:29" ht="13.5" hidden="1" thickBot="1">
      <c r="F206" s="129"/>
      <c r="AA206" s="139">
        <f t="shared" si="54"/>
        <v>0</v>
      </c>
    </row>
    <row r="207" spans="1:29" ht="13.5" thickBot="1">
      <c r="A207" s="124" t="s">
        <v>146</v>
      </c>
      <c r="B207" s="142">
        <f t="shared" ref="B207:M207" si="79">SUM(B203:B205)</f>
        <v>31623</v>
      </c>
      <c r="C207" s="142">
        <f t="shared" si="79"/>
        <v>23040</v>
      </c>
      <c r="D207" s="142">
        <f t="shared" si="79"/>
        <v>28000</v>
      </c>
      <c r="E207" s="160">
        <f>SUM(E203:E206)</f>
        <v>29120</v>
      </c>
      <c r="F207" s="131"/>
      <c r="G207" s="158">
        <f t="shared" si="79"/>
        <v>0</v>
      </c>
      <c r="H207" s="142"/>
      <c r="I207" s="142"/>
      <c r="J207" s="142">
        <f t="shared" si="79"/>
        <v>7200</v>
      </c>
      <c r="K207" s="142">
        <f t="shared" si="79"/>
        <v>7488</v>
      </c>
      <c r="L207" s="142">
        <f t="shared" si="79"/>
        <v>7787.52</v>
      </c>
      <c r="M207" s="142">
        <f t="shared" si="79"/>
        <v>8099.0208000000002</v>
      </c>
      <c r="AA207" s="169">
        <f t="shared" si="54"/>
        <v>8422.9816320000009</v>
      </c>
    </row>
    <row r="208" spans="1:29" ht="13.5" hidden="1" thickTop="1">
      <c r="A208" s="124"/>
      <c r="B208" s="125"/>
      <c r="C208" s="130"/>
      <c r="D208" s="130"/>
      <c r="E208" s="130"/>
      <c r="F208" s="131"/>
      <c r="AA208" s="139">
        <f t="shared" si="54"/>
        <v>0</v>
      </c>
    </row>
    <row r="209" spans="1:29" ht="13.5" thickTop="1">
      <c r="A209" s="143" t="s">
        <v>196</v>
      </c>
      <c r="B209" s="130"/>
      <c r="C209" s="130"/>
      <c r="D209" s="130"/>
      <c r="E209" s="130"/>
      <c r="F209" s="131"/>
      <c r="AA209" s="139">
        <f t="shared" si="54"/>
        <v>0</v>
      </c>
    </row>
    <row r="210" spans="1:29">
      <c r="A210" s="124" t="s">
        <v>434</v>
      </c>
      <c r="B210" s="130"/>
      <c r="C210" s="130"/>
      <c r="D210" s="130"/>
      <c r="E210" s="130">
        <v>25958.400000000001</v>
      </c>
      <c r="F210" s="131"/>
      <c r="G210" s="130">
        <v>27000</v>
      </c>
      <c r="H210" s="130"/>
      <c r="I210" s="130"/>
      <c r="J210" s="130">
        <v>28350</v>
      </c>
      <c r="K210" s="130">
        <f>J210+J210*4%</f>
        <v>29484</v>
      </c>
      <c r="L210" s="125">
        <f>K210+K210*4%</f>
        <v>30663.360000000001</v>
      </c>
      <c r="M210" s="125">
        <f>L210+L210*4%</f>
        <v>31889.894400000001</v>
      </c>
      <c r="N210" s="125">
        <f t="shared" ref="N210:AA210" si="80">M210+M210*4%</f>
        <v>33165.490175999999</v>
      </c>
      <c r="O210" s="125">
        <f t="shared" si="80"/>
        <v>34492.109783039996</v>
      </c>
      <c r="P210" s="125">
        <f t="shared" si="80"/>
        <v>35871.794174361596</v>
      </c>
      <c r="Q210" s="125">
        <f t="shared" si="80"/>
        <v>37306.665941336061</v>
      </c>
      <c r="R210" s="125">
        <f t="shared" si="80"/>
        <v>38798.932578989501</v>
      </c>
      <c r="S210" s="125">
        <f t="shared" si="80"/>
        <v>40350.88988214908</v>
      </c>
      <c r="T210" s="125">
        <f t="shared" si="80"/>
        <v>41964.925477435041</v>
      </c>
      <c r="U210" s="125">
        <f t="shared" si="80"/>
        <v>43643.522496532445</v>
      </c>
      <c r="V210" s="125">
        <f t="shared" si="80"/>
        <v>45389.263396393741</v>
      </c>
      <c r="W210" s="125">
        <f t="shared" si="80"/>
        <v>47204.833932249487</v>
      </c>
      <c r="X210" s="125">
        <f t="shared" si="80"/>
        <v>49093.027289539466</v>
      </c>
      <c r="Y210" s="125">
        <f t="shared" si="80"/>
        <v>51056.748381121048</v>
      </c>
      <c r="Z210" s="125">
        <f t="shared" si="80"/>
        <v>53099.018316365888</v>
      </c>
      <c r="AA210" s="125">
        <f t="shared" si="80"/>
        <v>55222.97904902052</v>
      </c>
    </row>
    <row r="211" spans="1:29" ht="13.5" thickBot="1">
      <c r="A211" s="124" t="s">
        <v>434</v>
      </c>
      <c r="B211" s="130"/>
      <c r="C211" s="130"/>
      <c r="D211" s="130"/>
      <c r="E211" s="130">
        <v>4035</v>
      </c>
      <c r="F211" s="131"/>
      <c r="G211" s="130">
        <v>12500</v>
      </c>
      <c r="H211" s="130"/>
      <c r="I211" s="130"/>
      <c r="J211" s="130">
        <v>26000</v>
      </c>
      <c r="K211" s="130">
        <f>(J211+J211*4%)*2</f>
        <v>54080</v>
      </c>
      <c r="L211" s="125">
        <f>K211+K211*4%</f>
        <v>56243.199999999997</v>
      </c>
      <c r="M211" s="125">
        <f>L211+L211*4%+30000</f>
        <v>88492.928</v>
      </c>
      <c r="N211" s="125">
        <f t="shared" ref="N211:Z211" si="81">M211+M211*4%</f>
        <v>92032.645120000001</v>
      </c>
      <c r="O211" s="125">
        <f t="shared" si="81"/>
        <v>95713.950924799996</v>
      </c>
      <c r="P211" s="125">
        <f t="shared" si="81"/>
        <v>99542.508961792002</v>
      </c>
      <c r="Q211" s="125">
        <f t="shared" si="81"/>
        <v>103524.20932026368</v>
      </c>
      <c r="R211" s="125">
        <f t="shared" si="81"/>
        <v>107665.17769307422</v>
      </c>
      <c r="S211" s="125">
        <f t="shared" si="81"/>
        <v>111971.78480079719</v>
      </c>
      <c r="T211" s="125">
        <f t="shared" si="81"/>
        <v>116450.65619282908</v>
      </c>
      <c r="U211" s="125">
        <f t="shared" si="81"/>
        <v>121108.68244054224</v>
      </c>
      <c r="V211" s="125">
        <f t="shared" si="81"/>
        <v>125953.02973816392</v>
      </c>
      <c r="W211" s="125">
        <f t="shared" si="81"/>
        <v>130991.15092769048</v>
      </c>
      <c r="X211" s="125">
        <f t="shared" si="81"/>
        <v>136230.79696479809</v>
      </c>
      <c r="Y211" s="125">
        <f t="shared" si="81"/>
        <v>141680.02884339003</v>
      </c>
      <c r="Z211" s="125">
        <f t="shared" si="81"/>
        <v>147347.22999712563</v>
      </c>
      <c r="AA211" s="125">
        <f>Z211+Z211*4%+45000</f>
        <v>198241.11919701064</v>
      </c>
      <c r="AB211" s="109">
        <v>3</v>
      </c>
      <c r="AC211" s="109">
        <v>-1</v>
      </c>
    </row>
    <row r="212" spans="1:29" ht="13.5" hidden="1" thickBot="1">
      <c r="A212" s="124"/>
      <c r="B212" s="130"/>
      <c r="C212" s="130"/>
      <c r="D212" s="130"/>
      <c r="E212" s="130"/>
      <c r="F212" s="131"/>
      <c r="G212" s="130"/>
      <c r="H212" s="130"/>
      <c r="I212" s="130"/>
      <c r="J212" s="130"/>
    </row>
    <row r="213" spans="1:29" ht="13.5" hidden="1" thickBot="1">
      <c r="F213" s="129"/>
    </row>
    <row r="214" spans="1:29" ht="13.5" thickBot="1">
      <c r="A214" s="143" t="s">
        <v>265</v>
      </c>
      <c r="B214" s="145">
        <v>18000</v>
      </c>
      <c r="C214" s="145">
        <v>25000</v>
      </c>
      <c r="D214" s="145">
        <v>26000</v>
      </c>
      <c r="E214" s="160">
        <f>SUM(E210:E213)</f>
        <v>29993.4</v>
      </c>
      <c r="F214" s="131"/>
      <c r="G214" s="170">
        <f>SUM(G210:G212)</f>
        <v>39500</v>
      </c>
      <c r="H214" s="171"/>
      <c r="I214" s="171"/>
      <c r="J214" s="148">
        <f>SUM(J210:J212)</f>
        <v>54350</v>
      </c>
      <c r="K214" s="148">
        <f>SUM(K210:K212)</f>
        <v>83564</v>
      </c>
      <c r="L214" s="148">
        <f>SUM(L210:L212)</f>
        <v>86906.559999999998</v>
      </c>
      <c r="M214" s="148">
        <f>SUM(M210:M212)</f>
        <v>120382.8224</v>
      </c>
      <c r="N214" s="148">
        <f t="shared" ref="N214:AA214" si="82">SUM(N210:N212)</f>
        <v>125198.13529599999</v>
      </c>
      <c r="O214" s="148">
        <f t="shared" si="82"/>
        <v>130206.06070783999</v>
      </c>
      <c r="P214" s="148">
        <f t="shared" si="82"/>
        <v>135414.30313615361</v>
      </c>
      <c r="Q214" s="148">
        <f t="shared" si="82"/>
        <v>140830.87526159972</v>
      </c>
      <c r="R214" s="148">
        <f t="shared" si="82"/>
        <v>146464.11027206373</v>
      </c>
      <c r="S214" s="148">
        <f t="shared" si="82"/>
        <v>152322.67468294626</v>
      </c>
      <c r="T214" s="148">
        <f t="shared" si="82"/>
        <v>158415.58167026413</v>
      </c>
      <c r="U214" s="148">
        <f t="shared" si="82"/>
        <v>164752.20493707468</v>
      </c>
      <c r="V214" s="148">
        <f t="shared" si="82"/>
        <v>171342.29313455767</v>
      </c>
      <c r="W214" s="148">
        <f t="shared" si="82"/>
        <v>178195.98485993996</v>
      </c>
      <c r="X214" s="148">
        <f t="shared" si="82"/>
        <v>185323.82425433755</v>
      </c>
      <c r="Y214" s="148">
        <f t="shared" si="82"/>
        <v>192736.77722451108</v>
      </c>
      <c r="Z214" s="148">
        <f t="shared" si="82"/>
        <v>200446.24831349152</v>
      </c>
      <c r="AA214" s="148">
        <f t="shared" si="82"/>
        <v>253464.09824603115</v>
      </c>
    </row>
    <row r="215" spans="1:29" hidden="1">
      <c r="A215" s="124"/>
      <c r="B215" s="124"/>
      <c r="C215" s="141"/>
      <c r="D215" s="141"/>
      <c r="E215" s="141"/>
      <c r="F215" s="131"/>
      <c r="G215" s="141"/>
      <c r="H215" s="141"/>
      <c r="I215" s="141"/>
      <c r="J215" s="141"/>
      <c r="K215" s="125"/>
    </row>
    <row r="216" spans="1:29" hidden="1">
      <c r="A216" s="124"/>
      <c r="B216" s="130"/>
      <c r="C216" s="124"/>
      <c r="D216" s="130"/>
      <c r="E216" s="130"/>
      <c r="F216" s="131"/>
    </row>
    <row r="217" spans="1:29" ht="13.5" hidden="1" thickBot="1">
      <c r="A217" s="172" t="s">
        <v>92</v>
      </c>
      <c r="B217" s="173" t="s">
        <v>92</v>
      </c>
      <c r="C217" s="173" t="s">
        <v>92</v>
      </c>
      <c r="D217" s="173" t="s">
        <v>92</v>
      </c>
      <c r="E217" s="173" t="s">
        <v>92</v>
      </c>
      <c r="F217" s="131"/>
      <c r="G217" s="173" t="s">
        <v>92</v>
      </c>
      <c r="H217" s="173"/>
      <c r="I217" s="173"/>
      <c r="J217" s="173" t="s">
        <v>92</v>
      </c>
      <c r="K217" s="173" t="s">
        <v>92</v>
      </c>
      <c r="L217" s="173" t="s">
        <v>92</v>
      </c>
      <c r="M217" s="173" t="s">
        <v>92</v>
      </c>
      <c r="N217" s="173" t="s">
        <v>92</v>
      </c>
      <c r="O217" s="173" t="s">
        <v>92</v>
      </c>
      <c r="P217" s="173" t="s">
        <v>92</v>
      </c>
      <c r="Q217" s="173" t="s">
        <v>92</v>
      </c>
      <c r="R217" s="173" t="s">
        <v>92</v>
      </c>
      <c r="S217" s="173" t="s">
        <v>92</v>
      </c>
      <c r="T217" s="173" t="s">
        <v>92</v>
      </c>
      <c r="U217" s="173" t="s">
        <v>92</v>
      </c>
      <c r="V217" s="173" t="s">
        <v>92</v>
      </c>
      <c r="W217" s="173" t="s">
        <v>92</v>
      </c>
      <c r="X217" s="173" t="s">
        <v>92</v>
      </c>
      <c r="Y217" s="173" t="s">
        <v>92</v>
      </c>
      <c r="Z217" s="173" t="s">
        <v>92</v>
      </c>
      <c r="AA217" s="173" t="s">
        <v>92</v>
      </c>
    </row>
    <row r="218" spans="1:29">
      <c r="A218" s="124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</row>
    <row r="219" spans="1:29">
      <c r="A219" s="124" t="s">
        <v>106</v>
      </c>
      <c r="B219" s="130">
        <f>B214+B207+B200+B41+B183+B169+B38+B31+B17</f>
        <v>827643</v>
      </c>
      <c r="C219" s="130">
        <f>C214+C207+C200+C41+C183+C169+C38+C31+C17</f>
        <v>1313965</v>
      </c>
      <c r="D219" s="130">
        <f>D214+D207+D200+D193+D183+D169+D38+D31+D17+D24</f>
        <v>1786854</v>
      </c>
      <c r="E219" s="130">
        <f>E17+E24+E31+E38+E169+E183+E193+E200+E207+E214</f>
        <v>2166683.4</v>
      </c>
      <c r="F219" s="130"/>
      <c r="G219" s="130">
        <f>G17+G24+G31+G38+G169+G183+G193+G200+G207+G214</f>
        <v>2413790.2000000002</v>
      </c>
      <c r="H219" s="130"/>
      <c r="I219" s="130"/>
      <c r="J219" s="130">
        <f t="shared" ref="J219:AA219" si="83">J17+J24+J31+J38+J169+J183+J193+J200+J207+J214</f>
        <v>2929291</v>
      </c>
      <c r="K219" s="130">
        <f t="shared" si="83"/>
        <v>3612997.9999999995</v>
      </c>
      <c r="L219" s="130">
        <f t="shared" si="83"/>
        <v>4123225.9200000004</v>
      </c>
      <c r="M219" s="130">
        <f t="shared" si="83"/>
        <v>4686606.9567999998</v>
      </c>
      <c r="N219" s="130">
        <f t="shared" si="83"/>
        <v>339629.51756800001</v>
      </c>
      <c r="O219" s="130">
        <f t="shared" si="83"/>
        <v>353074.69827071996</v>
      </c>
      <c r="P219" s="130">
        <f t="shared" si="83"/>
        <v>367057.68620154879</v>
      </c>
      <c r="Q219" s="130">
        <f t="shared" si="83"/>
        <v>381599.99364961078</v>
      </c>
      <c r="R219" s="130">
        <f t="shared" si="83"/>
        <v>396723.99339559523</v>
      </c>
      <c r="S219" s="130">
        <f t="shared" si="83"/>
        <v>412452.95313141902</v>
      </c>
      <c r="T219" s="130">
        <f t="shared" si="83"/>
        <v>428811.07125667576</v>
      </c>
      <c r="U219" s="130">
        <f t="shared" si="83"/>
        <v>445823.51410694281</v>
      </c>
      <c r="V219" s="130">
        <f t="shared" si="83"/>
        <v>463516.4546712205</v>
      </c>
      <c r="W219" s="130">
        <f t="shared" si="83"/>
        <v>481917.1128580693</v>
      </c>
      <c r="X219" s="130">
        <f t="shared" si="83"/>
        <v>501053.79737239215</v>
      </c>
      <c r="Y219" s="130">
        <f t="shared" si="83"/>
        <v>520955.9492672878</v>
      </c>
      <c r="Z219" s="130">
        <f t="shared" si="83"/>
        <v>541654.18723797938</v>
      </c>
      <c r="AA219" s="130">
        <f t="shared" si="83"/>
        <v>5542082.0722314985</v>
      </c>
    </row>
    <row r="220" spans="1:29" ht="13.5" thickBot="1">
      <c r="A220" s="124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</row>
    <row r="221" spans="1:29" ht="13.5" thickBot="1">
      <c r="A221" s="174" t="s">
        <v>297</v>
      </c>
      <c r="B221" s="175"/>
      <c r="C221" s="175"/>
      <c r="D221" s="175"/>
      <c r="E221" s="175">
        <f>E219-E222</f>
        <v>1991570</v>
      </c>
      <c r="F221" s="175"/>
      <c r="G221" s="146">
        <f>G219-G222</f>
        <v>2313250.2000000002</v>
      </c>
      <c r="H221" s="175"/>
      <c r="I221" s="175"/>
      <c r="J221" s="146">
        <f>J219-J222</f>
        <v>2783001</v>
      </c>
      <c r="K221" s="176">
        <f>K219-K222</f>
        <v>3433936.3999999994</v>
      </c>
      <c r="L221" s="176">
        <f>L219-L222</f>
        <v>3913253.8560000006</v>
      </c>
      <c r="M221" s="176">
        <f>M219-M222</f>
        <v>4438376.0102399997</v>
      </c>
      <c r="N221" s="176">
        <f t="shared" ref="N221:AA221" si="84">N219-N222</f>
        <v>90032.314777600026</v>
      </c>
      <c r="O221" s="176">
        <f t="shared" si="84"/>
        <v>93633.60736870399</v>
      </c>
      <c r="P221" s="176">
        <f t="shared" si="84"/>
        <v>97378.951663452142</v>
      </c>
      <c r="Q221" s="176">
        <f t="shared" si="84"/>
        <v>101274.1097299903</v>
      </c>
      <c r="R221" s="176">
        <f t="shared" si="84"/>
        <v>105325.07411918987</v>
      </c>
      <c r="S221" s="176">
        <f t="shared" si="84"/>
        <v>109538.0770839575</v>
      </c>
      <c r="T221" s="176">
        <f t="shared" si="84"/>
        <v>113919.6001673158</v>
      </c>
      <c r="U221" s="176">
        <f t="shared" si="84"/>
        <v>118476.38417400845</v>
      </c>
      <c r="V221" s="176">
        <f t="shared" si="84"/>
        <v>123215.43954096874</v>
      </c>
      <c r="W221" s="176">
        <f t="shared" si="84"/>
        <v>128144.05712260754</v>
      </c>
      <c r="X221" s="176">
        <f t="shared" si="84"/>
        <v>133269.81940751185</v>
      </c>
      <c r="Y221" s="176">
        <f t="shared" si="84"/>
        <v>138600.61218381231</v>
      </c>
      <c r="Z221" s="176">
        <f t="shared" si="84"/>
        <v>144144.63667116483</v>
      </c>
      <c r="AA221" s="176">
        <f t="shared" si="84"/>
        <v>5075389.1580100115</v>
      </c>
    </row>
    <row r="222" spans="1:29" ht="13.5" thickBot="1">
      <c r="A222" s="174" t="s">
        <v>286</v>
      </c>
      <c r="B222" s="175"/>
      <c r="C222" s="175"/>
      <c r="D222" s="175"/>
      <c r="E222" s="176">
        <f>E214+E207+E200</f>
        <v>175113.4</v>
      </c>
      <c r="F222" s="176"/>
      <c r="G222" s="176">
        <f>G214+G207+G200</f>
        <v>100540</v>
      </c>
      <c r="H222" s="176"/>
      <c r="I222" s="176"/>
      <c r="J222" s="176">
        <f>J214+J207+J200</f>
        <v>146290</v>
      </c>
      <c r="K222" s="176">
        <f>K214+K207+K200</f>
        <v>179061.6</v>
      </c>
      <c r="L222" s="176">
        <f>L214+L207+L200</f>
        <v>209972.06400000001</v>
      </c>
      <c r="M222" s="176">
        <f>M214+M207+M200</f>
        <v>248230.94656000001</v>
      </c>
      <c r="N222" s="176">
        <f t="shared" ref="N222:AA222" si="85">N214+N207+N200</f>
        <v>249597.20279039998</v>
      </c>
      <c r="O222" s="176">
        <f t="shared" si="85"/>
        <v>259441.09090201597</v>
      </c>
      <c r="P222" s="176">
        <f t="shared" si="85"/>
        <v>269678.73453809664</v>
      </c>
      <c r="Q222" s="176">
        <f t="shared" si="85"/>
        <v>280325.88391962048</v>
      </c>
      <c r="R222" s="176">
        <f t="shared" si="85"/>
        <v>291398.91927640536</v>
      </c>
      <c r="S222" s="176">
        <f t="shared" si="85"/>
        <v>302914.87604746153</v>
      </c>
      <c r="T222" s="176">
        <f t="shared" si="85"/>
        <v>314891.47108935995</v>
      </c>
      <c r="U222" s="176">
        <f t="shared" si="85"/>
        <v>327347.12993293436</v>
      </c>
      <c r="V222" s="176">
        <f t="shared" si="85"/>
        <v>340301.01513025176</v>
      </c>
      <c r="W222" s="176">
        <f t="shared" si="85"/>
        <v>353773.05573546176</v>
      </c>
      <c r="X222" s="176">
        <f t="shared" si="85"/>
        <v>367783.97796488029</v>
      </c>
      <c r="Y222" s="176">
        <f t="shared" si="85"/>
        <v>382355.33708347549</v>
      </c>
      <c r="Z222" s="176">
        <f t="shared" si="85"/>
        <v>397509.55056681455</v>
      </c>
      <c r="AA222" s="176">
        <f t="shared" si="85"/>
        <v>466692.91422148707</v>
      </c>
    </row>
    <row r="223" spans="1:29">
      <c r="A223" s="124"/>
      <c r="B223" s="130"/>
      <c r="C223" s="130"/>
      <c r="D223" s="130"/>
      <c r="E223" s="130">
        <f>SUM(E221:E222)</f>
        <v>2166683.4</v>
      </c>
      <c r="F223" s="130"/>
      <c r="G223" s="130">
        <f>SUM(G221:G222)</f>
        <v>2413790.2000000002</v>
      </c>
      <c r="H223" s="130"/>
      <c r="I223" s="130"/>
      <c r="J223" s="130">
        <f>SUM(J221:J222)</f>
        <v>2929291</v>
      </c>
      <c r="K223" s="130">
        <f>SUM(K221:K222)</f>
        <v>3612997.9999999995</v>
      </c>
      <c r="L223" s="130">
        <f>SUM(L221:L222)</f>
        <v>4123225.9200000009</v>
      </c>
      <c r="M223" s="130">
        <f>SUM(M221:M222)</f>
        <v>4686606.9567999998</v>
      </c>
      <c r="N223" s="130">
        <f t="shared" ref="N223:AA223" si="86">SUM(N221:N222)</f>
        <v>339629.51756800001</v>
      </c>
      <c r="O223" s="130">
        <f t="shared" si="86"/>
        <v>353074.69827071996</v>
      </c>
      <c r="P223" s="130">
        <f t="shared" si="86"/>
        <v>367057.68620154879</v>
      </c>
      <c r="Q223" s="130">
        <f t="shared" si="86"/>
        <v>381599.99364961078</v>
      </c>
      <c r="R223" s="130">
        <f t="shared" si="86"/>
        <v>396723.99339559523</v>
      </c>
      <c r="S223" s="130">
        <f t="shared" si="86"/>
        <v>412452.95313141902</v>
      </c>
      <c r="T223" s="130">
        <f t="shared" si="86"/>
        <v>428811.07125667576</v>
      </c>
      <c r="U223" s="130">
        <f t="shared" si="86"/>
        <v>445823.51410694281</v>
      </c>
      <c r="V223" s="130">
        <f t="shared" si="86"/>
        <v>463516.4546712205</v>
      </c>
      <c r="W223" s="130">
        <f t="shared" si="86"/>
        <v>481917.1128580693</v>
      </c>
      <c r="X223" s="130">
        <f t="shared" si="86"/>
        <v>501053.79737239215</v>
      </c>
      <c r="Y223" s="130">
        <f t="shared" si="86"/>
        <v>520955.9492672878</v>
      </c>
      <c r="Z223" s="130">
        <f t="shared" si="86"/>
        <v>541654.18723797938</v>
      </c>
      <c r="AA223" s="130">
        <f t="shared" si="86"/>
        <v>5542082.0722314985</v>
      </c>
    </row>
    <row r="224" spans="1:29">
      <c r="A224" s="124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AA224" s="139"/>
    </row>
    <row r="225" spans="1:27">
      <c r="A225" s="124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AA225" s="139"/>
    </row>
    <row r="226" spans="1:27">
      <c r="A226" s="124" t="s">
        <v>291</v>
      </c>
      <c r="B226" s="145"/>
      <c r="C226" s="145"/>
      <c r="D226" s="145"/>
      <c r="E226" s="145">
        <v>59</v>
      </c>
      <c r="F226" s="145"/>
      <c r="G226" s="145">
        <v>69</v>
      </c>
      <c r="H226" s="145"/>
      <c r="I226" s="145"/>
      <c r="J226" s="145">
        <v>75</v>
      </c>
      <c r="K226" s="177">
        <v>81</v>
      </c>
      <c r="L226" s="163">
        <v>86</v>
      </c>
      <c r="M226" s="163">
        <v>93</v>
      </c>
      <c r="AA226" s="163">
        <v>103</v>
      </c>
    </row>
    <row r="227" spans="1:27">
      <c r="A227" s="124" t="s">
        <v>288</v>
      </c>
      <c r="B227" s="130">
        <f t="shared" ref="B227:J227" si="87">B222*0.062</f>
        <v>0</v>
      </c>
      <c r="C227" s="130">
        <f t="shared" si="87"/>
        <v>0</v>
      </c>
      <c r="D227" s="130">
        <f t="shared" si="87"/>
        <v>0</v>
      </c>
      <c r="E227" s="130">
        <f t="shared" si="87"/>
        <v>10857.0308</v>
      </c>
      <c r="F227" s="130"/>
      <c r="G227" s="130">
        <f t="shared" si="87"/>
        <v>6233.48</v>
      </c>
      <c r="H227" s="130"/>
      <c r="I227" s="130"/>
      <c r="J227" s="130">
        <f t="shared" si="87"/>
        <v>9069.98</v>
      </c>
      <c r="K227" s="130">
        <f>K222*0.062</f>
        <v>11101.8192</v>
      </c>
      <c r="L227" s="130">
        <f>L222*0.062</f>
        <v>13018.267968</v>
      </c>
      <c r="M227" s="130">
        <f>M222*0.062</f>
        <v>15390.31868672</v>
      </c>
      <c r="N227" s="130">
        <f t="shared" ref="N227:AA227" si="88">N222*0.062</f>
        <v>15475.0265730048</v>
      </c>
      <c r="O227" s="130">
        <f t="shared" si="88"/>
        <v>16085.347635924991</v>
      </c>
      <c r="P227" s="130">
        <f t="shared" si="88"/>
        <v>16720.081541361993</v>
      </c>
      <c r="Q227" s="130">
        <f t="shared" si="88"/>
        <v>17380.20480301647</v>
      </c>
      <c r="R227" s="130">
        <f t="shared" si="88"/>
        <v>18066.732995137132</v>
      </c>
      <c r="S227" s="130">
        <f t="shared" si="88"/>
        <v>18780.722314942614</v>
      </c>
      <c r="T227" s="130">
        <f t="shared" si="88"/>
        <v>19523.271207540318</v>
      </c>
      <c r="U227" s="130">
        <f t="shared" si="88"/>
        <v>20295.522055841931</v>
      </c>
      <c r="V227" s="130">
        <f t="shared" si="88"/>
        <v>21098.662938075609</v>
      </c>
      <c r="W227" s="130">
        <f t="shared" si="88"/>
        <v>21933.929455598631</v>
      </c>
      <c r="X227" s="130">
        <f t="shared" si="88"/>
        <v>22802.606633822579</v>
      </c>
      <c r="Y227" s="130">
        <f t="shared" si="88"/>
        <v>23706.030899175479</v>
      </c>
      <c r="Z227" s="130">
        <f t="shared" si="88"/>
        <v>24645.592135142502</v>
      </c>
      <c r="AA227" s="130">
        <f t="shared" si="88"/>
        <v>28934.960681732198</v>
      </c>
    </row>
    <row r="228" spans="1:27">
      <c r="A228" s="124" t="s">
        <v>287</v>
      </c>
      <c r="B228" s="130">
        <f t="shared" ref="B228:J228" si="89">B223*0.0145</f>
        <v>0</v>
      </c>
      <c r="C228" s="130">
        <f t="shared" si="89"/>
        <v>0</v>
      </c>
      <c r="D228" s="130">
        <f t="shared" si="89"/>
        <v>0</v>
      </c>
      <c r="E228" s="130">
        <f t="shared" si="89"/>
        <v>31416.909299999999</v>
      </c>
      <c r="F228" s="130"/>
      <c r="G228" s="130">
        <f t="shared" si="89"/>
        <v>34999.957900000001</v>
      </c>
      <c r="H228" s="130"/>
      <c r="I228" s="130"/>
      <c r="J228" s="130">
        <f t="shared" si="89"/>
        <v>42474.719499999999</v>
      </c>
      <c r="K228" s="130">
        <f>K223*0.0145</f>
        <v>52388.470999999998</v>
      </c>
      <c r="L228" s="130">
        <f>L223*0.0145</f>
        <v>59786.775840000017</v>
      </c>
      <c r="M228" s="130">
        <f>M223*0.0145</f>
        <v>67955.800873600005</v>
      </c>
      <c r="N228" s="130">
        <f t="shared" ref="N228:AA228" si="90">N223*0.0145</f>
        <v>4924.6280047360005</v>
      </c>
      <c r="O228" s="130">
        <f t="shared" si="90"/>
        <v>5119.5831249254397</v>
      </c>
      <c r="P228" s="130">
        <f t="shared" si="90"/>
        <v>5322.3364499224581</v>
      </c>
      <c r="Q228" s="130">
        <f t="shared" si="90"/>
        <v>5533.1999079193565</v>
      </c>
      <c r="R228" s="130">
        <f t="shared" si="90"/>
        <v>5752.497904236131</v>
      </c>
      <c r="S228" s="130">
        <f t="shared" si="90"/>
        <v>5980.5678204055757</v>
      </c>
      <c r="T228" s="130">
        <f t="shared" si="90"/>
        <v>6217.7605332217991</v>
      </c>
      <c r="U228" s="130">
        <f t="shared" si="90"/>
        <v>6464.4409545506714</v>
      </c>
      <c r="V228" s="130">
        <f t="shared" si="90"/>
        <v>6720.9885927326977</v>
      </c>
      <c r="W228" s="130">
        <f t="shared" si="90"/>
        <v>6987.7981364420057</v>
      </c>
      <c r="X228" s="130">
        <f t="shared" si="90"/>
        <v>7265.2800618996862</v>
      </c>
      <c r="Y228" s="130">
        <f t="shared" si="90"/>
        <v>7553.8612643756733</v>
      </c>
      <c r="Z228" s="130">
        <f t="shared" si="90"/>
        <v>7853.9857149507015</v>
      </c>
      <c r="AA228" s="130">
        <f t="shared" si="90"/>
        <v>80360.190047356737</v>
      </c>
    </row>
    <row r="229" spans="1:27">
      <c r="A229" s="124" t="s">
        <v>289</v>
      </c>
      <c r="B229" s="130">
        <f>104*29</f>
        <v>3016</v>
      </c>
      <c r="C229" s="130">
        <f>104*33</f>
        <v>3432</v>
      </c>
      <c r="D229" s="130">
        <f>104*39</f>
        <v>4056</v>
      </c>
      <c r="E229" s="130">
        <f>(59*14000+E186+E196+E204+E211)*0.0058</f>
        <v>4890.067</v>
      </c>
      <c r="F229" s="130"/>
      <c r="G229" s="130">
        <f>0.0058*14000*G226</f>
        <v>5602.7999999999993</v>
      </c>
      <c r="H229" s="130"/>
      <c r="I229" s="130"/>
      <c r="J229" s="130">
        <f>0.0058*14000*J226</f>
        <v>6089.9999999999991</v>
      </c>
      <c r="K229" s="130">
        <f>0.0058*14000*K226</f>
        <v>6577.1999999999989</v>
      </c>
      <c r="L229" s="130">
        <f>0.0058*14000*L226</f>
        <v>6983.1999999999989</v>
      </c>
      <c r="M229" s="130">
        <f>0.0058*14000*M226</f>
        <v>7551.5999999999985</v>
      </c>
      <c r="N229" s="130">
        <f t="shared" ref="N229:AA229" si="91">0.0058*14000*N226</f>
        <v>0</v>
      </c>
      <c r="O229" s="130">
        <f t="shared" si="91"/>
        <v>0</v>
      </c>
      <c r="P229" s="130">
        <f t="shared" si="91"/>
        <v>0</v>
      </c>
      <c r="Q229" s="130">
        <f t="shared" si="91"/>
        <v>0</v>
      </c>
      <c r="R229" s="130">
        <f t="shared" si="91"/>
        <v>0</v>
      </c>
      <c r="S229" s="130">
        <f t="shared" si="91"/>
        <v>0</v>
      </c>
      <c r="T229" s="130">
        <f t="shared" si="91"/>
        <v>0</v>
      </c>
      <c r="U229" s="130">
        <f t="shared" si="91"/>
        <v>0</v>
      </c>
      <c r="V229" s="130">
        <f t="shared" si="91"/>
        <v>0</v>
      </c>
      <c r="W229" s="130">
        <f t="shared" si="91"/>
        <v>0</v>
      </c>
      <c r="X229" s="130">
        <f t="shared" si="91"/>
        <v>0</v>
      </c>
      <c r="Y229" s="130">
        <f t="shared" si="91"/>
        <v>0</v>
      </c>
      <c r="Z229" s="130">
        <f t="shared" si="91"/>
        <v>0</v>
      </c>
      <c r="AA229" s="130">
        <f t="shared" si="91"/>
        <v>8363.5999999999985</v>
      </c>
    </row>
    <row r="230" spans="1:27">
      <c r="A230" s="124" t="s">
        <v>306</v>
      </c>
      <c r="B230" s="130">
        <f>B219*0.002</f>
        <v>1655.2860000000001</v>
      </c>
      <c r="C230" s="130">
        <f>C219*0.002</f>
        <v>2627.93</v>
      </c>
      <c r="D230" s="130">
        <f>D219*0.002</f>
        <v>3573.7080000000001</v>
      </c>
      <c r="E230" s="130">
        <f>E219*0.005</f>
        <v>10833.416999999999</v>
      </c>
      <c r="F230" s="130"/>
      <c r="G230" s="130">
        <f>G219*0.005</f>
        <v>12068.951000000001</v>
      </c>
      <c r="H230" s="130"/>
      <c r="I230" s="130"/>
      <c r="J230" s="130">
        <f>J219*0.005</f>
        <v>14646.455</v>
      </c>
      <c r="K230" s="130">
        <f>K219*0.005</f>
        <v>18064.989999999998</v>
      </c>
      <c r="L230" s="130">
        <f>L219*0.005</f>
        <v>20616.129600000004</v>
      </c>
      <c r="M230" s="130">
        <f>M219*0.005</f>
        <v>23433.034783999999</v>
      </c>
      <c r="N230" s="130">
        <f t="shared" ref="N230:AA230" si="92">N219*0.005</f>
        <v>1698.1475878400001</v>
      </c>
      <c r="O230" s="130">
        <f t="shared" si="92"/>
        <v>1765.3734913535998</v>
      </c>
      <c r="P230" s="130">
        <f t="shared" si="92"/>
        <v>1835.2884310077441</v>
      </c>
      <c r="Q230" s="130">
        <f t="shared" si="92"/>
        <v>1907.9999682480538</v>
      </c>
      <c r="R230" s="130">
        <f t="shared" si="92"/>
        <v>1983.6199669779762</v>
      </c>
      <c r="S230" s="130">
        <f t="shared" si="92"/>
        <v>2062.2647656570953</v>
      </c>
      <c r="T230" s="130">
        <f t="shared" si="92"/>
        <v>2144.0553562833788</v>
      </c>
      <c r="U230" s="130">
        <f t="shared" si="92"/>
        <v>2229.1175705347141</v>
      </c>
      <c r="V230" s="130">
        <f t="shared" si="92"/>
        <v>2317.5822733561026</v>
      </c>
      <c r="W230" s="130">
        <f t="shared" si="92"/>
        <v>2409.5855642903466</v>
      </c>
      <c r="X230" s="130">
        <f t="shared" si="92"/>
        <v>2505.2689868619609</v>
      </c>
      <c r="Y230" s="130">
        <f t="shared" si="92"/>
        <v>2604.7797463364391</v>
      </c>
      <c r="Z230" s="130">
        <f t="shared" si="92"/>
        <v>2708.2709361898969</v>
      </c>
      <c r="AA230" s="130">
        <f t="shared" si="92"/>
        <v>27710.410361157494</v>
      </c>
    </row>
    <row r="231" spans="1:27" hidden="1">
      <c r="A231" s="124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</row>
    <row r="232" spans="1:27" hidden="1">
      <c r="A232" s="124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</row>
    <row r="233" spans="1:27" ht="13.5" thickBot="1">
      <c r="A233" s="157" t="s">
        <v>107</v>
      </c>
      <c r="B233" s="142">
        <f t="shared" ref="B233:J233" si="93">SUM(B227:B232)</f>
        <v>4671.2860000000001</v>
      </c>
      <c r="C233" s="142">
        <f t="shared" si="93"/>
        <v>6059.93</v>
      </c>
      <c r="D233" s="142">
        <f t="shared" si="93"/>
        <v>7629.7080000000005</v>
      </c>
      <c r="E233" s="142">
        <f t="shared" si="93"/>
        <v>57997.424100000004</v>
      </c>
      <c r="F233" s="145"/>
      <c r="G233" s="145">
        <f t="shared" si="93"/>
        <v>58905.188900000008</v>
      </c>
      <c r="H233" s="145"/>
      <c r="I233" s="145"/>
      <c r="J233" s="145">
        <f t="shared" si="93"/>
        <v>72281.154500000004</v>
      </c>
      <c r="K233" s="145">
        <f>SUM(K227:K232)</f>
        <v>88132.480199999991</v>
      </c>
      <c r="L233" s="178">
        <f>SUM(L227:L232)</f>
        <v>100404.37340800001</v>
      </c>
      <c r="M233" s="178">
        <f>SUM(M227:M232)</f>
        <v>114330.75434432</v>
      </c>
      <c r="N233" s="178">
        <f t="shared" ref="N233:AA233" si="94">SUM(N227:N232)</f>
        <v>22097.802165580801</v>
      </c>
      <c r="O233" s="178">
        <f t="shared" si="94"/>
        <v>22970.30425220403</v>
      </c>
      <c r="P233" s="178">
        <f t="shared" si="94"/>
        <v>23877.706422292194</v>
      </c>
      <c r="Q233" s="178">
        <f t="shared" si="94"/>
        <v>24821.404679183877</v>
      </c>
      <c r="R233" s="178">
        <f t="shared" si="94"/>
        <v>25802.85086635124</v>
      </c>
      <c r="S233" s="178">
        <f t="shared" si="94"/>
        <v>26823.554901005286</v>
      </c>
      <c r="T233" s="178">
        <f t="shared" si="94"/>
        <v>27885.087097045496</v>
      </c>
      <c r="U233" s="178">
        <f t="shared" si="94"/>
        <v>28989.080580927315</v>
      </c>
      <c r="V233" s="178">
        <f t="shared" si="94"/>
        <v>30137.233804164411</v>
      </c>
      <c r="W233" s="178">
        <f t="shared" si="94"/>
        <v>31331.313156330983</v>
      </c>
      <c r="X233" s="178">
        <f t="shared" si="94"/>
        <v>32573.155682584224</v>
      </c>
      <c r="Y233" s="178">
        <f t="shared" si="94"/>
        <v>33864.671909887591</v>
      </c>
      <c r="Z233" s="178">
        <f t="shared" si="94"/>
        <v>35207.848786283103</v>
      </c>
      <c r="AA233" s="178">
        <f t="shared" si="94"/>
        <v>145369.16109024643</v>
      </c>
    </row>
    <row r="234" spans="1:27" ht="13.5" thickTop="1">
      <c r="A234" s="124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AA234" s="139"/>
    </row>
    <row r="235" spans="1:27">
      <c r="A235" s="124" t="s">
        <v>108</v>
      </c>
      <c r="B235" s="130" t="s">
        <v>92</v>
      </c>
      <c r="C235" s="130" t="s">
        <v>92</v>
      </c>
      <c r="D235" s="130" t="s">
        <v>92</v>
      </c>
      <c r="E235" s="130" t="s">
        <v>92</v>
      </c>
      <c r="F235" s="130"/>
      <c r="G235" s="130" t="s">
        <v>92</v>
      </c>
      <c r="H235" s="130"/>
      <c r="I235" s="130"/>
      <c r="J235" s="130" t="s">
        <v>92</v>
      </c>
      <c r="K235" s="130"/>
      <c r="AA235" s="139"/>
    </row>
    <row r="236" spans="1:27">
      <c r="A236" s="124" t="s">
        <v>290</v>
      </c>
      <c r="B236" s="130" t="s">
        <v>294</v>
      </c>
      <c r="C236" s="130"/>
      <c r="D236" s="130"/>
      <c r="E236" s="130">
        <f>(59*0.6)*(700*0.7)*12</f>
        <v>208151.99999999994</v>
      </c>
      <c r="F236" s="145"/>
      <c r="G236" s="163">
        <f>(69*0.6)*(721*0.7)*12</f>
        <v>250734.95999999996</v>
      </c>
      <c r="H236" s="163"/>
      <c r="I236" s="163"/>
      <c r="J236" s="163">
        <f>(75*0.7)*(787*0.7)*12</f>
        <v>347067</v>
      </c>
      <c r="K236" s="163">
        <f>(81*0.7)*(834*0.7)*12</f>
        <v>397217.5199999999</v>
      </c>
      <c r="L236" s="163">
        <f>(86*0.7)*(884*0.7)*12</f>
        <v>447021.11999999994</v>
      </c>
      <c r="M236" s="163">
        <f>(93*0.7)*(937*0.7)*12</f>
        <v>512389.07999999996</v>
      </c>
      <c r="AA236" s="163">
        <f>(103*0.7)*(993*0.7)*12</f>
        <v>601400.5199999999</v>
      </c>
    </row>
    <row r="237" spans="1:27" hidden="1">
      <c r="A237" s="124" t="s">
        <v>292</v>
      </c>
      <c r="B237" s="124"/>
      <c r="C237" s="124"/>
      <c r="D237" s="124"/>
      <c r="E237" s="124"/>
      <c r="F237" s="124"/>
      <c r="AA237" s="139">
        <f t="shared" si="54"/>
        <v>0</v>
      </c>
    </row>
    <row r="238" spans="1:27" hidden="1">
      <c r="A238" s="124" t="s">
        <v>293</v>
      </c>
      <c r="B238" s="124"/>
      <c r="C238" s="124"/>
      <c r="D238" s="124"/>
      <c r="E238" s="124"/>
      <c r="F238" s="124"/>
      <c r="AA238" s="139">
        <f t="shared" si="54"/>
        <v>0</v>
      </c>
    </row>
    <row r="239" spans="1:27" hidden="1">
      <c r="A239" s="124" t="s">
        <v>295</v>
      </c>
      <c r="B239" s="124"/>
      <c r="C239" s="124"/>
      <c r="D239" s="124"/>
      <c r="E239" s="124"/>
      <c r="F239" s="124"/>
      <c r="AA239" s="139">
        <f t="shared" si="54"/>
        <v>0</v>
      </c>
    </row>
    <row r="240" spans="1:27" hidden="1">
      <c r="A240" s="124"/>
      <c r="B240" s="124"/>
      <c r="C240" s="124"/>
      <c r="D240" s="124"/>
      <c r="E240" s="124"/>
      <c r="F240" s="124"/>
      <c r="AA240" s="139">
        <f t="shared" si="54"/>
        <v>0</v>
      </c>
    </row>
    <row r="241" spans="1:27">
      <c r="A241" s="144" t="s">
        <v>296</v>
      </c>
      <c r="B241" s="144"/>
      <c r="C241" s="144"/>
      <c r="D241" s="144"/>
      <c r="E241" s="145">
        <f>E233+E236</f>
        <v>266149.42409999995</v>
      </c>
      <c r="F241" s="145"/>
      <c r="G241" s="178">
        <f>G233+G236</f>
        <v>309640.14889999997</v>
      </c>
      <c r="H241" s="178"/>
      <c r="I241" s="178"/>
      <c r="J241" s="178">
        <f>J233+J236</f>
        <v>419348.1545</v>
      </c>
      <c r="K241" s="178">
        <f>K233+K236</f>
        <v>485350.00019999989</v>
      </c>
      <c r="L241" s="178">
        <f>L233+L236</f>
        <v>547425.49340799998</v>
      </c>
      <c r="M241" s="178">
        <f>L241+(L241*5%)</f>
        <v>574796.76807839994</v>
      </c>
      <c r="AA241" s="139">
        <f t="shared" si="54"/>
        <v>597788.63880153594</v>
      </c>
    </row>
    <row r="242" spans="1:27" ht="13.5" thickBot="1">
      <c r="A242" s="157" t="s">
        <v>331</v>
      </c>
      <c r="B242" s="157"/>
      <c r="C242" s="157"/>
      <c r="D242" s="157"/>
      <c r="E242" s="157"/>
      <c r="F242" s="157"/>
      <c r="G242" s="179">
        <f>G223+G241</f>
        <v>2723430.3489000001</v>
      </c>
      <c r="H242" s="179"/>
      <c r="I242" s="179"/>
      <c r="J242" s="179">
        <f>J241+J223</f>
        <v>3348639.1545000002</v>
      </c>
      <c r="K242" s="179">
        <f>K241+K223</f>
        <v>4098348.0001999997</v>
      </c>
      <c r="L242" s="179">
        <f>L241+L223</f>
        <v>4670651.413408001</v>
      </c>
      <c r="M242" s="179">
        <f>M241+M223</f>
        <v>5261403.7248783996</v>
      </c>
      <c r="AA242" s="180">
        <f t="shared" si="54"/>
        <v>5471859.8738735355</v>
      </c>
    </row>
    <row r="243" spans="1:27" ht="13.5" thickTop="1">
      <c r="A243" s="124"/>
      <c r="B243" s="124"/>
      <c r="C243" s="124"/>
      <c r="D243" s="124"/>
      <c r="E243" s="124"/>
      <c r="F243" s="124"/>
      <c r="AA243" s="139"/>
    </row>
    <row r="244" spans="1:27">
      <c r="A244" s="124" t="s">
        <v>109</v>
      </c>
      <c r="B244" s="130"/>
      <c r="C244" s="130"/>
      <c r="D244" s="130"/>
      <c r="E244" s="181">
        <f>E17/26</f>
        <v>10963.653846153846</v>
      </c>
      <c r="F244" s="181"/>
      <c r="G244" s="181">
        <f>G17/26</f>
        <v>13870.615384615385</v>
      </c>
      <c r="H244" s="181"/>
      <c r="I244" s="181"/>
      <c r="J244" s="181">
        <f>J17/26</f>
        <v>16550.307692307691</v>
      </c>
      <c r="K244" s="181">
        <f>K17/26</f>
        <v>18366.166153846152</v>
      </c>
      <c r="L244" s="181">
        <f>L17/26</f>
        <v>19100.8128</v>
      </c>
      <c r="M244" s="181">
        <f>M17/26</f>
        <v>21016.845311999998</v>
      </c>
      <c r="N244" s="181">
        <f t="shared" ref="N244:AA244" si="95">N17/26</f>
        <v>0</v>
      </c>
      <c r="O244" s="181">
        <f t="shared" si="95"/>
        <v>0</v>
      </c>
      <c r="P244" s="181">
        <f t="shared" si="95"/>
        <v>0</v>
      </c>
      <c r="Q244" s="181">
        <f t="shared" si="95"/>
        <v>0</v>
      </c>
      <c r="R244" s="181">
        <f t="shared" si="95"/>
        <v>0</v>
      </c>
      <c r="S244" s="181">
        <f t="shared" si="95"/>
        <v>0</v>
      </c>
      <c r="T244" s="181">
        <f t="shared" si="95"/>
        <v>0</v>
      </c>
      <c r="U244" s="181">
        <f t="shared" si="95"/>
        <v>0</v>
      </c>
      <c r="V244" s="181">
        <f t="shared" si="95"/>
        <v>0</v>
      </c>
      <c r="W244" s="181">
        <f t="shared" si="95"/>
        <v>0</v>
      </c>
      <c r="X244" s="181">
        <f t="shared" si="95"/>
        <v>0</v>
      </c>
      <c r="Y244" s="181">
        <f t="shared" si="95"/>
        <v>0</v>
      </c>
      <c r="Z244" s="181">
        <f t="shared" si="95"/>
        <v>0</v>
      </c>
      <c r="AA244" s="181">
        <f t="shared" si="95"/>
        <v>21857.519124480004</v>
      </c>
    </row>
    <row r="245" spans="1:27">
      <c r="A245" s="124" t="s">
        <v>110</v>
      </c>
      <c r="B245" s="130"/>
      <c r="C245" s="130"/>
      <c r="D245" s="130"/>
      <c r="E245" s="181">
        <f>(E24+E169)/26</f>
        <v>50586.153846153844</v>
      </c>
      <c r="F245" s="181"/>
      <c r="G245" s="181">
        <f>(G24+G169)/26</f>
        <v>64860.923076923078</v>
      </c>
      <c r="H245" s="181"/>
      <c r="I245" s="181"/>
      <c r="J245" s="181">
        <f t="shared" ref="J245:AA245" si="96">(J24+J169)/26</f>
        <v>77326.230769230766</v>
      </c>
      <c r="K245" s="181">
        <f t="shared" si="96"/>
        <v>99262.947692307673</v>
      </c>
      <c r="L245" s="181">
        <f t="shared" si="96"/>
        <v>115424.23483076924</v>
      </c>
      <c r="M245" s="181">
        <f t="shared" si="96"/>
        <v>130156.58883938463</v>
      </c>
      <c r="N245" s="181">
        <f t="shared" si="96"/>
        <v>3462.7813376000004</v>
      </c>
      <c r="O245" s="181">
        <f t="shared" si="96"/>
        <v>3601.2925911040006</v>
      </c>
      <c r="P245" s="181">
        <f t="shared" si="96"/>
        <v>3745.3442947481603</v>
      </c>
      <c r="Q245" s="181">
        <f t="shared" si="96"/>
        <v>3895.1580665380875</v>
      </c>
      <c r="R245" s="181">
        <f t="shared" si="96"/>
        <v>4050.9643891996102</v>
      </c>
      <c r="S245" s="181">
        <f t="shared" si="96"/>
        <v>4213.0029647675956</v>
      </c>
      <c r="T245" s="181">
        <f t="shared" si="96"/>
        <v>4381.5230833582991</v>
      </c>
      <c r="U245" s="181">
        <f t="shared" si="96"/>
        <v>4556.784006692631</v>
      </c>
      <c r="V245" s="181">
        <f t="shared" si="96"/>
        <v>4739.0553669603378</v>
      </c>
      <c r="W245" s="181">
        <f t="shared" si="96"/>
        <v>4928.6175816387504</v>
      </c>
      <c r="X245" s="181">
        <f t="shared" si="96"/>
        <v>5125.7622849043009</v>
      </c>
      <c r="Y245" s="181">
        <f t="shared" si="96"/>
        <v>5330.7927763004736</v>
      </c>
      <c r="Z245" s="181">
        <f t="shared" si="96"/>
        <v>5544.0244873524925</v>
      </c>
      <c r="AA245" s="181">
        <f t="shared" si="96"/>
        <v>150125.85652220657</v>
      </c>
    </row>
    <row r="246" spans="1:27">
      <c r="A246" s="124" t="s">
        <v>111</v>
      </c>
      <c r="B246" s="130"/>
      <c r="C246" s="130"/>
      <c r="D246" s="130"/>
      <c r="E246" s="182">
        <f>E183/26</f>
        <v>6250</v>
      </c>
      <c r="F246" s="182"/>
      <c r="G246" s="182">
        <f>G183/26</f>
        <v>3061.8076923076924</v>
      </c>
      <c r="H246" s="182"/>
      <c r="I246" s="182"/>
      <c r="J246" s="182">
        <f>J183/26</f>
        <v>2840.2307692307691</v>
      </c>
      <c r="K246" s="182">
        <f>K183/26</f>
        <v>2953.8399999999997</v>
      </c>
      <c r="L246" s="182">
        <f>L183/26</f>
        <v>4033.5320615384617</v>
      </c>
      <c r="M246" s="182">
        <f>M183/26</f>
        <v>5450.2579593846158</v>
      </c>
      <c r="N246" s="182">
        <f t="shared" ref="N246:AA246" si="97">N183/26</f>
        <v>0</v>
      </c>
      <c r="O246" s="182">
        <f t="shared" si="97"/>
        <v>0</v>
      </c>
      <c r="P246" s="182">
        <f t="shared" si="97"/>
        <v>0</v>
      </c>
      <c r="Q246" s="182">
        <f t="shared" si="97"/>
        <v>0</v>
      </c>
      <c r="R246" s="182">
        <f t="shared" si="97"/>
        <v>0</v>
      </c>
      <c r="S246" s="182">
        <f t="shared" si="97"/>
        <v>0</v>
      </c>
      <c r="T246" s="182">
        <f t="shared" si="97"/>
        <v>0</v>
      </c>
      <c r="U246" s="182">
        <f t="shared" si="97"/>
        <v>0</v>
      </c>
      <c r="V246" s="182">
        <f t="shared" si="97"/>
        <v>0</v>
      </c>
      <c r="W246" s="182">
        <f t="shared" si="97"/>
        <v>0</v>
      </c>
      <c r="X246" s="182">
        <f t="shared" si="97"/>
        <v>0</v>
      </c>
      <c r="Y246" s="182">
        <f t="shared" si="97"/>
        <v>0</v>
      </c>
      <c r="Z246" s="182">
        <f t="shared" si="97"/>
        <v>0</v>
      </c>
      <c r="AA246" s="182">
        <f t="shared" si="97"/>
        <v>6923.6528931446164</v>
      </c>
    </row>
    <row r="247" spans="1:27">
      <c r="A247" s="124" t="s">
        <v>112</v>
      </c>
      <c r="B247" s="130"/>
      <c r="C247" s="130"/>
      <c r="D247" s="130"/>
      <c r="E247" s="181">
        <f>(E31+E38+E193+E200+E207+E214)/26</f>
        <v>15534.169230769232</v>
      </c>
      <c r="F247" s="181"/>
      <c r="G247" s="181">
        <f>(G31+G38+G193+G200+G207+G214)/26</f>
        <v>11044.738461538462</v>
      </c>
      <c r="H247" s="181"/>
      <c r="I247" s="181"/>
      <c r="J247" s="181">
        <f t="shared" ref="J247:AA247" si="98">(J31+J38+J193+J200+J207+J214)/26</f>
        <v>15948.26923076923</v>
      </c>
      <c r="K247" s="181">
        <f t="shared" si="98"/>
        <v>18378.507692307692</v>
      </c>
      <c r="L247" s="181">
        <f t="shared" si="98"/>
        <v>20027.032615384614</v>
      </c>
      <c r="M247" s="181">
        <f t="shared" si="98"/>
        <v>23630.421612307695</v>
      </c>
      <c r="N247" s="181">
        <f t="shared" si="98"/>
        <v>9599.8924150153834</v>
      </c>
      <c r="O247" s="181">
        <f t="shared" si="98"/>
        <v>9978.5034962313839</v>
      </c>
      <c r="P247" s="181">
        <f t="shared" si="98"/>
        <v>10372.259020696025</v>
      </c>
      <c r="Q247" s="181">
        <f t="shared" si="98"/>
        <v>10781.764766139249</v>
      </c>
      <c r="R247" s="181">
        <f t="shared" si="98"/>
        <v>11207.650741400206</v>
      </c>
      <c r="S247" s="181">
        <f t="shared" si="98"/>
        <v>11650.572155671598</v>
      </c>
      <c r="T247" s="181">
        <f t="shared" si="98"/>
        <v>12111.210426513844</v>
      </c>
      <c r="U247" s="181">
        <f t="shared" si="98"/>
        <v>12590.274228189783</v>
      </c>
      <c r="V247" s="181">
        <f t="shared" si="98"/>
        <v>13088.50058193276</v>
      </c>
      <c r="W247" s="181">
        <f t="shared" si="98"/>
        <v>13606.655989825453</v>
      </c>
      <c r="X247" s="181">
        <f t="shared" si="98"/>
        <v>14145.537614033858</v>
      </c>
      <c r="Y247" s="181">
        <f t="shared" si="98"/>
        <v>14705.974503210597</v>
      </c>
      <c r="Z247" s="181">
        <f t="shared" si="98"/>
        <v>15288.828867954406</v>
      </c>
      <c r="AA247" s="181">
        <f t="shared" si="98"/>
        <v>34249.974238303344</v>
      </c>
    </row>
    <row r="248" spans="1:27">
      <c r="A248" s="124" t="s">
        <v>113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</row>
    <row r="249" spans="1:27">
      <c r="A249" s="124" t="s">
        <v>114</v>
      </c>
      <c r="B249" s="130"/>
      <c r="C249" s="130"/>
      <c r="D249" s="130"/>
      <c r="E249" s="130">
        <f>E233/26</f>
        <v>2230.6701576923078</v>
      </c>
      <c r="F249" s="130"/>
      <c r="G249" s="130">
        <f>G233/26</f>
        <v>2265.5841884615388</v>
      </c>
      <c r="H249" s="130"/>
      <c r="I249" s="130"/>
      <c r="J249" s="130">
        <f>J233/26</f>
        <v>2780.0444038461542</v>
      </c>
      <c r="K249" s="130">
        <f>K233/26</f>
        <v>3389.7107769230765</v>
      </c>
      <c r="L249" s="130">
        <f>L233/26</f>
        <v>3861.7066695384619</v>
      </c>
      <c r="M249" s="130">
        <f>M233/26</f>
        <v>4397.3367055507688</v>
      </c>
      <c r="N249" s="130">
        <f t="shared" ref="N249:AA249" si="99">N233/26</f>
        <v>849.91546790695384</v>
      </c>
      <c r="O249" s="130">
        <f t="shared" si="99"/>
        <v>883.47324046938581</v>
      </c>
      <c r="P249" s="130">
        <f t="shared" si="99"/>
        <v>918.37332393431518</v>
      </c>
      <c r="Q249" s="130">
        <f t="shared" si="99"/>
        <v>954.66941073784142</v>
      </c>
      <c r="R249" s="130">
        <f t="shared" si="99"/>
        <v>992.41734101350926</v>
      </c>
      <c r="S249" s="130">
        <f t="shared" si="99"/>
        <v>1031.6751885002034</v>
      </c>
      <c r="T249" s="130">
        <f t="shared" si="99"/>
        <v>1072.5033498863652</v>
      </c>
      <c r="U249" s="130">
        <f t="shared" si="99"/>
        <v>1114.9646377279737</v>
      </c>
      <c r="V249" s="130">
        <f t="shared" si="99"/>
        <v>1159.1243770832466</v>
      </c>
      <c r="W249" s="130">
        <f t="shared" si="99"/>
        <v>1205.0505060127302</v>
      </c>
      <c r="X249" s="130">
        <f t="shared" si="99"/>
        <v>1252.8136800993932</v>
      </c>
      <c r="Y249" s="130">
        <f t="shared" si="99"/>
        <v>1302.4873811495227</v>
      </c>
      <c r="Z249" s="130">
        <f t="shared" si="99"/>
        <v>1354.1480302416578</v>
      </c>
      <c r="AA249" s="130">
        <f t="shared" si="99"/>
        <v>5591.1215803940931</v>
      </c>
    </row>
    <row r="250" spans="1:27">
      <c r="A250" s="124" t="s">
        <v>115</v>
      </c>
      <c r="B250" s="130"/>
      <c r="C250" s="130"/>
      <c r="D250" s="130"/>
      <c r="E250" s="130">
        <f>E236/12</f>
        <v>17345.999999999996</v>
      </c>
      <c r="F250" s="130"/>
      <c r="G250" s="130">
        <f>G236/12</f>
        <v>20894.579999999998</v>
      </c>
      <c r="H250" s="130"/>
      <c r="I250" s="130"/>
      <c r="J250" s="130">
        <f>J236/12</f>
        <v>28922.25</v>
      </c>
      <c r="K250" s="130">
        <f>K236/12</f>
        <v>33101.459999999992</v>
      </c>
      <c r="L250" s="130">
        <f>L236/12</f>
        <v>37251.759999999995</v>
      </c>
      <c r="M250" s="130">
        <f>M236/12</f>
        <v>42699.09</v>
      </c>
      <c r="N250" s="130">
        <f t="shared" ref="N250:AA250" si="100">N236/12</f>
        <v>0</v>
      </c>
      <c r="O250" s="130">
        <f t="shared" si="100"/>
        <v>0</v>
      </c>
      <c r="P250" s="130">
        <f t="shared" si="100"/>
        <v>0</v>
      </c>
      <c r="Q250" s="130">
        <f t="shared" si="100"/>
        <v>0</v>
      </c>
      <c r="R250" s="130">
        <f t="shared" si="100"/>
        <v>0</v>
      </c>
      <c r="S250" s="130">
        <f t="shared" si="100"/>
        <v>0</v>
      </c>
      <c r="T250" s="130">
        <f t="shared" si="100"/>
        <v>0</v>
      </c>
      <c r="U250" s="130">
        <f t="shared" si="100"/>
        <v>0</v>
      </c>
      <c r="V250" s="130">
        <f t="shared" si="100"/>
        <v>0</v>
      </c>
      <c r="W250" s="130">
        <f t="shared" si="100"/>
        <v>0</v>
      </c>
      <c r="X250" s="130">
        <f t="shared" si="100"/>
        <v>0</v>
      </c>
      <c r="Y250" s="130">
        <f t="shared" si="100"/>
        <v>0</v>
      </c>
      <c r="Z250" s="130">
        <f t="shared" si="100"/>
        <v>0</v>
      </c>
      <c r="AA250" s="130">
        <f t="shared" si="100"/>
        <v>50116.709999999992</v>
      </c>
    </row>
    <row r="251" spans="1:27">
      <c r="A251" s="124"/>
      <c r="B251" s="124"/>
      <c r="C251" s="124"/>
      <c r="D251" s="124"/>
      <c r="E251" s="130" t="s">
        <v>92</v>
      </c>
      <c r="F251" s="130"/>
      <c r="G251" s="124"/>
      <c r="H251" s="124"/>
      <c r="I251" s="124"/>
      <c r="J251" s="124"/>
      <c r="K251" s="124"/>
    </row>
    <row r="252" spans="1:27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1:27">
      <c r="A253" s="143" t="s">
        <v>299</v>
      </c>
      <c r="B253" s="183"/>
      <c r="C253" s="183"/>
      <c r="D253" s="183"/>
      <c r="E253" s="183">
        <f>(E244+E245+E246+E247+E249)</f>
        <v>85564.647080769224</v>
      </c>
      <c r="F253" s="183"/>
      <c r="G253" s="183">
        <f>G244+G245+G246+G247+G249</f>
        <v>95103.668803846158</v>
      </c>
      <c r="H253" s="183"/>
      <c r="I253" s="183"/>
      <c r="J253" s="183">
        <f>J244+J245+J246+J247+J249</f>
        <v>115445.08286538461</v>
      </c>
      <c r="K253" s="183">
        <f>K244+K245+K246+K247+K249</f>
        <v>142351.17231538458</v>
      </c>
      <c r="L253" s="183">
        <f>L244+L245+L246+L247+L249</f>
        <v>162447.31897723078</v>
      </c>
      <c r="M253" s="183">
        <f>M244+M245+M246+M247+M249</f>
        <v>184651.45042862769</v>
      </c>
      <c r="N253" s="183">
        <f t="shared" ref="N253:AA253" si="101">N244+N245+N246+N247+N249</f>
        <v>13912.589220522339</v>
      </c>
      <c r="O253" s="183">
        <f t="shared" si="101"/>
        <v>14463.26932780477</v>
      </c>
      <c r="P253" s="183">
        <f t="shared" si="101"/>
        <v>15035.976639378499</v>
      </c>
      <c r="Q253" s="183">
        <f t="shared" si="101"/>
        <v>15631.592243415178</v>
      </c>
      <c r="R253" s="183">
        <f t="shared" si="101"/>
        <v>16251.032471613327</v>
      </c>
      <c r="S253" s="183">
        <f t="shared" si="101"/>
        <v>16895.250308939398</v>
      </c>
      <c r="T253" s="183">
        <f t="shared" si="101"/>
        <v>17565.236859758512</v>
      </c>
      <c r="U253" s="183">
        <f t="shared" si="101"/>
        <v>18262.022872610389</v>
      </c>
      <c r="V253" s="183">
        <f t="shared" si="101"/>
        <v>18986.680325976344</v>
      </c>
      <c r="W253" s="183">
        <f t="shared" si="101"/>
        <v>19740.324077476933</v>
      </c>
      <c r="X253" s="183">
        <f t="shared" si="101"/>
        <v>20524.113579037552</v>
      </c>
      <c r="Y253" s="183">
        <f t="shared" si="101"/>
        <v>21339.254660660594</v>
      </c>
      <c r="Z253" s="183">
        <f t="shared" si="101"/>
        <v>22187.001385548556</v>
      </c>
      <c r="AA253" s="183">
        <f t="shared" si="101"/>
        <v>218748.12435852861</v>
      </c>
    </row>
    <row r="254" spans="1:27">
      <c r="A254" s="143" t="s">
        <v>300</v>
      </c>
      <c r="B254" s="143"/>
      <c r="C254" s="143"/>
      <c r="D254" s="143"/>
      <c r="E254" s="143"/>
      <c r="F254" s="143"/>
      <c r="G254" s="168"/>
      <c r="H254" s="168"/>
      <c r="I254" s="168"/>
      <c r="J254" s="168"/>
      <c r="K254" s="168"/>
      <c r="AA254" s="139"/>
    </row>
    <row r="255" spans="1:27">
      <c r="A255" s="124"/>
      <c r="B255" s="124"/>
      <c r="C255" s="124"/>
      <c r="D255" s="124"/>
      <c r="E255" s="124"/>
      <c r="F255" s="124"/>
      <c r="AA255" s="139"/>
    </row>
    <row r="256" spans="1:27">
      <c r="A256" s="124"/>
      <c r="B256" s="124"/>
      <c r="C256" s="184" t="s">
        <v>307</v>
      </c>
      <c r="D256" s="185"/>
      <c r="E256" s="185"/>
      <c r="F256" s="185"/>
      <c r="G256" s="186">
        <f>SUM(G244:G247)*26</f>
        <v>2413790.2000000002</v>
      </c>
      <c r="H256" s="186"/>
      <c r="I256" s="186"/>
      <c r="J256" s="186">
        <f>SUM(J244:J247)*26</f>
        <v>2929291</v>
      </c>
      <c r="K256" s="186">
        <f>SUM(K244:K247)*26</f>
        <v>3612997.9999999991</v>
      </c>
      <c r="L256" s="186">
        <f>SUM(L244:L247)*26</f>
        <v>4123225.9200000004</v>
      </c>
      <c r="M256" s="186">
        <f>SUM(M244:M247)*26</f>
        <v>4686606.9568000007</v>
      </c>
      <c r="N256" s="186">
        <f t="shared" ref="N256:AA256" si="102">SUM(N244:N247)*26</f>
        <v>339629.51756800001</v>
      </c>
      <c r="O256" s="186">
        <f t="shared" si="102"/>
        <v>353074.69827071996</v>
      </c>
      <c r="P256" s="186">
        <f t="shared" si="102"/>
        <v>367057.68620154879</v>
      </c>
      <c r="Q256" s="186">
        <f t="shared" si="102"/>
        <v>381599.99364961078</v>
      </c>
      <c r="R256" s="186">
        <f t="shared" si="102"/>
        <v>396723.99339559523</v>
      </c>
      <c r="S256" s="186">
        <f t="shared" si="102"/>
        <v>412452.95313141902</v>
      </c>
      <c r="T256" s="186">
        <f t="shared" si="102"/>
        <v>428811.07125667576</v>
      </c>
      <c r="U256" s="186">
        <f t="shared" si="102"/>
        <v>445823.51410694275</v>
      </c>
      <c r="V256" s="186">
        <f t="shared" si="102"/>
        <v>463516.4546712205</v>
      </c>
      <c r="W256" s="186">
        <f t="shared" si="102"/>
        <v>481917.1128580693</v>
      </c>
      <c r="X256" s="186">
        <f t="shared" si="102"/>
        <v>501053.79737239215</v>
      </c>
      <c r="Y256" s="186">
        <f t="shared" si="102"/>
        <v>520955.94926728786</v>
      </c>
      <c r="Z256" s="186">
        <f t="shared" si="102"/>
        <v>541654.18723797938</v>
      </c>
      <c r="AA256" s="186">
        <f t="shared" si="102"/>
        <v>5542082.0722314976</v>
      </c>
    </row>
    <row r="257" spans="1:28">
      <c r="A257" s="124"/>
      <c r="B257" s="124"/>
      <c r="C257" s="187" t="s">
        <v>308</v>
      </c>
      <c r="D257" s="188"/>
      <c r="E257" s="188"/>
      <c r="F257" s="188"/>
      <c r="G257" s="189">
        <f>G249*26</f>
        <v>58905.188900000008</v>
      </c>
      <c r="H257" s="189"/>
      <c r="I257" s="189"/>
      <c r="J257" s="189">
        <f>J249*26</f>
        <v>72281.154500000004</v>
      </c>
      <c r="K257" s="189">
        <f>K249*26</f>
        <v>88132.480199999991</v>
      </c>
      <c r="L257" s="189">
        <f>L249*26</f>
        <v>100404.37340800001</v>
      </c>
      <c r="M257" s="189">
        <f>M249*26</f>
        <v>114330.75434431998</v>
      </c>
      <c r="N257" s="189">
        <f t="shared" ref="N257:AA257" si="103">N249*26</f>
        <v>22097.802165580801</v>
      </c>
      <c r="O257" s="189">
        <f t="shared" si="103"/>
        <v>22970.30425220403</v>
      </c>
      <c r="P257" s="189">
        <f t="shared" si="103"/>
        <v>23877.706422292194</v>
      </c>
      <c r="Q257" s="189">
        <f t="shared" si="103"/>
        <v>24821.404679183877</v>
      </c>
      <c r="R257" s="189">
        <f t="shared" si="103"/>
        <v>25802.85086635124</v>
      </c>
      <c r="S257" s="189">
        <f t="shared" si="103"/>
        <v>26823.554901005289</v>
      </c>
      <c r="T257" s="189">
        <f t="shared" si="103"/>
        <v>27885.087097045496</v>
      </c>
      <c r="U257" s="189">
        <f t="shared" si="103"/>
        <v>28989.080580927315</v>
      </c>
      <c r="V257" s="189">
        <f t="shared" si="103"/>
        <v>30137.233804164411</v>
      </c>
      <c r="W257" s="189">
        <f t="shared" si="103"/>
        <v>31331.313156330987</v>
      </c>
      <c r="X257" s="189">
        <f t="shared" si="103"/>
        <v>32573.155682584224</v>
      </c>
      <c r="Y257" s="189">
        <f t="shared" si="103"/>
        <v>33864.671909887591</v>
      </c>
      <c r="Z257" s="189">
        <f t="shared" si="103"/>
        <v>35207.848786283103</v>
      </c>
      <c r="AA257" s="189">
        <f t="shared" si="103"/>
        <v>145369.16109024643</v>
      </c>
    </row>
    <row r="258" spans="1:28">
      <c r="A258" s="124"/>
      <c r="B258" s="124"/>
      <c r="C258" s="190" t="s">
        <v>309</v>
      </c>
      <c r="D258" s="191"/>
      <c r="E258" s="191"/>
      <c r="F258" s="191"/>
      <c r="G258" s="192">
        <f>G250*12</f>
        <v>250734.95999999996</v>
      </c>
      <c r="H258" s="192"/>
      <c r="I258" s="192"/>
      <c r="J258" s="192">
        <f>J250*12</f>
        <v>347067</v>
      </c>
      <c r="K258" s="192">
        <f>K250*12</f>
        <v>397217.5199999999</v>
      </c>
      <c r="L258" s="192">
        <f>L250*12</f>
        <v>447021.11999999994</v>
      </c>
      <c r="M258" s="192">
        <f>M250*12</f>
        <v>512389.07999999996</v>
      </c>
      <c r="N258" s="192">
        <f t="shared" ref="N258:AA258" si="104">N250*12</f>
        <v>0</v>
      </c>
      <c r="O258" s="192">
        <f t="shared" si="104"/>
        <v>0</v>
      </c>
      <c r="P258" s="192">
        <f t="shared" si="104"/>
        <v>0</v>
      </c>
      <c r="Q258" s="192">
        <f t="shared" si="104"/>
        <v>0</v>
      </c>
      <c r="R258" s="192">
        <f t="shared" si="104"/>
        <v>0</v>
      </c>
      <c r="S258" s="192">
        <f t="shared" si="104"/>
        <v>0</v>
      </c>
      <c r="T258" s="192">
        <f t="shared" si="104"/>
        <v>0</v>
      </c>
      <c r="U258" s="192">
        <f t="shared" si="104"/>
        <v>0</v>
      </c>
      <c r="V258" s="192">
        <f t="shared" si="104"/>
        <v>0</v>
      </c>
      <c r="W258" s="192">
        <f t="shared" si="104"/>
        <v>0</v>
      </c>
      <c r="X258" s="192">
        <f t="shared" si="104"/>
        <v>0</v>
      </c>
      <c r="Y258" s="192">
        <f t="shared" si="104"/>
        <v>0</v>
      </c>
      <c r="Z258" s="192">
        <f t="shared" si="104"/>
        <v>0</v>
      </c>
      <c r="AA258" s="192">
        <f t="shared" si="104"/>
        <v>601400.5199999999</v>
      </c>
      <c r="AB258" s="109">
        <f>SUM(AB6:AB257)</f>
        <v>103</v>
      </c>
    </row>
    <row r="259" spans="1:28">
      <c r="A259" s="193" t="s">
        <v>116</v>
      </c>
      <c r="B259" s="124"/>
      <c r="C259" s="188" t="s">
        <v>310</v>
      </c>
      <c r="D259" s="188"/>
      <c r="E259" s="188"/>
      <c r="F259" s="188"/>
      <c r="G259" s="194">
        <f>('Cash Flow 2014'!E36/2)*26</f>
        <v>3107699.7899999996</v>
      </c>
      <c r="H259" s="194"/>
      <c r="I259" s="194"/>
      <c r="J259" s="188"/>
      <c r="AA259" s="139"/>
    </row>
    <row r="260" spans="1:28">
      <c r="A260" s="124" t="s">
        <v>117</v>
      </c>
      <c r="B260" s="124">
        <v>4000</v>
      </c>
      <c r="C260" s="124">
        <v>4000</v>
      </c>
      <c r="D260" s="124" t="s">
        <v>311</v>
      </c>
      <c r="E260" s="124"/>
      <c r="F260" s="124"/>
      <c r="G260" s="195">
        <f>G219+G233+G236</f>
        <v>2723430.3489000001</v>
      </c>
      <c r="H260" s="195"/>
      <c r="I260" s="195"/>
      <c r="AA260" s="139"/>
    </row>
    <row r="261" spans="1:28">
      <c r="A261" s="124" t="s">
        <v>118</v>
      </c>
      <c r="B261" s="124">
        <v>4000</v>
      </c>
      <c r="C261" s="124">
        <v>4000</v>
      </c>
      <c r="D261" s="124"/>
      <c r="E261" s="124"/>
      <c r="F261" s="124"/>
      <c r="AA261" s="139"/>
    </row>
    <row r="262" spans="1:28">
      <c r="A262" s="124" t="s">
        <v>119</v>
      </c>
      <c r="B262" s="124">
        <v>5000</v>
      </c>
      <c r="C262" s="124">
        <v>5000</v>
      </c>
      <c r="D262" s="124"/>
      <c r="E262" s="124"/>
      <c r="F262" s="124"/>
      <c r="AA262" s="139"/>
    </row>
    <row r="263" spans="1:28">
      <c r="A263" s="124" t="s">
        <v>120</v>
      </c>
      <c r="B263" s="124">
        <v>6000</v>
      </c>
      <c r="C263" s="124">
        <v>6000</v>
      </c>
      <c r="D263" s="124"/>
      <c r="E263" s="124"/>
      <c r="F263" s="124"/>
      <c r="AA263" s="139"/>
    </row>
    <row r="264" spans="1:28">
      <c r="A264" s="124" t="s">
        <v>121</v>
      </c>
      <c r="B264" s="124">
        <v>1800</v>
      </c>
      <c r="C264" s="124">
        <v>1800</v>
      </c>
      <c r="D264" s="124"/>
      <c r="E264" s="124"/>
      <c r="F264" s="124"/>
      <c r="AA264" s="139"/>
    </row>
    <row r="265" spans="1:28">
      <c r="A265" s="124"/>
      <c r="B265" s="124"/>
      <c r="C265" s="124"/>
      <c r="D265" s="124"/>
      <c r="E265" s="124"/>
      <c r="F265" s="124"/>
      <c r="AA265" s="139"/>
    </row>
    <row r="266" spans="1:28">
      <c r="A266" s="124" t="s">
        <v>122</v>
      </c>
      <c r="B266" s="124">
        <f>SUM(B260:B264)</f>
        <v>20800</v>
      </c>
      <c r="C266" s="124">
        <f>SUM(C260:C264)</f>
        <v>20800</v>
      </c>
      <c r="D266" s="124"/>
      <c r="E266" s="124"/>
      <c r="F266" s="124"/>
      <c r="AA266" s="139"/>
    </row>
    <row r="267" spans="1:28">
      <c r="A267" s="124"/>
      <c r="B267" s="124"/>
      <c r="C267" s="124"/>
      <c r="D267" s="124"/>
      <c r="E267" s="124"/>
      <c r="F267" s="124"/>
      <c r="AA267" s="139"/>
    </row>
    <row r="268" spans="1:28">
      <c r="G268" s="132"/>
      <c r="AA268" s="139"/>
    </row>
    <row r="269" spans="1:28">
      <c r="G269" s="132"/>
      <c r="AA269" s="139"/>
    </row>
    <row r="270" spans="1:28">
      <c r="G270" s="132"/>
      <c r="AA270" s="139"/>
    </row>
    <row r="271" spans="1:28">
      <c r="G271" s="132"/>
      <c r="AA271" s="139"/>
    </row>
    <row r="272" spans="1:28" s="110" customFormat="1">
      <c r="A272" s="161"/>
      <c r="B272" s="161"/>
      <c r="C272" s="161"/>
      <c r="D272" s="161"/>
      <c r="E272" s="161"/>
      <c r="F272" s="161"/>
      <c r="G272" s="153"/>
      <c r="H272" s="161" t="s">
        <v>344</v>
      </c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39"/>
    </row>
    <row r="273" spans="7:27">
      <c r="G273" s="132"/>
      <c r="AA273" s="139"/>
    </row>
    <row r="274" spans="7:27">
      <c r="G274" s="132"/>
      <c r="AA274" s="139"/>
    </row>
    <row r="275" spans="7:27">
      <c r="G275" s="132"/>
      <c r="H275" s="128" t="s">
        <v>92</v>
      </c>
      <c r="AA275" s="139"/>
    </row>
    <row r="276" spans="7:27">
      <c r="G276" s="132"/>
      <c r="AA276" s="139"/>
    </row>
    <row r="277" spans="7:27">
      <c r="G277" s="132"/>
      <c r="AA277" s="139"/>
    </row>
    <row r="278" spans="7:27">
      <c r="G278" s="132"/>
      <c r="H278" s="128" t="s">
        <v>345</v>
      </c>
      <c r="AA278" s="139"/>
    </row>
    <row r="279" spans="7:27">
      <c r="G279" s="132"/>
      <c r="AA279" s="139"/>
    </row>
    <row r="280" spans="7:27">
      <c r="G280" s="132"/>
      <c r="AA280" s="139"/>
    </row>
    <row r="281" spans="7:27">
      <c r="G281" s="132"/>
      <c r="AA281" s="139"/>
    </row>
    <row r="282" spans="7:27">
      <c r="G282" s="132"/>
      <c r="AA282" s="139"/>
    </row>
    <row r="283" spans="7:27">
      <c r="G283" s="132"/>
      <c r="AA283" s="139"/>
    </row>
    <row r="284" spans="7:27">
      <c r="G284" s="132"/>
      <c r="AA284" s="139"/>
    </row>
    <row r="285" spans="7:27">
      <c r="AA285" s="139"/>
    </row>
    <row r="286" spans="7:27">
      <c r="AA286" s="139"/>
    </row>
    <row r="287" spans="7:27">
      <c r="AA287" s="139"/>
    </row>
    <row r="288" spans="7:27">
      <c r="AA288" s="139"/>
    </row>
    <row r="289" spans="27:27">
      <c r="AA289" s="139"/>
    </row>
    <row r="290" spans="27:27">
      <c r="AA290" s="139"/>
    </row>
    <row r="291" spans="27:27">
      <c r="AA291" s="139"/>
    </row>
  </sheetData>
  <mergeCells count="1">
    <mergeCell ref="G1:J1"/>
  </mergeCells>
  <phoneticPr fontId="12" type="noConversion"/>
  <pageMargins left="0.75" right="0.75" top="0.5" bottom="0.5" header="0.25" footer="0.25"/>
  <pageSetup paperSize="5" scale="99" fitToHeight="2" orientation="landscape" r:id="rId1"/>
  <headerFooter alignWithMargins="0">
    <oddFooter>Page &amp;P of &amp;N</oddFooter>
  </headerFooter>
  <rowBreaks count="5" manualBreakCount="5">
    <brk id="38" max="29" man="1"/>
    <brk id="91" max="29" man="1"/>
    <brk id="131" max="29" man="1"/>
    <brk id="169" max="29" man="1"/>
    <brk id="224" max="29" man="1"/>
  </rowBreaks>
  <ignoredErrors>
    <ignoredError sqref="B169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topLeftCell="F67" workbookViewId="0">
      <selection activeCell="P73" sqref="A71:P73"/>
    </sheetView>
  </sheetViews>
  <sheetFormatPr defaultColWidth="11.42578125" defaultRowHeight="12.75"/>
  <cols>
    <col min="1" max="1" width="8.7109375" customWidth="1"/>
    <col min="2" max="2" width="15.7109375" customWidth="1"/>
    <col min="3" max="14" width="11.42578125" customWidth="1"/>
    <col min="15" max="16" width="15.710937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123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/>
    </row>
    <row r="9" spans="1:16">
      <c r="B9" s="8"/>
    </row>
    <row r="10" spans="1:16">
      <c r="B10" s="8"/>
      <c r="C10" s="50" t="s">
        <v>3</v>
      </c>
      <c r="D10" s="50" t="s">
        <v>4</v>
      </c>
      <c r="E10" s="50" t="s">
        <v>5</v>
      </c>
      <c r="F10" s="50" t="s">
        <v>6</v>
      </c>
      <c r="G10" s="50" t="s">
        <v>7</v>
      </c>
      <c r="H10" s="50" t="s">
        <v>8</v>
      </c>
      <c r="I10" s="50" t="s">
        <v>9</v>
      </c>
      <c r="J10" s="50" t="s">
        <v>10</v>
      </c>
      <c r="K10" s="50" t="s">
        <v>11</v>
      </c>
      <c r="L10" s="50" t="s">
        <v>12</v>
      </c>
      <c r="M10" s="50" t="s">
        <v>13</v>
      </c>
      <c r="N10" s="50" t="s">
        <v>14</v>
      </c>
    </row>
    <row r="11" spans="1:16">
      <c r="B11" s="8"/>
      <c r="C11" s="51" t="s">
        <v>124</v>
      </c>
      <c r="D11" s="51" t="s">
        <v>124</v>
      </c>
      <c r="E11" s="51" t="s">
        <v>124</v>
      </c>
      <c r="F11" s="51" t="s">
        <v>124</v>
      </c>
      <c r="G11" s="51" t="s">
        <v>124</v>
      </c>
      <c r="H11" s="51" t="s">
        <v>124</v>
      </c>
      <c r="I11" s="51" t="s">
        <v>156</v>
      </c>
      <c r="J11" s="51" t="s">
        <v>156</v>
      </c>
      <c r="K11" s="51" t="s">
        <v>156</v>
      </c>
      <c r="L11" s="51" t="s">
        <v>124</v>
      </c>
      <c r="M11" s="51" t="s">
        <v>124</v>
      </c>
      <c r="N11" s="51" t="s">
        <v>124</v>
      </c>
    </row>
    <row r="12" spans="1:16">
      <c r="A12" s="18" t="s">
        <v>95</v>
      </c>
      <c r="B12" s="8"/>
      <c r="C12" s="20">
        <f>'Cash Flow 2009'!N108</f>
        <v>286956.82999999996</v>
      </c>
      <c r="D12" s="20">
        <f t="shared" ref="D12:N12" si="0">C109</f>
        <v>200808.33</v>
      </c>
      <c r="E12" s="20">
        <f t="shared" si="0"/>
        <v>10337.149999999994</v>
      </c>
      <c r="F12" s="20">
        <f t="shared" si="0"/>
        <v>320811.57000000007</v>
      </c>
      <c r="G12" s="20">
        <f t="shared" si="0"/>
        <v>117385.35000000009</v>
      </c>
      <c r="H12" s="20">
        <f t="shared" si="0"/>
        <v>120647.41000000006</v>
      </c>
      <c r="I12" s="20">
        <f t="shared" si="0"/>
        <v>404699.84</v>
      </c>
      <c r="J12" s="20">
        <f t="shared" si="0"/>
        <v>180272.51</v>
      </c>
      <c r="K12" s="20">
        <f t="shared" si="0"/>
        <v>87628.603999999992</v>
      </c>
      <c r="L12" s="20">
        <f t="shared" si="0"/>
        <v>401089.84399999992</v>
      </c>
      <c r="M12" s="20">
        <f t="shared" si="0"/>
        <v>270534.33399999992</v>
      </c>
      <c r="N12" s="20">
        <f t="shared" si="0"/>
        <v>101244.87399999992</v>
      </c>
    </row>
    <row r="13" spans="1:16">
      <c r="A13" s="4" t="s">
        <v>92</v>
      </c>
      <c r="B13" s="8"/>
    </row>
    <row r="14" spans="1:16">
      <c r="B14" s="8"/>
    </row>
    <row r="15" spans="1:16">
      <c r="A15" s="38" t="s">
        <v>143</v>
      </c>
      <c r="B15" s="8"/>
    </row>
    <row r="16" spans="1:16">
      <c r="A16">
        <v>148</v>
      </c>
      <c r="B16" s="9" t="s">
        <v>17</v>
      </c>
      <c r="C16" s="26">
        <v>0</v>
      </c>
      <c r="D16" s="26">
        <v>0</v>
      </c>
      <c r="E16" s="26">
        <v>431605</v>
      </c>
      <c r="F16" s="26">
        <v>0</v>
      </c>
      <c r="G16" s="26">
        <v>0</v>
      </c>
      <c r="H16" s="26">
        <v>416567</v>
      </c>
      <c r="I16" s="26">
        <v>0</v>
      </c>
      <c r="J16" s="26">
        <v>0</v>
      </c>
      <c r="K16" s="26">
        <v>416602</v>
      </c>
      <c r="L16" s="26">
        <v>0</v>
      </c>
      <c r="M16" s="26">
        <v>0</v>
      </c>
      <c r="N16" s="26">
        <v>385511</v>
      </c>
      <c r="O16" s="37">
        <f>SUM(C16:N16)</f>
        <v>1650285</v>
      </c>
      <c r="P16" t="s">
        <v>138</v>
      </c>
    </row>
    <row r="17" spans="1:16">
      <c r="B17" s="9" t="s">
        <v>130</v>
      </c>
      <c r="C17">
        <f>21254.4+65516.63</f>
        <v>86771.03</v>
      </c>
      <c r="D17">
        <v>0</v>
      </c>
      <c r="E17">
        <f>47304.22+23372.5</f>
        <v>70676.72</v>
      </c>
      <c r="F17">
        <v>0</v>
      </c>
      <c r="G17">
        <f>33146.67+24194.38</f>
        <v>57341.05</v>
      </c>
      <c r="H17">
        <f>31325.48</f>
        <v>31325.48</v>
      </c>
      <c r="I17">
        <v>0</v>
      </c>
      <c r="J17">
        <v>35576.959999999999</v>
      </c>
      <c r="K17">
        <v>30343.05</v>
      </c>
      <c r="L17">
        <v>20000</v>
      </c>
      <c r="M17">
        <v>29520.05</v>
      </c>
      <c r="N17">
        <v>26284.48</v>
      </c>
      <c r="O17" s="37">
        <f>299713+'Cash Flow 2009'!P17</f>
        <v>316868.89</v>
      </c>
      <c r="P17" s="53">
        <f>O17-(SUM(D17:N17)+'Cash Flow2011'!C17)</f>
        <v>15801.100000000035</v>
      </c>
    </row>
    <row r="18" spans="1:16">
      <c r="B18" s="9" t="s">
        <v>133</v>
      </c>
      <c r="C18" s="26">
        <v>0</v>
      </c>
      <c r="D18" s="26"/>
      <c r="E18" s="26"/>
      <c r="F18" s="26">
        <v>0</v>
      </c>
      <c r="G18" s="26"/>
      <c r="H18" s="26">
        <f>1488+1661+1479</f>
        <v>4628</v>
      </c>
      <c r="I18" s="26">
        <v>11834</v>
      </c>
      <c r="J18" s="26">
        <v>4840</v>
      </c>
      <c r="K18" s="26">
        <v>17939</v>
      </c>
      <c r="L18" s="26">
        <v>16981</v>
      </c>
      <c r="M18" s="26"/>
      <c r="N18" s="26"/>
      <c r="O18" s="37">
        <f t="shared" ref="O18:O26" si="1">SUM(C18:N18)</f>
        <v>56222</v>
      </c>
    </row>
    <row r="19" spans="1:16">
      <c r="B19" s="9" t="s">
        <v>133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7"/>
    </row>
    <row r="20" spans="1:16">
      <c r="B20" s="9" t="s">
        <v>133</v>
      </c>
      <c r="C20" s="26"/>
      <c r="D20" s="26"/>
      <c r="E20" s="26"/>
      <c r="F20" s="26"/>
      <c r="G20" s="26"/>
      <c r="H20" s="26"/>
      <c r="I20" s="26">
        <v>0</v>
      </c>
      <c r="J20" s="26">
        <v>0</v>
      </c>
      <c r="K20" s="26">
        <v>1700</v>
      </c>
      <c r="L20" s="26"/>
      <c r="M20" s="26"/>
      <c r="N20" s="26"/>
      <c r="O20" s="37">
        <f t="shared" si="1"/>
        <v>1700</v>
      </c>
    </row>
    <row r="21" spans="1:16">
      <c r="B21" s="9" t="s">
        <v>160</v>
      </c>
      <c r="C21" s="26"/>
      <c r="D21" s="26"/>
      <c r="E21" s="26"/>
      <c r="F21" s="26"/>
      <c r="G21" s="26"/>
      <c r="H21" s="26"/>
      <c r="I21" s="26"/>
      <c r="J21" s="26"/>
      <c r="K21" s="26">
        <v>10000</v>
      </c>
      <c r="L21" s="26"/>
      <c r="M21" s="26"/>
      <c r="N21" s="26"/>
      <c r="O21" s="37"/>
    </row>
    <row r="22" spans="1:16">
      <c r="B22" s="9" t="s">
        <v>18</v>
      </c>
      <c r="C22" s="26">
        <v>900</v>
      </c>
      <c r="D22" s="26">
        <v>65.34</v>
      </c>
      <c r="E22" s="26">
        <f>2666.5+3126.65+1260+5390+1392</f>
        <v>13835.15</v>
      </c>
      <c r="F22" s="26">
        <f>2812.95+348.5+345+330</f>
        <v>3836.45</v>
      </c>
      <c r="G22" s="26">
        <f>2018+2185.41+630+330+248+634.34+117</f>
        <v>6162.75</v>
      </c>
      <c r="H22" s="26">
        <f>1017.45+162.8</f>
        <v>1180.25</v>
      </c>
      <c r="I22" s="26">
        <f>1452.55+1142.37+606.5</f>
        <v>3201.42</v>
      </c>
      <c r="J22" s="26">
        <f>25+648.03+1103.65+2379+41+655.3</f>
        <v>4851.9800000000005</v>
      </c>
      <c r="K22" s="26">
        <f>1738+1308.03+943.68</f>
        <v>3989.7099999999996</v>
      </c>
      <c r="L22" s="26">
        <f>1448.4+763.03</f>
        <v>2211.4300000000003</v>
      </c>
      <c r="M22" s="26">
        <f>2392.03+1896</f>
        <v>4288.0300000000007</v>
      </c>
      <c r="N22" s="26">
        <f>1754.34+1147.2-994</f>
        <v>1907.54</v>
      </c>
      <c r="O22" s="37">
        <f>SUM(C22:N22)</f>
        <v>46430.05</v>
      </c>
    </row>
    <row r="23" spans="1:16">
      <c r="B23" s="9" t="s">
        <v>19</v>
      </c>
      <c r="C23" s="26">
        <v>0</v>
      </c>
      <c r="D23" s="26">
        <v>0</v>
      </c>
      <c r="E23" s="26">
        <v>0</v>
      </c>
      <c r="F23" s="26">
        <v>297.07</v>
      </c>
      <c r="G23" s="26">
        <f>517.5+2.96+317.03+2947.8+194+30</f>
        <v>4009.29</v>
      </c>
      <c r="H23" s="26">
        <v>0</v>
      </c>
      <c r="I23" s="26">
        <f>5+90+195+10</f>
        <v>300</v>
      </c>
      <c r="J23" s="26">
        <v>324</v>
      </c>
      <c r="K23" s="26">
        <v>144</v>
      </c>
      <c r="L23" s="26">
        <v>230</v>
      </c>
      <c r="M23" s="26">
        <v>205</v>
      </c>
      <c r="N23" s="26">
        <v>231</v>
      </c>
      <c r="O23" s="37">
        <f t="shared" si="1"/>
        <v>5740.36</v>
      </c>
    </row>
    <row r="24" spans="1:16">
      <c r="B24" s="9" t="s">
        <v>20</v>
      </c>
      <c r="C24" s="26">
        <v>0</v>
      </c>
      <c r="D24" s="26">
        <v>0</v>
      </c>
      <c r="E24" s="26">
        <f>840+1806</f>
        <v>2646</v>
      </c>
      <c r="F24" s="26">
        <f>3557+904.5</f>
        <v>4461.5</v>
      </c>
      <c r="G24" s="26">
        <f>342+192+737</f>
        <v>1271</v>
      </c>
      <c r="H24" s="26">
        <f>1510.03</f>
        <v>1510.03</v>
      </c>
      <c r="I24" s="26">
        <f>1050+2862+2454</f>
        <v>6366</v>
      </c>
      <c r="J24" s="26">
        <v>1414</v>
      </c>
      <c r="K24" s="26">
        <f>1394+1594+220</f>
        <v>3208</v>
      </c>
      <c r="L24" s="26">
        <f>1275+1756-36</f>
        <v>2995</v>
      </c>
      <c r="M24" s="26">
        <f>1292+217</f>
        <v>1509</v>
      </c>
      <c r="N24" s="26">
        <f>1798.5</f>
        <v>1798.5</v>
      </c>
      <c r="O24" s="37">
        <f t="shared" si="1"/>
        <v>27179.03</v>
      </c>
    </row>
    <row r="25" spans="1:16">
      <c r="B25" s="9" t="s">
        <v>154</v>
      </c>
      <c r="C25" s="26">
        <v>210</v>
      </c>
      <c r="D25" s="26">
        <v>1990</v>
      </c>
      <c r="E25" s="54">
        <f>50000+896.04+1234.5</f>
        <v>52130.54</v>
      </c>
      <c r="F25" s="26">
        <v>0</v>
      </c>
      <c r="G25" s="26">
        <v>75000</v>
      </c>
      <c r="H25" s="26">
        <v>32</v>
      </c>
      <c r="I25" s="26">
        <v>0</v>
      </c>
      <c r="J25" s="26">
        <v>20</v>
      </c>
      <c r="K25" s="26">
        <v>175.66</v>
      </c>
      <c r="L25" s="26">
        <v>0</v>
      </c>
      <c r="M25" s="26">
        <v>0</v>
      </c>
      <c r="N25" s="26">
        <f>450+511.91+172.84+175.66</f>
        <v>1310.4100000000001</v>
      </c>
      <c r="O25" s="37">
        <f t="shared" si="1"/>
        <v>130868.61000000002</v>
      </c>
    </row>
    <row r="26" spans="1:16">
      <c r="B26" s="9" t="s">
        <v>150</v>
      </c>
      <c r="C26" s="27">
        <v>0</v>
      </c>
      <c r="D26" s="54">
        <v>0</v>
      </c>
      <c r="E26" s="26">
        <f>60280+100000</f>
        <v>160280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50000</v>
      </c>
      <c r="O26" s="37">
        <f t="shared" si="1"/>
        <v>210280</v>
      </c>
    </row>
    <row r="27" spans="1:16">
      <c r="A27" s="38" t="s">
        <v>96</v>
      </c>
      <c r="B27" s="9"/>
      <c r="C27" s="28">
        <f t="shared" ref="C27:N27" si="2">SUM(C16:C26)</f>
        <v>87881.03</v>
      </c>
      <c r="D27" s="28">
        <f t="shared" si="2"/>
        <v>2055.34</v>
      </c>
      <c r="E27" s="28">
        <f t="shared" si="2"/>
        <v>731173.41</v>
      </c>
      <c r="F27" s="28">
        <f t="shared" si="2"/>
        <v>8595.02</v>
      </c>
      <c r="G27" s="28">
        <f t="shared" si="2"/>
        <v>143784.09</v>
      </c>
      <c r="H27" s="28">
        <f t="shared" si="2"/>
        <v>455242.76</v>
      </c>
      <c r="I27" s="28">
        <f t="shared" si="2"/>
        <v>21701.42</v>
      </c>
      <c r="J27" s="28">
        <f t="shared" si="2"/>
        <v>47026.94</v>
      </c>
      <c r="K27" s="28">
        <f t="shared" si="2"/>
        <v>484101.42</v>
      </c>
      <c r="L27" s="28">
        <f t="shared" si="2"/>
        <v>42417.43</v>
      </c>
      <c r="M27" s="28">
        <f t="shared" si="2"/>
        <v>35522.080000000002</v>
      </c>
      <c r="N27" s="28">
        <f t="shared" si="2"/>
        <v>467042.92999999993</v>
      </c>
    </row>
    <row r="28" spans="1:16">
      <c r="A28" s="38" t="s">
        <v>98</v>
      </c>
      <c r="B28" s="10"/>
      <c r="C28" s="29">
        <f t="shared" ref="C28:N28" si="3">C27+C12</f>
        <v>374837.86</v>
      </c>
      <c r="D28" s="29">
        <f t="shared" si="3"/>
        <v>202863.66999999998</v>
      </c>
      <c r="E28" s="29">
        <f t="shared" si="3"/>
        <v>741510.56</v>
      </c>
      <c r="F28" s="29">
        <f t="shared" si="3"/>
        <v>329406.59000000008</v>
      </c>
      <c r="G28" s="29">
        <f t="shared" si="3"/>
        <v>261169.44000000009</v>
      </c>
      <c r="H28" s="29">
        <f t="shared" si="3"/>
        <v>575890.17000000004</v>
      </c>
      <c r="I28" s="29">
        <f t="shared" si="3"/>
        <v>426401.26</v>
      </c>
      <c r="J28" s="29">
        <f t="shared" si="3"/>
        <v>227299.45</v>
      </c>
      <c r="K28" s="29">
        <f t="shared" si="3"/>
        <v>571730.02399999998</v>
      </c>
      <c r="L28" s="29">
        <f t="shared" si="3"/>
        <v>443507.27399999992</v>
      </c>
      <c r="M28" s="29">
        <f t="shared" si="3"/>
        <v>306056.41399999993</v>
      </c>
      <c r="N28" s="29">
        <f t="shared" si="3"/>
        <v>568287.80399999989</v>
      </c>
    </row>
    <row r="29" spans="1:16">
      <c r="B29" s="8"/>
    </row>
    <row r="30" spans="1:16">
      <c r="A30" s="4" t="s">
        <v>99</v>
      </c>
      <c r="B30" s="8"/>
    </row>
    <row r="31" spans="1:16">
      <c r="A31" s="19" t="s">
        <v>92</v>
      </c>
      <c r="B31" s="8" t="s">
        <v>92</v>
      </c>
    </row>
    <row r="32" spans="1:16">
      <c r="B32" s="9" t="s">
        <v>22</v>
      </c>
      <c r="C32" s="5">
        <v>0</v>
      </c>
      <c r="D32" s="5">
        <v>0</v>
      </c>
      <c r="E32" s="5">
        <f>50923/26*2</f>
        <v>3917.1538461538462</v>
      </c>
      <c r="F32" s="5">
        <f>E32/2*3</f>
        <v>5875.7307692307695</v>
      </c>
      <c r="G32" s="5">
        <f>50923/26*2</f>
        <v>3917.1538461538462</v>
      </c>
      <c r="H32" s="5">
        <f>50923/26*2</f>
        <v>3917.1538461538462</v>
      </c>
      <c r="I32" s="5">
        <f>50923/26*2</f>
        <v>3917.1538461538462</v>
      </c>
      <c r="J32" s="5">
        <f>50923/26*2</f>
        <v>3917.1538461538462</v>
      </c>
      <c r="K32" s="5">
        <f>J32/2*3</f>
        <v>5875.7307692307695</v>
      </c>
      <c r="L32" s="5">
        <f>50923/26*2</f>
        <v>3917.1538461538462</v>
      </c>
      <c r="M32" s="5">
        <f>50923/26*2</f>
        <v>3917.1538461538462</v>
      </c>
      <c r="N32" s="5">
        <f>50923/26*2</f>
        <v>3917.1538461538462</v>
      </c>
      <c r="O32" s="37">
        <f>SUM(C32:N32)</f>
        <v>43088.692307692305</v>
      </c>
    </row>
    <row r="33" spans="2:16">
      <c r="B33" s="9" t="s">
        <v>145</v>
      </c>
      <c r="C33" s="5">
        <v>0</v>
      </c>
      <c r="D33" s="5">
        <v>0</v>
      </c>
      <c r="E33" s="5">
        <v>3384.62</v>
      </c>
      <c r="F33" s="5">
        <f>E33/2*3</f>
        <v>5076.93</v>
      </c>
      <c r="G33" s="5">
        <v>3384.62</v>
      </c>
      <c r="H33" s="5">
        <v>3384.62</v>
      </c>
      <c r="I33" s="5">
        <v>3384.62</v>
      </c>
      <c r="J33" s="5">
        <v>3384.62</v>
      </c>
      <c r="K33" s="5">
        <f>J33/2*3</f>
        <v>5076.93</v>
      </c>
      <c r="L33" s="5">
        <v>3384.62</v>
      </c>
      <c r="M33" s="5">
        <v>3384.62</v>
      </c>
      <c r="N33" s="5">
        <v>3384.62</v>
      </c>
      <c r="O33" s="37">
        <f>SUM(C33:N33)</f>
        <v>37230.82</v>
      </c>
    </row>
    <row r="34" spans="2:16">
      <c r="B34" s="9" t="s">
        <v>126</v>
      </c>
      <c r="C34" s="5">
        <v>0</v>
      </c>
      <c r="D34" s="5">
        <v>0</v>
      </c>
      <c r="E34" s="5">
        <f>35000/26*2</f>
        <v>2692.3076923076924</v>
      </c>
      <c r="F34" s="5">
        <f>E34/2*3</f>
        <v>4038.4615384615386</v>
      </c>
      <c r="G34" s="5">
        <f>35000/26*2</f>
        <v>2692.3076923076924</v>
      </c>
      <c r="H34" s="5">
        <f>35000/26*2</f>
        <v>2692.3076923076924</v>
      </c>
      <c r="I34" s="5">
        <f>35000/26*2</f>
        <v>2692.3076923076924</v>
      </c>
      <c r="J34" s="5">
        <f>35000/26*2</f>
        <v>2692.3076923076924</v>
      </c>
      <c r="K34" s="5">
        <f>J34/2*3</f>
        <v>4038.4615384615386</v>
      </c>
      <c r="L34" s="5">
        <f>35000/26*2</f>
        <v>2692.3076923076924</v>
      </c>
      <c r="M34" s="5">
        <f>35000/26*2</f>
        <v>2692.3076923076924</v>
      </c>
      <c r="N34" s="5">
        <f>35000/26*2</f>
        <v>2692.3076923076924</v>
      </c>
      <c r="O34" s="37">
        <f t="shared" ref="O34:O100" si="4">SUM(C34:N34)</f>
        <v>29615.38461538461</v>
      </c>
    </row>
    <row r="35" spans="2:16">
      <c r="B35" s="9" t="s">
        <v>24</v>
      </c>
      <c r="C35" s="5">
        <v>0</v>
      </c>
      <c r="D35" s="5">
        <v>0</v>
      </c>
      <c r="E35" s="5">
        <f>37500/26*2</f>
        <v>2884.6153846153848</v>
      </c>
      <c r="F35" s="5">
        <f t="shared" ref="F35:F41" si="5">E35/2*3</f>
        <v>4326.9230769230771</v>
      </c>
      <c r="G35" s="5">
        <f>37500/26*2</f>
        <v>2884.6153846153848</v>
      </c>
      <c r="H35" s="5">
        <f>37500/26*2</f>
        <v>2884.6153846153848</v>
      </c>
      <c r="I35" s="5">
        <f>37500/26*2</f>
        <v>2884.6153846153848</v>
      </c>
      <c r="J35" s="5">
        <f>37500/26*2</f>
        <v>2884.6153846153848</v>
      </c>
      <c r="K35" s="5">
        <f>J35/2*3</f>
        <v>4326.9230769230771</v>
      </c>
      <c r="L35" s="5">
        <f>37500/26*2</f>
        <v>2884.6153846153848</v>
      </c>
      <c r="M35" s="5">
        <f>37500/26*2</f>
        <v>2884.6153846153848</v>
      </c>
      <c r="N35" s="5">
        <f>37500/26*2</f>
        <v>2884.6153846153848</v>
      </c>
      <c r="O35" s="37">
        <f t="shared" si="4"/>
        <v>31730.769230769227</v>
      </c>
    </row>
    <row r="36" spans="2:16" hidden="1">
      <c r="B36" s="9" t="s">
        <v>25</v>
      </c>
      <c r="C36" s="5">
        <v>0</v>
      </c>
      <c r="D36" s="5">
        <v>0</v>
      </c>
      <c r="E36" s="5">
        <v>0</v>
      </c>
      <c r="F36" s="5">
        <f t="shared" si="5"/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37">
        <f t="shared" si="4"/>
        <v>0</v>
      </c>
    </row>
    <row r="37" spans="2:16" hidden="1">
      <c r="B37" s="9" t="s">
        <v>26</v>
      </c>
      <c r="C37" s="5">
        <v>0</v>
      </c>
      <c r="D37" s="5">
        <v>0</v>
      </c>
      <c r="E37" s="26">
        <v>0</v>
      </c>
      <c r="F37" s="5">
        <f t="shared" si="5"/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37">
        <f t="shared" si="4"/>
        <v>0</v>
      </c>
    </row>
    <row r="38" spans="2:16">
      <c r="B38" s="9" t="s">
        <v>27</v>
      </c>
      <c r="C38" s="5">
        <v>0</v>
      </c>
      <c r="D38" s="5">
        <v>0</v>
      </c>
      <c r="E38" s="5">
        <f>680560/26*2</f>
        <v>52350.769230769234</v>
      </c>
      <c r="F38" s="5">
        <f t="shared" si="5"/>
        <v>78526.153846153844</v>
      </c>
      <c r="G38" s="5">
        <f>680560/26*2</f>
        <v>52350.769230769234</v>
      </c>
      <c r="H38" s="5">
        <f>680560/26*2</f>
        <v>52350.769230769234</v>
      </c>
      <c r="I38" s="5">
        <f>680560/26*2</f>
        <v>52350.769230769234</v>
      </c>
      <c r="J38" s="5">
        <f>680560/26*2</f>
        <v>52350.769230769234</v>
      </c>
      <c r="K38" s="5">
        <f>J38/2*3</f>
        <v>78526.153846153844</v>
      </c>
      <c r="L38" s="5">
        <f>680560/26*2</f>
        <v>52350.769230769234</v>
      </c>
      <c r="M38" s="5">
        <f>680560/26*2</f>
        <v>52350.769230769234</v>
      </c>
      <c r="N38" s="5">
        <f>M38</f>
        <v>52350.769230769234</v>
      </c>
      <c r="O38" s="37">
        <f t="shared" si="4"/>
        <v>575858.46153846162</v>
      </c>
    </row>
    <row r="39" spans="2:16">
      <c r="B39" s="9" t="s">
        <v>31</v>
      </c>
      <c r="C39" s="5">
        <v>0</v>
      </c>
      <c r="D39" s="5">
        <v>0</v>
      </c>
      <c r="E39" s="5">
        <f>55800/26*2</f>
        <v>4292.3076923076924</v>
      </c>
      <c r="F39" s="5">
        <f>E39/2*3</f>
        <v>6438.461538461539</v>
      </c>
      <c r="G39" s="5">
        <f>55800/26*2</f>
        <v>4292.3076923076924</v>
      </c>
      <c r="H39" s="5">
        <f>55800/26*2</f>
        <v>4292.3076923076924</v>
      </c>
      <c r="I39" s="5">
        <f>55800/26*2</f>
        <v>4292.3076923076924</v>
      </c>
      <c r="J39" s="5">
        <f>55800/26*2</f>
        <v>4292.3076923076924</v>
      </c>
      <c r="K39" s="5">
        <f>J39/2*3</f>
        <v>6438.461538461539</v>
      </c>
      <c r="L39" s="5">
        <f>55800/26*2</f>
        <v>4292.3076923076924</v>
      </c>
      <c r="M39" s="5">
        <f>55800/26*2</f>
        <v>4292.3076923076924</v>
      </c>
      <c r="N39" s="5">
        <f>55800/26*2</f>
        <v>4292.3076923076924</v>
      </c>
      <c r="O39" s="37">
        <f>SUM(C39:N39)</f>
        <v>47215.384615384617</v>
      </c>
    </row>
    <row r="40" spans="2:16">
      <c r="B40" s="9" t="s">
        <v>28</v>
      </c>
      <c r="C40" s="5">
        <v>0</v>
      </c>
      <c r="D40" s="5">
        <v>0</v>
      </c>
      <c r="E40" s="5">
        <f>28500/26*2</f>
        <v>2192.3076923076924</v>
      </c>
      <c r="F40" s="5">
        <f t="shared" si="5"/>
        <v>3288.4615384615386</v>
      </c>
      <c r="G40" s="5">
        <f>28500/26*2</f>
        <v>2192.3076923076924</v>
      </c>
      <c r="H40" s="5">
        <f>28500/26*2</f>
        <v>2192.3076923076924</v>
      </c>
      <c r="I40" s="5">
        <f>28500/26*2</f>
        <v>2192.3076923076924</v>
      </c>
      <c r="J40" s="5">
        <f>28500/26*2</f>
        <v>2192.3076923076924</v>
      </c>
      <c r="K40" s="5">
        <f>J40/2*3</f>
        <v>3288.4615384615386</v>
      </c>
      <c r="L40" s="5">
        <f>28500/26*2</f>
        <v>2192.3076923076924</v>
      </c>
      <c r="M40" s="5">
        <f>28500/26*2</f>
        <v>2192.3076923076924</v>
      </c>
      <c r="N40" s="5">
        <f>28500/26*2</f>
        <v>2192.3076923076924</v>
      </c>
      <c r="O40" s="37">
        <f t="shared" si="4"/>
        <v>24115.384615384613</v>
      </c>
    </row>
    <row r="41" spans="2:16">
      <c r="B41" s="9" t="s">
        <v>29</v>
      </c>
      <c r="C41" s="5">
        <v>0</v>
      </c>
      <c r="D41" s="5">
        <v>0</v>
      </c>
      <c r="E41" s="5">
        <f>31623/26*2</f>
        <v>2432.5384615384614</v>
      </c>
      <c r="F41" s="5">
        <f t="shared" si="5"/>
        <v>3648.8076923076924</v>
      </c>
      <c r="G41" s="5">
        <f>31623/26*2</f>
        <v>2432.5384615384614</v>
      </c>
      <c r="H41" s="5">
        <f>31623/26*2</f>
        <v>2432.5384615384614</v>
      </c>
      <c r="I41" s="5">
        <f>31623/26*2</f>
        <v>2432.5384615384614</v>
      </c>
      <c r="J41" s="5">
        <f>31623/26*2</f>
        <v>2432.5384615384614</v>
      </c>
      <c r="K41" s="5">
        <f>J41/2*3</f>
        <v>3648.8076923076924</v>
      </c>
      <c r="L41" s="5">
        <f>31623/26*2</f>
        <v>2432.5384615384614</v>
      </c>
      <c r="M41" s="5">
        <f>31623/26*2</f>
        <v>2432.5384615384614</v>
      </c>
      <c r="N41" s="5">
        <f>31623/26*2</f>
        <v>2432.5384615384614</v>
      </c>
      <c r="O41" s="37">
        <f t="shared" si="4"/>
        <v>26757.923076923074</v>
      </c>
    </row>
    <row r="42" spans="2:16">
      <c r="B42" s="9" t="s">
        <v>30</v>
      </c>
      <c r="C42" s="5">
        <v>0</v>
      </c>
      <c r="D42" s="5">
        <v>0</v>
      </c>
      <c r="E42" s="5">
        <v>1500</v>
      </c>
      <c r="F42" s="5">
        <v>1500</v>
      </c>
      <c r="G42" s="5">
        <v>1500</v>
      </c>
      <c r="H42" s="5">
        <v>1500</v>
      </c>
      <c r="I42" s="5">
        <v>1500</v>
      </c>
      <c r="J42" s="5">
        <v>1500</v>
      </c>
      <c r="K42" s="5">
        <v>1500</v>
      </c>
      <c r="L42" s="5">
        <v>1500</v>
      </c>
      <c r="M42" s="5">
        <v>1500</v>
      </c>
      <c r="N42" s="5">
        <v>1500</v>
      </c>
      <c r="O42" s="37">
        <f t="shared" si="4"/>
        <v>15000</v>
      </c>
    </row>
    <row r="43" spans="2:16">
      <c r="B43" s="9" t="s">
        <v>32</v>
      </c>
      <c r="C43" s="5">
        <v>0</v>
      </c>
      <c r="D43" s="5">
        <v>0</v>
      </c>
      <c r="E43" s="5">
        <f t="shared" ref="E43:N43" si="6">(E32+E33+E38)*0.0145+(E35+E40+E41+E42+E39)*0.0765+SUM(E32:E42)*0.01</f>
        <v>2639.0134207692308</v>
      </c>
      <c r="F43" s="5">
        <f t="shared" si="6"/>
        <v>3893.6451311538467</v>
      </c>
      <c r="G43" s="5">
        <f t="shared" si="6"/>
        <v>2639.0134207692308</v>
      </c>
      <c r="H43" s="5">
        <f t="shared" si="6"/>
        <v>2639.0134207692308</v>
      </c>
      <c r="I43" s="5">
        <f t="shared" si="6"/>
        <v>2639.0134207692308</v>
      </c>
      <c r="J43" s="5">
        <f t="shared" si="6"/>
        <v>2639.0134207692308</v>
      </c>
      <c r="K43" s="5">
        <f t="shared" si="6"/>
        <v>3893.6451311538467</v>
      </c>
      <c r="L43" s="5">
        <f t="shared" si="6"/>
        <v>2639.0134207692308</v>
      </c>
      <c r="M43" s="5">
        <f t="shared" si="6"/>
        <v>2639.0134207692308</v>
      </c>
      <c r="N43" s="5">
        <f t="shared" si="6"/>
        <v>2639.0134207692308</v>
      </c>
      <c r="O43" s="37">
        <f t="shared" si="4"/>
        <v>28899.397628461546</v>
      </c>
    </row>
    <row r="44" spans="2:16">
      <c r="B44" s="9" t="s">
        <v>33</v>
      </c>
      <c r="C44" s="5">
        <v>0</v>
      </c>
      <c r="D44" s="5">
        <v>0</v>
      </c>
      <c r="E44" s="26">
        <v>350</v>
      </c>
      <c r="F44" s="26">
        <v>350</v>
      </c>
      <c r="G44" s="26">
        <v>350</v>
      </c>
      <c r="H44" s="26">
        <v>350</v>
      </c>
      <c r="I44" s="26">
        <v>350</v>
      </c>
      <c r="J44" s="26">
        <v>350</v>
      </c>
      <c r="K44" s="26">
        <v>350</v>
      </c>
      <c r="L44" s="26">
        <v>0</v>
      </c>
      <c r="M44" s="26">
        <v>0</v>
      </c>
      <c r="N44" s="26">
        <v>0</v>
      </c>
      <c r="O44" s="37">
        <f t="shared" si="4"/>
        <v>2450</v>
      </c>
    </row>
    <row r="45" spans="2:16">
      <c r="B45" s="9" t="s">
        <v>34</v>
      </c>
      <c r="C45" s="5">
        <v>0</v>
      </c>
      <c r="D45" s="5">
        <v>0</v>
      </c>
      <c r="E45" s="5">
        <f t="shared" ref="E45:N45" si="7">143000*11%/12</f>
        <v>1310.8333333333333</v>
      </c>
      <c r="F45" s="5">
        <f t="shared" si="7"/>
        <v>1310.8333333333333</v>
      </c>
      <c r="G45" s="5">
        <f t="shared" si="7"/>
        <v>1310.8333333333333</v>
      </c>
      <c r="H45" s="5">
        <f t="shared" si="7"/>
        <v>1310.8333333333333</v>
      </c>
      <c r="I45" s="5">
        <f t="shared" si="7"/>
        <v>1310.8333333333333</v>
      </c>
      <c r="J45" s="5">
        <f t="shared" si="7"/>
        <v>1310.8333333333333</v>
      </c>
      <c r="K45" s="5">
        <f t="shared" si="7"/>
        <v>1310.8333333333333</v>
      </c>
      <c r="L45" s="5">
        <f t="shared" si="7"/>
        <v>1310.8333333333333</v>
      </c>
      <c r="M45" s="5">
        <f t="shared" si="7"/>
        <v>1310.8333333333333</v>
      </c>
      <c r="N45" s="5">
        <f t="shared" si="7"/>
        <v>1310.8333333333333</v>
      </c>
      <c r="O45" s="37">
        <f t="shared" si="4"/>
        <v>13108.333333333334</v>
      </c>
    </row>
    <row r="46" spans="2:16">
      <c r="B46" s="9" t="s">
        <v>35</v>
      </c>
      <c r="C46" s="32">
        <v>0</v>
      </c>
      <c r="D46" s="32">
        <v>0</v>
      </c>
      <c r="E46" s="32">
        <f t="shared" ref="E46:N46" si="8">95760/12</f>
        <v>7980</v>
      </c>
      <c r="F46" s="32">
        <f t="shared" si="8"/>
        <v>7980</v>
      </c>
      <c r="G46" s="32">
        <f t="shared" si="8"/>
        <v>7980</v>
      </c>
      <c r="H46" s="32">
        <f t="shared" si="8"/>
        <v>7980</v>
      </c>
      <c r="I46" s="32">
        <f t="shared" si="8"/>
        <v>7980</v>
      </c>
      <c r="J46" s="32">
        <f t="shared" si="8"/>
        <v>7980</v>
      </c>
      <c r="K46" s="32">
        <f t="shared" si="8"/>
        <v>7980</v>
      </c>
      <c r="L46" s="32">
        <f t="shared" si="8"/>
        <v>7980</v>
      </c>
      <c r="M46" s="32">
        <f t="shared" si="8"/>
        <v>7980</v>
      </c>
      <c r="N46" s="32">
        <f t="shared" si="8"/>
        <v>7980</v>
      </c>
      <c r="O46" s="37">
        <f t="shared" si="4"/>
        <v>79800</v>
      </c>
    </row>
    <row r="47" spans="2:16">
      <c r="B47" s="9" t="s">
        <v>144</v>
      </c>
      <c r="C47" s="45">
        <f>10065.59+47412.06+183.9+4441.07</f>
        <v>62102.619999999995</v>
      </c>
      <c r="D47" s="45">
        <f>5032.86+84.65+15150.69+8857.44+2972.48+53.55+14271.57+4764+5519.28</f>
        <v>56706.52</v>
      </c>
      <c r="E47" s="45">
        <f>33572.63+35442.42+5224.08+4350+494+10169+519</f>
        <v>89771.12999999999</v>
      </c>
      <c r="F47" s="45">
        <f>6309.31+70.9+25332.87+2684.82+6895.43+494+6560.39+86.95+26245.51+2807.7+8984.46</f>
        <v>86472.34</v>
      </c>
      <c r="G47" s="45">
        <f>6765.16+74.1+27031.14+2725.14+6240.18+83.85+25957.41+2137.83+10351.88+6743.12+494</f>
        <v>88603.81</v>
      </c>
      <c r="H47" s="45">
        <f>6764.54+78.05+27379.18+2326.95+6656.11+75.95+26901.84+2505.46+6446.26+91+26667.47+2191.17+8164+3376.56+3371.56+3371.56+494</f>
        <v>126861.65999999999</v>
      </c>
      <c r="I47" s="45">
        <f>6568.63+75.8+25976.08+2863.3+3371.56+381+494+3371.56+8164+6500.41+85.7+25640.77+2539.64</f>
        <v>86032.45</v>
      </c>
      <c r="J47" s="45">
        <f>6521.14+286.45+25527.25+2719.38+5993.83+88.05+24919.97+1461.23+3354.79+4740.39+494+3203.81</f>
        <v>79310.289999999994</v>
      </c>
      <c r="K47" s="45">
        <f>85746.4</f>
        <v>85746.4</v>
      </c>
      <c r="L47" s="45">
        <f>6983.84+153.15+27659.64+2101.46+6741.92+89.15+27012.67+1890.35+7536+494+6407.62</f>
        <v>87069.799999999988</v>
      </c>
      <c r="M47" s="45">
        <f>78101.29+7078</f>
        <v>85179.29</v>
      </c>
      <c r="N47" s="45">
        <f>175.66+6878.16+78.15+28007.9+1859.53+29.7+6719.28+6691.69+93.5+27874.75+1671.93+7536</f>
        <v>87616.25</v>
      </c>
      <c r="O47" s="37"/>
      <c r="P47" s="42" t="s">
        <v>92</v>
      </c>
    </row>
    <row r="48" spans="2:16"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37"/>
    </row>
    <row r="49" spans="1:16">
      <c r="B49" s="9" t="s">
        <v>36</v>
      </c>
      <c r="C49" s="5">
        <v>0</v>
      </c>
      <c r="D49" s="5">
        <v>0</v>
      </c>
      <c r="E49" s="26">
        <v>75350</v>
      </c>
      <c r="F49" s="26">
        <f>10626.12+4169.21</f>
        <v>14795.330000000002</v>
      </c>
      <c r="G49" s="26">
        <v>0</v>
      </c>
      <c r="H49" s="26">
        <f>282+213.4</f>
        <v>495.4</v>
      </c>
      <c r="I49" s="26">
        <v>207</v>
      </c>
      <c r="J49" s="26">
        <v>0</v>
      </c>
      <c r="K49" s="26">
        <v>207</v>
      </c>
      <c r="L49" s="26">
        <f>213.4+207</f>
        <v>420.4</v>
      </c>
      <c r="M49" s="26">
        <v>207</v>
      </c>
      <c r="N49" s="26">
        <v>207</v>
      </c>
      <c r="O49" s="37">
        <f t="shared" si="4"/>
        <v>91889.12999999999</v>
      </c>
    </row>
    <row r="50" spans="1:16">
      <c r="A50" s="43" t="s">
        <v>92</v>
      </c>
      <c r="B50" s="9" t="s">
        <v>174</v>
      </c>
      <c r="C50" s="5">
        <v>0</v>
      </c>
      <c r="D50" s="5">
        <v>0</v>
      </c>
      <c r="E50" s="26">
        <v>300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37">
        <f t="shared" si="4"/>
        <v>300</v>
      </c>
    </row>
    <row r="51" spans="1:16">
      <c r="B51" s="41" t="s">
        <v>38</v>
      </c>
      <c r="C51" s="5">
        <f>230</f>
        <v>230</v>
      </c>
      <c r="D51" s="5">
        <v>230</v>
      </c>
      <c r="E51" s="5">
        <f>650+723.6+434+88.83+2050+219.75+94.29+225</f>
        <v>4485.47</v>
      </c>
      <c r="F51" s="5">
        <f>147.88+258+230+746.56+717.78</f>
        <v>2100.2200000000003</v>
      </c>
      <c r="G51" s="5">
        <f>172.83+1205.11+230+2813.06+5162.91+1075+91.02-1004.5</f>
        <v>9745.43</v>
      </c>
      <c r="H51" s="5">
        <f>230+90+41.97+349.33</f>
        <v>711.3</v>
      </c>
      <c r="I51" s="5">
        <f>98.21+80+172.61+230+519.05</f>
        <v>1099.8699999999999</v>
      </c>
      <c r="J51" s="5">
        <f>168+230+505.35</f>
        <v>903.35</v>
      </c>
      <c r="K51" s="5">
        <f>230+350+130.38+538.92</f>
        <v>1249.3</v>
      </c>
      <c r="L51" s="5">
        <f>550+1950+351+1060</f>
        <v>3911</v>
      </c>
      <c r="M51" s="5">
        <f>230+172.04</f>
        <v>402.03999999999996</v>
      </c>
      <c r="N51" s="5">
        <f>230+113+450+150</f>
        <v>943</v>
      </c>
      <c r="O51" s="37">
        <f t="shared" si="4"/>
        <v>26010.98</v>
      </c>
    </row>
    <row r="52" spans="1:16">
      <c r="B52" s="9" t="s">
        <v>175</v>
      </c>
      <c r="C52" s="5">
        <f>50000+10562.5</f>
        <v>60562.5</v>
      </c>
      <c r="D52" s="5">
        <f>103698.2+3000+5597</f>
        <v>112295.2</v>
      </c>
      <c r="E52" s="26">
        <f>100000+2500+1700</f>
        <v>104200</v>
      </c>
      <c r="F52" s="26">
        <f>12833.45+5839+40137.35-2179.55</f>
        <v>56630.25</v>
      </c>
      <c r="G52" s="26">
        <v>0</v>
      </c>
      <c r="H52" s="26">
        <v>0</v>
      </c>
      <c r="I52" s="26">
        <v>0</v>
      </c>
      <c r="J52" s="26">
        <v>4097</v>
      </c>
      <c r="K52" s="26">
        <v>21751</v>
      </c>
      <c r="L52" s="26">
        <v>4999</v>
      </c>
      <c r="M52" s="26">
        <f>5841.95+7546.25</f>
        <v>13388.2</v>
      </c>
      <c r="N52" s="26">
        <v>2000</v>
      </c>
      <c r="O52" s="37">
        <f t="shared" si="4"/>
        <v>379923.15</v>
      </c>
    </row>
    <row r="53" spans="1:16">
      <c r="B53" s="9" t="s">
        <v>39</v>
      </c>
      <c r="C53" s="5">
        <f>75.35+1251.6</f>
        <v>1326.9499999999998</v>
      </c>
      <c r="D53" s="5">
        <f>947.84+845.81</f>
        <v>1793.65</v>
      </c>
      <c r="E53" s="5">
        <v>1692.88</v>
      </c>
      <c r="F53" s="5">
        <f>0.63+1311.3</f>
        <v>1311.93</v>
      </c>
      <c r="G53" s="5">
        <f>1027.51+158.32</f>
        <v>1185.83</v>
      </c>
      <c r="H53" s="5">
        <f>422.51+1098.31</f>
        <v>1520.82</v>
      </c>
      <c r="I53" s="5">
        <f>150+1241.73+1735.1</f>
        <v>3126.83</v>
      </c>
      <c r="J53" s="5">
        <f>1304.556+1855.73+753.61+66</f>
        <v>3979.8960000000002</v>
      </c>
      <c r="K53" s="5">
        <f>1192.08+2014.72</f>
        <v>3206.8</v>
      </c>
      <c r="L53" s="5">
        <f>1189.03+230+1295.55</f>
        <v>2714.58</v>
      </c>
      <c r="M53" s="5">
        <f>268.11+1347.26</f>
        <v>1615.37</v>
      </c>
      <c r="N53" s="5">
        <f>1833.52+87.71</f>
        <v>1921.23</v>
      </c>
      <c r="O53" s="37">
        <f t="shared" si="4"/>
        <v>25396.765999999996</v>
      </c>
    </row>
    <row r="54" spans="1:16">
      <c r="A54" t="s">
        <v>92</v>
      </c>
      <c r="B54" s="9" t="s">
        <v>153</v>
      </c>
      <c r="C54" s="5">
        <f>15000+4598.87</f>
        <v>19598.87</v>
      </c>
      <c r="D54" s="5">
        <v>0</v>
      </c>
      <c r="E54" s="5">
        <v>0</v>
      </c>
      <c r="F54" s="43">
        <f>15000+4598.87</f>
        <v>19598.87</v>
      </c>
      <c r="G54" s="43">
        <v>15000</v>
      </c>
      <c r="H54" s="43">
        <v>15000</v>
      </c>
      <c r="I54" s="43">
        <f>15000+12000+4297.09</f>
        <v>31297.09</v>
      </c>
      <c r="J54" s="43">
        <f>18000</f>
        <v>18000</v>
      </c>
      <c r="K54" s="43">
        <v>18000</v>
      </c>
      <c r="L54" s="43">
        <f>18000+10000+4297.07</f>
        <v>32297.07</v>
      </c>
      <c r="M54" s="43">
        <f>11104.68+3536+354</f>
        <v>14994.68</v>
      </c>
      <c r="N54" s="43">
        <f>11104.68+3536+354+354</f>
        <v>15348.68</v>
      </c>
      <c r="O54" s="37">
        <f t="shared" si="4"/>
        <v>199135.25999999998</v>
      </c>
      <c r="P54" s="42" t="s">
        <v>92</v>
      </c>
    </row>
    <row r="55" spans="1:16" hidden="1">
      <c r="B55" s="9" t="s">
        <v>41</v>
      </c>
      <c r="C55" s="5">
        <v>0</v>
      </c>
      <c r="D55" s="5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37">
        <f t="shared" si="4"/>
        <v>0</v>
      </c>
    </row>
    <row r="56" spans="1:16" hidden="1">
      <c r="B56" s="9" t="s">
        <v>42</v>
      </c>
      <c r="C56" s="5">
        <v>0</v>
      </c>
      <c r="D56" s="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37">
        <f t="shared" si="4"/>
        <v>0</v>
      </c>
    </row>
    <row r="57" spans="1:16" hidden="1">
      <c r="B57" s="9" t="s">
        <v>43</v>
      </c>
      <c r="C57" s="5">
        <v>0</v>
      </c>
      <c r="D57" s="5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37">
        <f t="shared" si="4"/>
        <v>0</v>
      </c>
    </row>
    <row r="58" spans="1:16" hidden="1">
      <c r="B58" s="9" t="s">
        <v>44</v>
      </c>
      <c r="C58" s="5">
        <v>0</v>
      </c>
      <c r="D58" s="5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37">
        <f t="shared" si="4"/>
        <v>0</v>
      </c>
    </row>
    <row r="59" spans="1:16" hidden="1">
      <c r="B59" s="9" t="s">
        <v>45</v>
      </c>
      <c r="C59" s="5">
        <v>0</v>
      </c>
      <c r="D59" s="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37">
        <f t="shared" si="4"/>
        <v>0</v>
      </c>
    </row>
    <row r="60" spans="1:16" hidden="1">
      <c r="B60" s="9" t="s">
        <v>46</v>
      </c>
      <c r="C60" s="5">
        <v>0</v>
      </c>
      <c r="D60" s="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37">
        <f t="shared" si="4"/>
        <v>0</v>
      </c>
    </row>
    <row r="61" spans="1:16">
      <c r="B61" s="9" t="s">
        <v>47</v>
      </c>
      <c r="C61" s="5">
        <v>3000</v>
      </c>
      <c r="D61" s="5">
        <v>0</v>
      </c>
      <c r="E61" s="26">
        <v>0</v>
      </c>
      <c r="F61" s="26">
        <v>0</v>
      </c>
      <c r="G61" s="26">
        <v>0</v>
      </c>
      <c r="H61" s="26">
        <v>3000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37">
        <f t="shared" si="4"/>
        <v>6000</v>
      </c>
    </row>
    <row r="62" spans="1:16">
      <c r="B62" s="9" t="s">
        <v>48</v>
      </c>
      <c r="C62" s="5">
        <v>1000</v>
      </c>
      <c r="D62" s="5">
        <v>0</v>
      </c>
      <c r="E62" s="26">
        <v>0</v>
      </c>
      <c r="F62" s="26">
        <v>2500</v>
      </c>
      <c r="G62" s="26">
        <v>2000</v>
      </c>
      <c r="H62" s="26">
        <v>0</v>
      </c>
      <c r="I62" s="26">
        <v>2500</v>
      </c>
      <c r="J62" s="26">
        <v>0</v>
      </c>
      <c r="K62" s="26">
        <v>0</v>
      </c>
      <c r="L62" s="26">
        <v>2500</v>
      </c>
      <c r="M62" s="26">
        <v>1000</v>
      </c>
      <c r="N62" s="26">
        <v>1000</v>
      </c>
      <c r="O62" s="37">
        <f t="shared" si="4"/>
        <v>12500</v>
      </c>
    </row>
    <row r="63" spans="1:16">
      <c r="B63" s="9" t="s">
        <v>49</v>
      </c>
      <c r="C63" s="5">
        <v>0</v>
      </c>
      <c r="D63" s="5">
        <v>1500</v>
      </c>
      <c r="E63" s="26">
        <v>0</v>
      </c>
      <c r="F63" s="26">
        <v>0</v>
      </c>
      <c r="G63" s="26">
        <v>0</v>
      </c>
      <c r="H63" s="26">
        <v>0</v>
      </c>
      <c r="I63" s="26">
        <v>43.75</v>
      </c>
      <c r="J63" s="26">
        <v>0</v>
      </c>
      <c r="K63" s="26">
        <v>1000</v>
      </c>
      <c r="L63" s="26">
        <v>0</v>
      </c>
      <c r="M63" s="26">
        <v>0</v>
      </c>
      <c r="N63" s="26">
        <v>0</v>
      </c>
      <c r="O63" s="37">
        <f t="shared" si="4"/>
        <v>2543.75</v>
      </c>
    </row>
    <row r="64" spans="1:16">
      <c r="B64" s="9" t="s">
        <v>50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37">
        <f t="shared" si="4"/>
        <v>0</v>
      </c>
    </row>
    <row r="65" spans="2:15">
      <c r="B65" s="9" t="s">
        <v>51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37">
        <f t="shared" si="4"/>
        <v>0</v>
      </c>
    </row>
    <row r="66" spans="2:15">
      <c r="B66" s="9" t="s">
        <v>52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37">
        <f t="shared" si="4"/>
        <v>0</v>
      </c>
    </row>
    <row r="67" spans="2:15">
      <c r="B67" s="9" t="s">
        <v>53</v>
      </c>
      <c r="C67" s="5">
        <v>0</v>
      </c>
      <c r="D67" s="5">
        <v>0</v>
      </c>
      <c r="E67" s="26">
        <v>0</v>
      </c>
      <c r="F67" s="26">
        <v>0</v>
      </c>
      <c r="G67" s="26">
        <v>0</v>
      </c>
      <c r="H67" s="26">
        <v>0</v>
      </c>
      <c r="I67" s="26">
        <v>3750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7">
        <f t="shared" si="4"/>
        <v>3750</v>
      </c>
    </row>
    <row r="68" spans="2:15">
      <c r="B68" s="9" t="s">
        <v>54</v>
      </c>
      <c r="C68" s="5">
        <v>114.24</v>
      </c>
      <c r="D68" s="5">
        <v>0</v>
      </c>
      <c r="E68" s="5">
        <v>0</v>
      </c>
      <c r="F68" s="5">
        <v>202.7</v>
      </c>
      <c r="G68" s="5">
        <v>129.99</v>
      </c>
      <c r="H68" s="5">
        <v>259.98</v>
      </c>
      <c r="I68" s="5">
        <f>166.99+44</f>
        <v>210.99</v>
      </c>
      <c r="J68" s="5">
        <f>173.94+64+215.9+24.88</f>
        <v>478.72</v>
      </c>
      <c r="K68" s="5">
        <v>0</v>
      </c>
      <c r="L68" s="5">
        <v>288.74</v>
      </c>
      <c r="M68" s="5">
        <f>51.67+213.4</f>
        <v>265.07</v>
      </c>
      <c r="N68" s="5">
        <f>38+29.3+438.81</f>
        <v>506.11</v>
      </c>
      <c r="O68" s="37">
        <f t="shared" si="4"/>
        <v>2456.54</v>
      </c>
    </row>
    <row r="69" spans="2:15">
      <c r="B69" s="9" t="s">
        <v>55</v>
      </c>
      <c r="C69" s="5">
        <f>695.64+69.98</f>
        <v>765.62</v>
      </c>
      <c r="D69" s="5">
        <f>232.57+69.98</f>
        <v>302.55</v>
      </c>
      <c r="E69" s="5">
        <f>69.98+204.26</f>
        <v>274.24</v>
      </c>
      <c r="F69" s="5">
        <f>204.26+69.98</f>
        <v>274.24</v>
      </c>
      <c r="G69" s="5">
        <f>69.98+204.08</f>
        <v>274.06</v>
      </c>
      <c r="H69" s="5">
        <f>209.72+69.98</f>
        <v>279.7</v>
      </c>
      <c r="I69" s="5">
        <f>204+116.27</f>
        <v>320.27</v>
      </c>
      <c r="J69" s="5">
        <f>204.54+104.98</f>
        <v>309.52</v>
      </c>
      <c r="K69" s="5">
        <f>204.74+104.98</f>
        <v>309.72000000000003</v>
      </c>
      <c r="L69" s="5">
        <f>279.34+104.98</f>
        <v>384.32</v>
      </c>
      <c r="M69" s="5">
        <f>104.98+209.62+210.66</f>
        <v>525.26</v>
      </c>
      <c r="N69" s="5">
        <f>104.98</f>
        <v>104.98</v>
      </c>
      <c r="O69" s="37">
        <f t="shared" si="4"/>
        <v>4124.4799999999996</v>
      </c>
    </row>
    <row r="70" spans="2:15" hidden="1">
      <c r="B70" s="9" t="s">
        <v>56</v>
      </c>
      <c r="C70" s="5">
        <v>0</v>
      </c>
      <c r="D70" s="5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37">
        <f t="shared" si="4"/>
        <v>0</v>
      </c>
    </row>
    <row r="71" spans="2:15">
      <c r="B71" s="9" t="s">
        <v>57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37">
        <f t="shared" si="4"/>
        <v>0</v>
      </c>
    </row>
    <row r="72" spans="2:15" hidden="1">
      <c r="B72" s="9" t="s">
        <v>58</v>
      </c>
      <c r="C72" s="5">
        <v>0</v>
      </c>
      <c r="D72" s="5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37">
        <f t="shared" si="4"/>
        <v>0</v>
      </c>
    </row>
    <row r="73" spans="2:15">
      <c r="B73" s="9" t="s">
        <v>59</v>
      </c>
      <c r="C73" s="5">
        <v>0</v>
      </c>
      <c r="D73" s="5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4</v>
      </c>
      <c r="M73" s="26">
        <v>0</v>
      </c>
      <c r="N73" s="26">
        <v>0</v>
      </c>
      <c r="O73" s="37">
        <f t="shared" si="4"/>
        <v>4</v>
      </c>
    </row>
    <row r="74" spans="2:15">
      <c r="B74" s="9" t="s">
        <v>60</v>
      </c>
      <c r="C74" s="5">
        <v>0</v>
      </c>
      <c r="D74" s="5">
        <v>0</v>
      </c>
      <c r="E74" s="5">
        <v>0</v>
      </c>
      <c r="F74" s="5">
        <v>398.68</v>
      </c>
      <c r="G74" s="5">
        <v>0</v>
      </c>
      <c r="H74" s="5">
        <v>0</v>
      </c>
      <c r="I74" s="5">
        <v>620.83000000000004</v>
      </c>
      <c r="J74" s="5">
        <v>924</v>
      </c>
      <c r="K74" s="5">
        <v>0</v>
      </c>
      <c r="L74" s="5">
        <v>0</v>
      </c>
      <c r="M74" s="5">
        <v>83.75</v>
      </c>
      <c r="N74" s="5">
        <v>0</v>
      </c>
      <c r="O74" s="37">
        <f t="shared" si="4"/>
        <v>2027.26</v>
      </c>
    </row>
    <row r="75" spans="2:15" hidden="1">
      <c r="B75" s="9" t="s">
        <v>61</v>
      </c>
      <c r="C75" s="5">
        <v>0</v>
      </c>
      <c r="D75" s="5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37">
        <f t="shared" si="4"/>
        <v>0</v>
      </c>
    </row>
    <row r="76" spans="2:15" hidden="1">
      <c r="B76" s="9" t="s">
        <v>62</v>
      </c>
      <c r="C76" s="5">
        <v>0</v>
      </c>
      <c r="D76" s="5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37">
        <f t="shared" si="4"/>
        <v>0</v>
      </c>
    </row>
    <row r="77" spans="2:15">
      <c r="B77" s="9" t="s">
        <v>63</v>
      </c>
      <c r="C77" s="5">
        <f>1368.17+569.7+754.17</f>
        <v>2692.04</v>
      </c>
      <c r="D77" s="5">
        <f>598.8+446.64</f>
        <v>1045.44</v>
      </c>
      <c r="E77" s="5">
        <v>0</v>
      </c>
      <c r="F77" s="5">
        <f>516.96+572.56+2000</f>
        <v>3089.52</v>
      </c>
      <c r="G77" s="5">
        <v>130</v>
      </c>
      <c r="H77" s="5">
        <v>0</v>
      </c>
      <c r="I77" s="5">
        <f>636+1127.44+1396.8+900+1665.17+133.4+480</f>
        <v>6338.8099999999995</v>
      </c>
      <c r="J77" s="5">
        <f>332.48+84.31+636+1388.41+480+1035+312.64+1266</f>
        <v>5534.84</v>
      </c>
      <c r="K77" s="5">
        <f>320+320+320+320+500+500+500+500+2775.22+1068.32+130+287.68+450</f>
        <v>7991.2199999999993</v>
      </c>
      <c r="L77" s="5">
        <f>61.75+964.46+110+174.95</f>
        <v>1311.16</v>
      </c>
      <c r="M77" s="5">
        <f>130+50</f>
        <v>180</v>
      </c>
      <c r="N77" s="5">
        <f>411.84+480+987</f>
        <v>1878.84</v>
      </c>
      <c r="O77" s="37">
        <f t="shared" si="4"/>
        <v>30191.870000000003</v>
      </c>
    </row>
    <row r="78" spans="2:15" hidden="1">
      <c r="B78" s="9" t="s">
        <v>64</v>
      </c>
      <c r="C78" s="5">
        <v>0</v>
      </c>
      <c r="D78" s="5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37">
        <f t="shared" si="4"/>
        <v>0</v>
      </c>
    </row>
    <row r="79" spans="2:15">
      <c r="B79" s="9" t="s">
        <v>65</v>
      </c>
      <c r="C79" s="5">
        <v>1990</v>
      </c>
      <c r="D79" s="5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37">
        <f t="shared" si="4"/>
        <v>1990</v>
      </c>
    </row>
    <row r="80" spans="2:15">
      <c r="B80" s="9" t="s">
        <v>66</v>
      </c>
      <c r="C80" s="5">
        <v>753</v>
      </c>
      <c r="D80" s="5">
        <v>0</v>
      </c>
      <c r="E80" s="26">
        <v>2708.75</v>
      </c>
      <c r="F80" s="26">
        <v>0</v>
      </c>
      <c r="G80" s="26">
        <v>0</v>
      </c>
      <c r="H80" s="26">
        <v>3258.09</v>
      </c>
      <c r="I80" s="26">
        <v>0</v>
      </c>
      <c r="J80" s="26">
        <v>0</v>
      </c>
      <c r="K80" s="26">
        <v>6858.75</v>
      </c>
      <c r="L80" s="26">
        <v>0</v>
      </c>
      <c r="M80" s="26">
        <v>0</v>
      </c>
      <c r="N80" s="26">
        <v>0</v>
      </c>
      <c r="O80" s="37">
        <f t="shared" si="4"/>
        <v>13578.59</v>
      </c>
    </row>
    <row r="81" spans="2:16" hidden="1">
      <c r="B81" s="9" t="s">
        <v>67</v>
      </c>
      <c r="C81" s="5">
        <v>0</v>
      </c>
      <c r="D81" s="5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37">
        <f t="shared" si="4"/>
        <v>0</v>
      </c>
    </row>
    <row r="82" spans="2:16" hidden="1">
      <c r="B82" s="9" t="s">
        <v>68</v>
      </c>
      <c r="C82" s="5">
        <v>0</v>
      </c>
      <c r="D82" s="5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37">
        <f t="shared" si="4"/>
        <v>0</v>
      </c>
    </row>
    <row r="83" spans="2:16">
      <c r="B83" s="9" t="s">
        <v>69</v>
      </c>
      <c r="C83" s="5">
        <v>1250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37">
        <f t="shared" si="4"/>
        <v>1250</v>
      </c>
    </row>
    <row r="84" spans="2:16">
      <c r="B84" s="9" t="s">
        <v>70</v>
      </c>
      <c r="C84" s="5">
        <v>0</v>
      </c>
      <c r="D84" s="5">
        <v>0</v>
      </c>
      <c r="E84" s="5">
        <v>0</v>
      </c>
      <c r="F84" s="5">
        <v>25</v>
      </c>
      <c r="G84" s="5">
        <v>1960.25</v>
      </c>
      <c r="H84" s="5">
        <v>1015.55</v>
      </c>
      <c r="I84" s="5">
        <v>0</v>
      </c>
      <c r="J84" s="5">
        <v>2153.83</v>
      </c>
      <c r="K84" s="5">
        <v>0</v>
      </c>
      <c r="L84" s="5">
        <v>0</v>
      </c>
      <c r="M84" s="5">
        <v>0</v>
      </c>
      <c r="N84" s="5">
        <v>0</v>
      </c>
      <c r="O84" s="37">
        <f t="shared" si="4"/>
        <v>5154.63</v>
      </c>
    </row>
    <row r="85" spans="2:16">
      <c r="B85" s="9" t="s">
        <v>71</v>
      </c>
      <c r="C85" s="5">
        <v>2500</v>
      </c>
      <c r="D85" s="5">
        <v>500</v>
      </c>
      <c r="E85" s="5">
        <v>0</v>
      </c>
      <c r="F85" s="5">
        <v>0</v>
      </c>
      <c r="G85" s="5">
        <v>0</v>
      </c>
      <c r="H85" s="5">
        <f>2500+2908.55+889.98</f>
        <v>6298.5300000000007</v>
      </c>
      <c r="I85" s="5">
        <v>0</v>
      </c>
      <c r="J85" s="5">
        <v>0</v>
      </c>
      <c r="K85" s="5">
        <v>0</v>
      </c>
      <c r="L85" s="5">
        <f>2500</f>
        <v>2500</v>
      </c>
      <c r="M85" s="5">
        <v>1400</v>
      </c>
      <c r="N85" s="5">
        <v>0</v>
      </c>
      <c r="O85" s="37">
        <f t="shared" si="4"/>
        <v>13198.53</v>
      </c>
      <c r="P85" t="s">
        <v>148</v>
      </c>
    </row>
    <row r="86" spans="2:16">
      <c r="B86" s="9" t="s">
        <v>72</v>
      </c>
      <c r="C86" s="5">
        <v>0</v>
      </c>
      <c r="D86" s="5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7">
        <f t="shared" si="4"/>
        <v>0</v>
      </c>
    </row>
    <row r="87" spans="2:16">
      <c r="B87" s="9" t="s">
        <v>73</v>
      </c>
      <c r="C87" s="5">
        <v>927.68</v>
      </c>
      <c r="D87" s="5">
        <v>0</v>
      </c>
      <c r="E87" s="5">
        <v>0</v>
      </c>
      <c r="F87" s="5">
        <f>350+130+1370+670.3</f>
        <v>2520.3000000000002</v>
      </c>
      <c r="G87" s="5">
        <v>880</v>
      </c>
      <c r="H87" s="5">
        <f>190+500.4</f>
        <v>690.4</v>
      </c>
      <c r="I87" s="5">
        <v>2500</v>
      </c>
      <c r="J87" s="5">
        <f>218.67+1200+1675+432</f>
        <v>3525.67</v>
      </c>
      <c r="K87" s="5">
        <f>500+1425</f>
        <v>1925</v>
      </c>
      <c r="L87" s="5">
        <f>4490.62+1892.3</f>
        <v>6382.92</v>
      </c>
      <c r="M87" s="5">
        <v>348.88</v>
      </c>
      <c r="N87" s="5">
        <f>3682.38+2500+5000+969.15</f>
        <v>12151.53</v>
      </c>
      <c r="O87" s="37">
        <f t="shared" si="4"/>
        <v>31852.380000000005</v>
      </c>
      <c r="P87" t="s">
        <v>147</v>
      </c>
    </row>
    <row r="88" spans="2:16">
      <c r="B88" s="9" t="s">
        <v>74</v>
      </c>
      <c r="C88" s="5">
        <v>3722.75</v>
      </c>
      <c r="D88" s="5">
        <v>0</v>
      </c>
      <c r="E88" s="26">
        <v>0</v>
      </c>
      <c r="F88" s="26">
        <v>4340</v>
      </c>
      <c r="G88" s="26">
        <f>1155+4053.25+630</f>
        <v>5838.25</v>
      </c>
      <c r="H88" s="26">
        <f>880</f>
        <v>880</v>
      </c>
      <c r="I88" s="26">
        <f>880+2817.75+630+2145+3669.25+315+880+4200</f>
        <v>15537</v>
      </c>
      <c r="J88" s="26">
        <f>6615+892.5+880</f>
        <v>8387.5</v>
      </c>
      <c r="K88" s="26">
        <v>3003.75</v>
      </c>
      <c r="L88" s="26">
        <f>1760+1155+4707+1300+1760+880+4357.5</f>
        <v>15919.5</v>
      </c>
      <c r="M88" s="26">
        <f>880+3933.5+1852.5+925</f>
        <v>7591</v>
      </c>
      <c r="N88" s="26">
        <f>6836.5+3780+880</f>
        <v>11496.5</v>
      </c>
      <c r="O88" s="37">
        <f t="shared" si="4"/>
        <v>76716.25</v>
      </c>
      <c r="P88" s="42" t="s">
        <v>157</v>
      </c>
    </row>
    <row r="89" spans="2:16">
      <c r="B89" s="9" t="s">
        <v>75</v>
      </c>
      <c r="C89" s="5">
        <v>0</v>
      </c>
      <c r="D89" s="5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7">
        <f t="shared" si="4"/>
        <v>0</v>
      </c>
    </row>
    <row r="90" spans="2:16">
      <c r="B90" s="9" t="s">
        <v>76</v>
      </c>
      <c r="C90" s="5">
        <v>37.479999999999997</v>
      </c>
      <c r="D90" s="5">
        <v>0</v>
      </c>
      <c r="E90" s="5">
        <v>88.66</v>
      </c>
      <c r="F90" s="5">
        <f>39.34+69</f>
        <v>108.34</v>
      </c>
      <c r="G90" s="5">
        <f>66.04+13.5+283.71+395</f>
        <v>758.25</v>
      </c>
      <c r="H90" s="5">
        <v>0</v>
      </c>
      <c r="I90" s="5">
        <v>0</v>
      </c>
      <c r="J90" s="5">
        <v>0</v>
      </c>
      <c r="K90" s="5">
        <f>22.25+41.2+49.21+151.1+260+185</f>
        <v>708.76</v>
      </c>
      <c r="L90" s="5">
        <f>1700+113.2+655.73</f>
        <v>2468.9300000000003</v>
      </c>
      <c r="M90" s="5">
        <v>0</v>
      </c>
      <c r="N90" s="5">
        <v>0</v>
      </c>
      <c r="O90" s="37">
        <f t="shared" si="4"/>
        <v>4170.42</v>
      </c>
      <c r="P90" s="37">
        <f>O90/148</f>
        <v>28.178513513513515</v>
      </c>
    </row>
    <row r="91" spans="2:16">
      <c r="B91" s="9" t="s">
        <v>77</v>
      </c>
      <c r="C91" s="5">
        <v>0</v>
      </c>
      <c r="D91" s="5">
        <f>9000+1698.31+442.19+1775.63+237.03+5000</f>
        <v>18153.160000000003</v>
      </c>
      <c r="E91" s="26">
        <f>20074+268.5+193.12+2672.03</f>
        <v>23207.649999999998</v>
      </c>
      <c r="F91" s="26">
        <f>20.13+116.14+4696.34+1292.67</f>
        <v>6125.2800000000007</v>
      </c>
      <c r="G91" s="26">
        <f>127.5+824+32.55+65+1836.3</f>
        <v>2885.35</v>
      </c>
      <c r="H91" s="26">
        <f>122.65+328.85+548.9</f>
        <v>1000.4</v>
      </c>
      <c r="I91" s="26">
        <f>2478+28.15+101.7+1301.21+323.64+37.88+1572.96+113.6+322.67+1306.34+78.54-843.01</f>
        <v>6821.68</v>
      </c>
      <c r="J91" s="26">
        <f>45+458.66+255</f>
        <v>758.66000000000008</v>
      </c>
      <c r="K91" s="26">
        <f>216.76</f>
        <v>216.76</v>
      </c>
      <c r="L91" s="26">
        <f>1591.4+50+200.62+273.66</f>
        <v>2115.6799999999998</v>
      </c>
      <c r="M91" s="26">
        <f>107.55+250.18+162.16+24.47+649.52+303.34</f>
        <v>1497.22</v>
      </c>
      <c r="N91" s="26">
        <f>161.95+247+472.97+318.94+235.2+280.84+350+343.75+1232</f>
        <v>3642.65</v>
      </c>
      <c r="O91" s="37">
        <f t="shared" si="4"/>
        <v>66424.490000000005</v>
      </c>
      <c r="P91" s="37">
        <f>O91/148</f>
        <v>448.81412162162167</v>
      </c>
    </row>
    <row r="92" spans="2:16">
      <c r="B92" s="9" t="s">
        <v>78</v>
      </c>
      <c r="C92" s="5">
        <v>5433.5</v>
      </c>
      <c r="D92" s="5">
        <v>0</v>
      </c>
      <c r="E92" s="26">
        <v>13142.18</v>
      </c>
      <c r="F92" s="26">
        <f>430+185.84+55+3272.06+437.88</f>
        <v>4380.78</v>
      </c>
      <c r="G92" s="26">
        <v>361</v>
      </c>
      <c r="H92" s="26">
        <v>4402.17</v>
      </c>
      <c r="I92" s="26">
        <f>2000+337.62</f>
        <v>2337.62</v>
      </c>
      <c r="J92" s="26">
        <v>105.56</v>
      </c>
      <c r="K92" s="26">
        <f>3000+85+1000+7827.28</f>
        <v>11912.279999999999</v>
      </c>
      <c r="L92" s="26">
        <v>0</v>
      </c>
      <c r="M92" s="26">
        <v>0</v>
      </c>
      <c r="N92" s="26">
        <v>292.97000000000003</v>
      </c>
      <c r="O92" s="37">
        <f t="shared" si="4"/>
        <v>42368.06</v>
      </c>
      <c r="P92" s="52">
        <f>O92/148</f>
        <v>286.27067567567565</v>
      </c>
    </row>
    <row r="93" spans="2:16" hidden="1">
      <c r="B93" s="9" t="s">
        <v>79</v>
      </c>
      <c r="C93" s="5">
        <v>0</v>
      </c>
      <c r="D93" s="5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37">
        <f t="shared" si="4"/>
        <v>0</v>
      </c>
    </row>
    <row r="94" spans="2:16">
      <c r="B94" s="9" t="s">
        <v>80</v>
      </c>
      <c r="C94" s="5">
        <v>4577.28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>50+536.93+313.53+334.1</f>
        <v>1234.56</v>
      </c>
      <c r="M94" s="5">
        <v>0</v>
      </c>
      <c r="N94" s="5">
        <v>0</v>
      </c>
      <c r="O94" s="37">
        <f t="shared" si="4"/>
        <v>5811.84</v>
      </c>
      <c r="P94" s="37">
        <f>SUM(P90:P93)</f>
        <v>763.26331081081082</v>
      </c>
    </row>
    <row r="95" spans="2:16">
      <c r="B95" s="9" t="s">
        <v>82</v>
      </c>
      <c r="C95" s="5">
        <v>899</v>
      </c>
      <c r="D95" s="5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37">
        <f t="shared" si="4"/>
        <v>899</v>
      </c>
    </row>
    <row r="96" spans="2:16">
      <c r="B96" s="9" t="s">
        <v>83</v>
      </c>
      <c r="C96" s="5">
        <v>0</v>
      </c>
      <c r="D96" s="5">
        <v>0</v>
      </c>
      <c r="E96" s="26">
        <f>1000+147.57</f>
        <v>1147.57</v>
      </c>
      <c r="F96" s="26">
        <f>95+109+601.03+71.98</f>
        <v>877.01</v>
      </c>
      <c r="G96" s="26">
        <f>986.73+225.51</f>
        <v>1212.24</v>
      </c>
      <c r="H96" s="26">
        <v>1024.22</v>
      </c>
      <c r="I96" s="26">
        <f>50+887.93</f>
        <v>937.93</v>
      </c>
      <c r="J96" s="26">
        <f>246.64+1108.68+125+229.06+3692.18</f>
        <v>5401.5599999999995</v>
      </c>
      <c r="K96" s="26">
        <v>816.32</v>
      </c>
      <c r="L96" s="26">
        <v>1175.71</v>
      </c>
      <c r="M96" s="26">
        <f>869.13+1877.41+123.72</f>
        <v>2870.2599999999998</v>
      </c>
      <c r="N96" s="26">
        <f>1170.73+943.12</f>
        <v>2113.85</v>
      </c>
      <c r="O96" s="37">
        <f t="shared" si="4"/>
        <v>17576.669999999998</v>
      </c>
    </row>
    <row r="97" spans="1:15">
      <c r="B97" s="9" t="s">
        <v>155</v>
      </c>
      <c r="C97" s="5"/>
      <c r="D97" s="5"/>
      <c r="E97" s="26"/>
      <c r="F97" s="49">
        <v>1179.45</v>
      </c>
      <c r="G97" s="49">
        <f>1179.45+1179.45</f>
        <v>2358.9</v>
      </c>
      <c r="H97" s="49">
        <v>1179.45</v>
      </c>
      <c r="I97" s="49">
        <v>1179.45</v>
      </c>
      <c r="J97" s="49">
        <v>1179.45</v>
      </c>
      <c r="K97" s="49">
        <v>1179.45</v>
      </c>
      <c r="L97" s="49">
        <v>1179.45</v>
      </c>
      <c r="M97" s="49">
        <v>1179.45</v>
      </c>
      <c r="N97" s="49">
        <v>1179.45</v>
      </c>
      <c r="O97" s="37">
        <f>SUM(F97:N97)</f>
        <v>11794.500000000002</v>
      </c>
    </row>
    <row r="98" spans="1:15">
      <c r="B98" s="9" t="s">
        <v>84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213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37">
        <f t="shared" si="4"/>
        <v>213</v>
      </c>
    </row>
    <row r="99" spans="1:15">
      <c r="B99" s="9" t="s">
        <v>85</v>
      </c>
      <c r="C99" s="5">
        <v>0</v>
      </c>
      <c r="D99" s="5">
        <v>0</v>
      </c>
      <c r="E99" s="26">
        <f>483+690+924+550+921+417.25</f>
        <v>3985.25</v>
      </c>
      <c r="F99" s="26">
        <f>888+144+891+669+894+890</f>
        <v>4376</v>
      </c>
      <c r="G99" s="26">
        <f>882+597.72+594+591+834+319.95</f>
        <v>3818.67</v>
      </c>
      <c r="H99" s="26">
        <f>680+1194+564+534+340.66</f>
        <v>3312.66</v>
      </c>
      <c r="I99" s="26">
        <f>1167+651+684+555+328.32+712+681</f>
        <v>4778.32</v>
      </c>
      <c r="J99" s="26">
        <f>651+684+502+195</f>
        <v>2032</v>
      </c>
      <c r="K99" s="26">
        <f>385.67+1158+672+705+690+656</f>
        <v>4266.67</v>
      </c>
      <c r="L99" s="26">
        <f>384.6+681+723+684+272.52+640+711</f>
        <v>4096.12</v>
      </c>
      <c r="M99" s="26">
        <f>741+726+732+748+648+417.82</f>
        <v>4012.82</v>
      </c>
      <c r="N99" s="26">
        <f>453+507+478+1065+92.75</f>
        <v>2595.75</v>
      </c>
      <c r="O99" s="37">
        <f t="shared" si="4"/>
        <v>37274.26</v>
      </c>
    </row>
    <row r="100" spans="1:15" hidden="1">
      <c r="B100" s="9" t="s">
        <v>86</v>
      </c>
      <c r="C100" s="5">
        <v>0</v>
      </c>
      <c r="D100" s="5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37">
        <f t="shared" si="4"/>
        <v>0</v>
      </c>
    </row>
    <row r="101" spans="1:15" hidden="1">
      <c r="B101" s="9" t="s">
        <v>87</v>
      </c>
      <c r="C101" s="5">
        <v>0</v>
      </c>
      <c r="D101" s="5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37">
        <f t="shared" ref="O101:O107" si="9">SUM(C101:N101)</f>
        <v>0</v>
      </c>
    </row>
    <row r="102" spans="1:15" hidden="1">
      <c r="B102" s="9" t="s">
        <v>88</v>
      </c>
      <c r="C102" s="5">
        <v>0</v>
      </c>
      <c r="D102" s="5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1089</v>
      </c>
      <c r="K102" s="26">
        <v>0</v>
      </c>
      <c r="L102" s="26">
        <v>0</v>
      </c>
      <c r="M102" s="26">
        <v>0</v>
      </c>
      <c r="N102" s="26">
        <v>0</v>
      </c>
      <c r="O102" s="37">
        <f t="shared" si="9"/>
        <v>1089</v>
      </c>
    </row>
    <row r="103" spans="1:15">
      <c r="B103" s="9" t="s">
        <v>89</v>
      </c>
      <c r="C103" s="5">
        <v>546</v>
      </c>
      <c r="D103" s="5">
        <v>0</v>
      </c>
      <c r="E103" s="26">
        <v>0</v>
      </c>
      <c r="F103" s="26">
        <f>150+296+138+56+75</f>
        <v>715</v>
      </c>
      <c r="G103" s="26">
        <v>3380</v>
      </c>
      <c r="H103" s="26">
        <v>0</v>
      </c>
      <c r="I103" s="26">
        <v>906</v>
      </c>
      <c r="J103" s="26">
        <v>1500</v>
      </c>
      <c r="K103" s="26">
        <v>291</v>
      </c>
      <c r="L103" s="26">
        <v>0</v>
      </c>
      <c r="M103" s="26">
        <f>540+731.25</f>
        <v>1271.25</v>
      </c>
      <c r="N103" s="26">
        <v>1001</v>
      </c>
      <c r="O103" s="37">
        <f t="shared" si="9"/>
        <v>9610.25</v>
      </c>
    </row>
    <row r="104" spans="1:15" hidden="1">
      <c r="B104" s="9" t="s">
        <v>90</v>
      </c>
      <c r="C104" s="5">
        <v>0</v>
      </c>
      <c r="D104" s="5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37">
        <f t="shared" si="9"/>
        <v>0</v>
      </c>
    </row>
    <row r="105" spans="1:15" hidden="1">
      <c r="B105" s="9" t="s">
        <v>91</v>
      </c>
      <c r="C105" s="5">
        <v>0</v>
      </c>
      <c r="D105" s="5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37">
        <f t="shared" si="9"/>
        <v>0</v>
      </c>
    </row>
    <row r="106" spans="1:15">
      <c r="B106" s="9" t="s">
        <v>151</v>
      </c>
      <c r="C106" s="5"/>
      <c r="D106" s="5"/>
      <c r="E106" s="26">
        <v>345.21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37"/>
    </row>
    <row r="107" spans="1:15">
      <c r="B107" s="9" t="s">
        <v>102</v>
      </c>
      <c r="C107" s="5">
        <v>0</v>
      </c>
      <c r="D107" s="5">
        <v>0</v>
      </c>
      <c r="E107" s="26">
        <v>100000</v>
      </c>
      <c r="F107" s="26">
        <v>0</v>
      </c>
      <c r="G107" s="26">
        <v>0</v>
      </c>
      <c r="H107" s="26">
        <v>0</v>
      </c>
      <c r="I107" s="26">
        <v>75369.86</v>
      </c>
      <c r="J107" s="26">
        <v>0</v>
      </c>
      <c r="K107" s="26">
        <v>0</v>
      </c>
      <c r="L107" s="26">
        <v>0</v>
      </c>
      <c r="M107" s="26">
        <v>66800</v>
      </c>
      <c r="N107" s="26">
        <v>0</v>
      </c>
      <c r="O107" s="37">
        <f t="shared" si="9"/>
        <v>242169.86</v>
      </c>
    </row>
    <row r="108" spans="1:15">
      <c r="A108" t="s">
        <v>97</v>
      </c>
      <c r="B108" s="9"/>
      <c r="C108" s="28">
        <f>SUM(C47:C107)</f>
        <v>174029.53</v>
      </c>
      <c r="D108" s="28">
        <f t="shared" ref="D108:N108" si="10">SUM(D47:D107)</f>
        <v>192526.52</v>
      </c>
      <c r="E108" s="28">
        <f t="shared" si="10"/>
        <v>420698.99</v>
      </c>
      <c r="F108" s="28">
        <f t="shared" si="10"/>
        <v>212021.24</v>
      </c>
      <c r="G108" s="28">
        <f t="shared" si="10"/>
        <v>140522.03000000003</v>
      </c>
      <c r="H108" s="28">
        <f t="shared" si="10"/>
        <v>171190.33000000002</v>
      </c>
      <c r="I108" s="28">
        <f t="shared" si="10"/>
        <v>246128.75</v>
      </c>
      <c r="J108" s="28">
        <f t="shared" si="10"/>
        <v>139670.84600000002</v>
      </c>
      <c r="K108" s="28">
        <f t="shared" si="10"/>
        <v>170640.18000000005</v>
      </c>
      <c r="L108" s="28">
        <f t="shared" si="10"/>
        <v>172972.93999999997</v>
      </c>
      <c r="M108" s="28">
        <f t="shared" si="10"/>
        <v>204811.54</v>
      </c>
      <c r="N108" s="28">
        <f t="shared" si="10"/>
        <v>145999.79</v>
      </c>
    </row>
    <row r="109" spans="1:15">
      <c r="A109" t="s">
        <v>104</v>
      </c>
      <c r="B109" s="10"/>
      <c r="C109" s="29">
        <f t="shared" ref="C109:N109" si="11">C28-C108</f>
        <v>200808.33</v>
      </c>
      <c r="D109" s="29">
        <f t="shared" si="11"/>
        <v>10337.149999999994</v>
      </c>
      <c r="E109" s="29">
        <f t="shared" si="11"/>
        <v>320811.57000000007</v>
      </c>
      <c r="F109" s="29">
        <f t="shared" si="11"/>
        <v>117385.35000000009</v>
      </c>
      <c r="G109" s="39">
        <f t="shared" si="11"/>
        <v>120647.41000000006</v>
      </c>
      <c r="H109" s="29">
        <f t="shared" si="11"/>
        <v>404699.84</v>
      </c>
      <c r="I109" s="29">
        <f t="shared" si="11"/>
        <v>180272.51</v>
      </c>
      <c r="J109" s="39">
        <f t="shared" si="11"/>
        <v>87628.603999999992</v>
      </c>
      <c r="K109" s="29">
        <f t="shared" si="11"/>
        <v>401089.84399999992</v>
      </c>
      <c r="L109" s="29">
        <f t="shared" si="11"/>
        <v>270534.33399999992</v>
      </c>
      <c r="M109" s="29">
        <f t="shared" si="11"/>
        <v>101244.87399999992</v>
      </c>
      <c r="N109" s="29">
        <f t="shared" si="11"/>
        <v>422288.01399999985</v>
      </c>
    </row>
    <row r="110" spans="1:15">
      <c r="B110" s="8"/>
    </row>
    <row r="111" spans="1:15">
      <c r="A111" s="46"/>
      <c r="B111" s="8"/>
      <c r="D111" s="42" t="s">
        <v>92</v>
      </c>
      <c r="O111" s="13"/>
    </row>
    <row r="112" spans="1:15">
      <c r="D112" s="44"/>
    </row>
    <row r="113" spans="2:15">
      <c r="D113" s="46"/>
    </row>
    <row r="114" spans="2:15">
      <c r="D114" s="47"/>
    </row>
    <row r="121" spans="2:15">
      <c r="I121" s="48"/>
      <c r="J121" s="48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  <c r="O182" s="15"/>
    </row>
    <row r="183" spans="2:15">
      <c r="B183" s="8"/>
      <c r="O183" s="15"/>
    </row>
    <row r="184" spans="2:15">
      <c r="B184" s="8"/>
      <c r="O184" s="15"/>
    </row>
    <row r="185" spans="2:15">
      <c r="B185" s="8"/>
      <c r="O185" s="15"/>
    </row>
    <row r="186" spans="2:15">
      <c r="B186" s="8"/>
      <c r="O186" s="15"/>
    </row>
    <row r="187" spans="2:15">
      <c r="B187" s="8"/>
      <c r="O187" s="15"/>
    </row>
    <row r="188" spans="2:15">
      <c r="B188" s="8"/>
      <c r="O188" s="15"/>
    </row>
    <row r="189" spans="2:15">
      <c r="B189" s="8"/>
      <c r="O189" s="15"/>
    </row>
    <row r="190" spans="2:15">
      <c r="B190" s="8"/>
      <c r="O190" s="15"/>
    </row>
    <row r="191" spans="2:15">
      <c r="B191" s="8"/>
      <c r="O191" s="15"/>
    </row>
    <row r="192" spans="2:15">
      <c r="B192" s="8"/>
      <c r="O192" s="15"/>
    </row>
    <row r="193" spans="2:15">
      <c r="B193" s="8"/>
      <c r="O193" s="15"/>
    </row>
    <row r="194" spans="2:15">
      <c r="B194" s="8"/>
      <c r="O194" s="15"/>
    </row>
    <row r="195" spans="2:15">
      <c r="B195" s="8"/>
      <c r="O195" s="15"/>
    </row>
    <row r="196" spans="2:15">
      <c r="B196" s="8"/>
      <c r="O196" s="15"/>
    </row>
    <row r="197" spans="2:15">
      <c r="B197" s="8"/>
      <c r="O197" s="15"/>
    </row>
    <row r="198" spans="2:15">
      <c r="B198" s="8"/>
      <c r="O198" s="15"/>
    </row>
    <row r="199" spans="2:15">
      <c r="B199" s="8"/>
      <c r="O199" s="15"/>
    </row>
    <row r="200" spans="2:15">
      <c r="B200" s="8"/>
    </row>
    <row r="201" spans="2:15">
      <c r="B201" s="8"/>
    </row>
    <row r="202" spans="2:15">
      <c r="B202" s="8"/>
    </row>
    <row r="203" spans="2:15">
      <c r="B203" s="8"/>
    </row>
    <row r="204" spans="2:15">
      <c r="B204" s="8"/>
    </row>
    <row r="205" spans="2:15">
      <c r="B205" s="8"/>
    </row>
    <row r="206" spans="2:15">
      <c r="B206" s="8"/>
    </row>
    <row r="207" spans="2:15">
      <c r="B207" s="8"/>
    </row>
    <row r="208" spans="2:15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</sheetData>
  <mergeCells count="3">
    <mergeCell ref="A1:N1"/>
    <mergeCell ref="A3:N3"/>
    <mergeCell ref="A5:N5"/>
  </mergeCells>
  <phoneticPr fontId="12" type="noConversion"/>
  <hyperlinks>
    <hyperlink ref="P17" r:id="rId1" display="=O17-@sum(E17:N17)"/>
  </hyperlinks>
  <pageMargins left="0.12013888888888889" right="0.11805555555555555" top="0.12986111111111112" bottom="0.12986111111111112" header="0" footer="0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1"/>
  <sheetViews>
    <sheetView workbookViewId="0">
      <selection activeCell="N11" sqref="N11"/>
    </sheetView>
  </sheetViews>
  <sheetFormatPr defaultColWidth="11.42578125" defaultRowHeight="12.75"/>
  <cols>
    <col min="1" max="1" width="8.7109375" customWidth="1"/>
    <col min="2" max="2" width="15.7109375" customWidth="1"/>
    <col min="3" max="17" width="11.42578125" customWidth="1"/>
    <col min="18" max="19" width="15.7109375" customWidth="1"/>
    <col min="20" max="25" width="11.42578125" customWidth="1"/>
  </cols>
  <sheetData>
    <row r="1" spans="1:19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60"/>
      <c r="P1" s="60"/>
      <c r="Q1" s="60"/>
    </row>
    <row r="2" spans="1:19">
      <c r="A2" s="11" t="s">
        <v>92</v>
      </c>
      <c r="B2" s="8"/>
      <c r="M2" s="24" t="s">
        <v>1</v>
      </c>
    </row>
    <row r="3" spans="1:19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60"/>
      <c r="P3" s="60"/>
      <c r="Q3" s="60"/>
    </row>
    <row r="4" spans="1:19">
      <c r="B4" s="8"/>
    </row>
    <row r="5" spans="1:19" ht="12.75" customHeight="1">
      <c r="A5" s="199" t="s">
        <v>140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61"/>
      <c r="P5" s="61"/>
      <c r="Q5" s="61"/>
    </row>
    <row r="6" spans="1:19" hidden="1">
      <c r="B6" s="8"/>
    </row>
    <row r="7" spans="1:19" hidden="1">
      <c r="B7" s="8"/>
    </row>
    <row r="8" spans="1:19">
      <c r="B8" s="8"/>
    </row>
    <row r="9" spans="1:19">
      <c r="B9" s="8"/>
    </row>
    <row r="10" spans="1:19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/>
      <c r="P10" s="2"/>
      <c r="Q10" s="2"/>
    </row>
    <row r="11" spans="1:19">
      <c r="B11" s="8"/>
      <c r="C11" s="51" t="s">
        <v>124</v>
      </c>
      <c r="D11" s="51" t="s">
        <v>124</v>
      </c>
      <c r="E11" s="51" t="s">
        <v>124</v>
      </c>
      <c r="F11" s="51" t="s">
        <v>124</v>
      </c>
      <c r="G11" s="51" t="s">
        <v>124</v>
      </c>
      <c r="H11" s="51" t="s">
        <v>124</v>
      </c>
      <c r="I11" s="51" t="s">
        <v>124</v>
      </c>
      <c r="J11" s="51" t="s">
        <v>124</v>
      </c>
      <c r="K11" s="51" t="s">
        <v>124</v>
      </c>
      <c r="L11" s="51" t="s">
        <v>124</v>
      </c>
      <c r="M11" s="51" t="s">
        <v>124</v>
      </c>
      <c r="N11" s="51" t="s">
        <v>124</v>
      </c>
      <c r="O11" s="62"/>
      <c r="P11" s="62"/>
      <c r="Q11" s="62"/>
    </row>
    <row r="12" spans="1:19">
      <c r="A12" s="18" t="s">
        <v>95</v>
      </c>
      <c r="B12" s="8"/>
      <c r="C12" s="20">
        <f>'Cash Flow 2010'!N109</f>
        <v>422288.01399999985</v>
      </c>
      <c r="D12" s="20">
        <f t="shared" ref="D12:N12" si="0">C111</f>
        <v>205828.11399999986</v>
      </c>
      <c r="E12" s="20">
        <f t="shared" si="0"/>
        <v>135128.83399999974</v>
      </c>
      <c r="F12" s="20">
        <f t="shared" si="0"/>
        <v>592802.67399999988</v>
      </c>
      <c r="G12" s="20">
        <f t="shared" si="0"/>
        <v>320120.62399999984</v>
      </c>
      <c r="H12" s="20">
        <f t="shared" si="0"/>
        <v>154816.19399999978</v>
      </c>
      <c r="I12" s="20">
        <f t="shared" si="0"/>
        <v>634010.18399999966</v>
      </c>
      <c r="J12" s="20">
        <f t="shared" si="0"/>
        <v>434518.00399999967</v>
      </c>
      <c r="K12" s="20">
        <f t="shared" si="0"/>
        <v>308595.78399999964</v>
      </c>
      <c r="L12" s="20">
        <f t="shared" si="0"/>
        <v>642475.39399999962</v>
      </c>
      <c r="M12" s="20">
        <f t="shared" si="0"/>
        <v>479845.3649999997</v>
      </c>
      <c r="N12" s="20">
        <f t="shared" si="0"/>
        <v>258658.19499999942</v>
      </c>
      <c r="O12" s="20">
        <f>C12</f>
        <v>422288.01399999985</v>
      </c>
      <c r="P12" s="20"/>
      <c r="Q12" s="20"/>
    </row>
    <row r="13" spans="1:19">
      <c r="A13" s="4" t="s">
        <v>92</v>
      </c>
      <c r="B13" s="8"/>
    </row>
    <row r="14" spans="1:19">
      <c r="B14" s="8"/>
    </row>
    <row r="15" spans="1:19">
      <c r="A15" s="38" t="s">
        <v>143</v>
      </c>
      <c r="B15" s="8"/>
    </row>
    <row r="16" spans="1:19">
      <c r="A16">
        <v>210</v>
      </c>
      <c r="B16" s="9" t="s">
        <v>17</v>
      </c>
      <c r="C16" s="26">
        <v>0</v>
      </c>
      <c r="D16" s="26">
        <v>0</v>
      </c>
      <c r="E16" s="26">
        <v>592230</v>
      </c>
      <c r="F16" s="56">
        <v>0</v>
      </c>
      <c r="G16" s="26">
        <v>0</v>
      </c>
      <c r="H16" s="26">
        <v>567903</v>
      </c>
      <c r="I16" s="26">
        <v>0</v>
      </c>
      <c r="J16" s="26">
        <v>0</v>
      </c>
      <c r="K16" s="26">
        <v>565894</v>
      </c>
      <c r="L16" s="26">
        <v>0</v>
      </c>
      <c r="M16" s="26">
        <v>0</v>
      </c>
      <c r="N16" s="26">
        <v>551101</v>
      </c>
      <c r="O16" s="26">
        <f>SUM(C16:N16)</f>
        <v>2277128</v>
      </c>
      <c r="P16" s="26"/>
      <c r="Q16" s="26"/>
      <c r="R16" s="37">
        <f t="shared" ref="R16:R28" si="1">SUM(C16:N16)</f>
        <v>2277128</v>
      </c>
      <c r="S16" t="s">
        <v>138</v>
      </c>
    </row>
    <row r="17" spans="1:19">
      <c r="B17" s="9" t="s">
        <v>130</v>
      </c>
      <c r="C17">
        <v>0</v>
      </c>
      <c r="D17">
        <v>23608.21</v>
      </c>
      <c r="E17">
        <v>46622.23</v>
      </c>
      <c r="F17" s="20">
        <v>0</v>
      </c>
      <c r="G17" s="57">
        <v>0</v>
      </c>
      <c r="H17" s="57">
        <f>32437.67+29126.51</f>
        <v>61564.179999999993</v>
      </c>
      <c r="I17" s="57">
        <v>0</v>
      </c>
      <c r="J17" s="57">
        <v>23458.81</v>
      </c>
      <c r="K17" s="57">
        <v>17673.95</v>
      </c>
      <c r="L17" s="57">
        <v>19618</v>
      </c>
      <c r="M17" s="57">
        <v>25869.71</v>
      </c>
      <c r="N17" s="57">
        <f>22516.61</f>
        <v>22516.61</v>
      </c>
      <c r="O17" s="26">
        <f t="shared" ref="O17:O28" si="2">SUM(C17:N17)</f>
        <v>240931.7</v>
      </c>
      <c r="P17" s="57"/>
      <c r="Q17" s="57"/>
      <c r="R17" s="37">
        <f t="shared" si="1"/>
        <v>240931.7</v>
      </c>
      <c r="S17" t="s">
        <v>139</v>
      </c>
    </row>
    <row r="18" spans="1:19">
      <c r="B18" s="9" t="s">
        <v>178</v>
      </c>
      <c r="F18" s="20"/>
      <c r="G18" s="57">
        <v>20804</v>
      </c>
      <c r="H18" s="57"/>
      <c r="I18" s="57"/>
      <c r="J18" s="57"/>
      <c r="K18" s="57">
        <v>0</v>
      </c>
      <c r="L18" s="57"/>
      <c r="M18" s="57"/>
      <c r="N18" s="57"/>
      <c r="O18" s="26">
        <f t="shared" si="2"/>
        <v>20804</v>
      </c>
      <c r="P18" s="57"/>
      <c r="Q18" s="57"/>
      <c r="R18" s="37"/>
    </row>
    <row r="19" spans="1:19">
      <c r="B19" s="9" t="s">
        <v>161</v>
      </c>
      <c r="C19" s="26"/>
      <c r="D19" s="26">
        <v>1023</v>
      </c>
      <c r="E19" s="26"/>
      <c r="F19" s="56">
        <v>0</v>
      </c>
      <c r="G19" s="56"/>
      <c r="H19" s="56">
        <v>0</v>
      </c>
      <c r="I19" s="56">
        <v>4605</v>
      </c>
      <c r="J19" s="56"/>
      <c r="K19" s="56"/>
      <c r="L19" s="56"/>
      <c r="M19" s="56"/>
      <c r="N19" s="56"/>
      <c r="O19" s="26">
        <f t="shared" si="2"/>
        <v>5628</v>
      </c>
      <c r="P19" s="56"/>
      <c r="Q19" s="56"/>
      <c r="R19" s="37">
        <f t="shared" si="1"/>
        <v>5628</v>
      </c>
    </row>
    <row r="20" spans="1:19">
      <c r="B20" s="9" t="s">
        <v>180</v>
      </c>
      <c r="C20" s="26"/>
      <c r="D20" s="26"/>
      <c r="E20" s="26"/>
      <c r="F20" s="56">
        <v>0</v>
      </c>
      <c r="G20" s="26"/>
      <c r="H20" s="26">
        <v>0</v>
      </c>
      <c r="I20" s="26"/>
      <c r="J20" s="26">
        <f>3346+10654+4606</f>
        <v>18606</v>
      </c>
      <c r="K20" s="26">
        <v>0</v>
      </c>
      <c r="L20" s="26">
        <v>7183</v>
      </c>
      <c r="M20" s="26"/>
      <c r="N20" s="26"/>
      <c r="O20" s="26">
        <f t="shared" si="2"/>
        <v>25789</v>
      </c>
      <c r="P20" s="26"/>
      <c r="Q20" s="26"/>
      <c r="R20" s="37">
        <f t="shared" si="1"/>
        <v>25789</v>
      </c>
    </row>
    <row r="21" spans="1:19">
      <c r="B21" s="9" t="s">
        <v>170</v>
      </c>
      <c r="C21" s="26"/>
      <c r="D21" s="26"/>
      <c r="E21" s="26"/>
      <c r="F21" s="56"/>
      <c r="G21" s="26"/>
      <c r="H21" s="26">
        <v>0</v>
      </c>
      <c r="I21" s="26"/>
      <c r="J21" s="26">
        <v>2058</v>
      </c>
      <c r="K21" s="26">
        <v>10000</v>
      </c>
      <c r="L21" s="26"/>
      <c r="M21" s="26"/>
      <c r="N21" s="26"/>
      <c r="O21" s="26">
        <f t="shared" si="2"/>
        <v>12058</v>
      </c>
      <c r="P21" s="26"/>
      <c r="Q21" s="26"/>
      <c r="R21" s="37">
        <f t="shared" si="1"/>
        <v>12058</v>
      </c>
    </row>
    <row r="22" spans="1:19">
      <c r="B22" s="9" t="s">
        <v>179</v>
      </c>
      <c r="C22" s="26">
        <v>1210</v>
      </c>
      <c r="D22" s="26"/>
      <c r="E22" s="26"/>
      <c r="F22" s="56"/>
      <c r="G22" s="26"/>
      <c r="H22" s="26">
        <f>21000+5300</f>
        <v>26300</v>
      </c>
      <c r="I22" s="26"/>
      <c r="J22" s="26"/>
      <c r="L22" s="26"/>
      <c r="M22" s="26"/>
      <c r="N22" s="26"/>
      <c r="O22" s="26">
        <f t="shared" si="2"/>
        <v>27510</v>
      </c>
      <c r="P22" s="26"/>
      <c r="Q22" s="26"/>
      <c r="R22" s="37">
        <f t="shared" si="1"/>
        <v>27510</v>
      </c>
    </row>
    <row r="23" spans="1:19">
      <c r="B23" s="9" t="s">
        <v>18</v>
      </c>
      <c r="C23" s="26">
        <f>2038.7+24+38.5</f>
        <v>2101.1999999999998</v>
      </c>
      <c r="D23" s="26"/>
      <c r="E23" s="26">
        <f>2737.25+87.76+10120.34+4706.15+2195+391.7+414.35+345.5+360</f>
        <v>21358.05</v>
      </c>
      <c r="F23" s="56">
        <f>1162.55+250+758.5+1198</f>
        <v>3369.05</v>
      </c>
      <c r="G23" s="26">
        <f>619.25+930.75+714.2+463.5+579+337.35+864.4+557.05+206.5+528.75+315+140+4983</f>
        <v>11238.75</v>
      </c>
      <c r="H23" s="26">
        <f>602+182.77+782.25+25+1353.5+215.52+137+1510.15+20.56+2220+648</f>
        <v>7696.7500000000009</v>
      </c>
      <c r="I23" s="26">
        <f>2223+17+570.25+513+100+569.3+333.25+693.5</f>
        <v>5019.3</v>
      </c>
      <c r="J23" s="26">
        <f>615.95+928.5</f>
        <v>1544.45</v>
      </c>
      <c r="K23" s="26">
        <f>925.85+1162.92+1067+157+747+323.49+555</f>
        <v>4938.26</v>
      </c>
      <c r="L23" s="26">
        <f>1094.85+536.3+1667.78+580</f>
        <v>3878.93</v>
      </c>
      <c r="M23" s="26">
        <f>1023.87+794.25+931.75+411.35+602+959.3+460.25</f>
        <v>5182.7699999999995</v>
      </c>
      <c r="N23" s="26">
        <f>303.4+158+46.37+215+250+44</f>
        <v>1016.77</v>
      </c>
      <c r="O23" s="26">
        <f t="shared" si="2"/>
        <v>67344.280000000013</v>
      </c>
      <c r="P23" s="26"/>
      <c r="Q23" s="26"/>
      <c r="R23" s="37">
        <f t="shared" si="1"/>
        <v>67344.280000000013</v>
      </c>
      <c r="S23">
        <f>283*A16</f>
        <v>59430</v>
      </c>
    </row>
    <row r="24" spans="1:19">
      <c r="B24" s="9" t="s">
        <v>19</v>
      </c>
      <c r="C24" s="26">
        <f>221.95+130</f>
        <v>351.95</v>
      </c>
      <c r="D24" s="26">
        <v>0</v>
      </c>
      <c r="E24" s="26">
        <v>0</v>
      </c>
      <c r="F24" s="56">
        <v>0</v>
      </c>
      <c r="G24" s="26">
        <v>0</v>
      </c>
      <c r="H24" s="26">
        <v>32.75</v>
      </c>
      <c r="I24" s="26">
        <v>0</v>
      </c>
      <c r="J24" s="26">
        <f>4+2500+150</f>
        <v>2654</v>
      </c>
      <c r="K24" s="26">
        <f>385.33+25</f>
        <v>410.33</v>
      </c>
      <c r="L24" s="26">
        <v>0</v>
      </c>
      <c r="M24" s="26">
        <f>2000</f>
        <v>2000</v>
      </c>
      <c r="N24" s="26">
        <f>450+158.69+211.99+161+24.63</f>
        <v>1006.3100000000001</v>
      </c>
      <c r="O24" s="26">
        <f t="shared" si="2"/>
        <v>6455.34</v>
      </c>
      <c r="P24" s="26"/>
      <c r="Q24" s="26"/>
      <c r="R24" s="37">
        <f t="shared" si="1"/>
        <v>6455.34</v>
      </c>
    </row>
    <row r="25" spans="1:19">
      <c r="B25" s="9" t="s">
        <v>20</v>
      </c>
      <c r="C25" s="26">
        <v>848</v>
      </c>
      <c r="D25" s="26">
        <v>0</v>
      </c>
      <c r="E25" s="26">
        <f>1563+4112.8</f>
        <v>5675.8</v>
      </c>
      <c r="F25" s="56">
        <v>2122.1999999999998</v>
      </c>
      <c r="G25" s="26">
        <f>982.5+535.5</f>
        <v>1518</v>
      </c>
      <c r="H25" s="26">
        <f>694.5+960</f>
        <v>1654.5</v>
      </c>
      <c r="I25" s="26">
        <f>465.6+1264.5</f>
        <v>1730.1</v>
      </c>
      <c r="J25" s="26">
        <f>20.75+1865.5</f>
        <v>1886.25</v>
      </c>
      <c r="K25" s="26">
        <f>690.3+1590+1949.5</f>
        <v>4229.8</v>
      </c>
      <c r="L25" s="26">
        <f>1521</f>
        <v>1521</v>
      </c>
      <c r="M25" s="26">
        <f>624+679.5+1126.5</f>
        <v>2430</v>
      </c>
      <c r="N25" s="26">
        <f>1542+1252</f>
        <v>2794</v>
      </c>
      <c r="O25" s="26">
        <f t="shared" si="2"/>
        <v>26409.65</v>
      </c>
      <c r="P25" s="26"/>
      <c r="Q25" s="26"/>
      <c r="R25" s="37">
        <f t="shared" si="1"/>
        <v>26409.65</v>
      </c>
      <c r="S25">
        <v>16000</v>
      </c>
    </row>
    <row r="26" spans="1:19">
      <c r="B26" s="9" t="s">
        <v>183</v>
      </c>
      <c r="C26" s="26"/>
      <c r="D26" s="26"/>
      <c r="E26" s="26"/>
      <c r="F26" s="56"/>
      <c r="G26" s="26"/>
      <c r="H26" s="26"/>
      <c r="I26" s="26"/>
      <c r="J26" s="26"/>
      <c r="K26" s="26"/>
      <c r="L26" s="26"/>
      <c r="M26" s="26">
        <f>2777.5+1652.5</f>
        <v>4430</v>
      </c>
      <c r="N26" s="26">
        <f>4355+2082.5</f>
        <v>6437.5</v>
      </c>
      <c r="O26" s="26">
        <f t="shared" si="2"/>
        <v>10867.5</v>
      </c>
      <c r="P26" s="26"/>
      <c r="Q26" s="26"/>
      <c r="R26" s="37"/>
    </row>
    <row r="27" spans="1:19">
      <c r="B27" s="9" t="s">
        <v>21</v>
      </c>
      <c r="C27" s="26">
        <v>0</v>
      </c>
      <c r="D27" s="26">
        <v>0</v>
      </c>
      <c r="E27" s="26">
        <v>75</v>
      </c>
      <c r="F27" s="56">
        <v>0</v>
      </c>
      <c r="G27" s="26">
        <v>0</v>
      </c>
      <c r="H27" s="26">
        <v>5000</v>
      </c>
      <c r="I27" s="26">
        <v>0</v>
      </c>
      <c r="J27" s="26">
        <v>0</v>
      </c>
      <c r="K27" s="26">
        <f>149</f>
        <v>149</v>
      </c>
      <c r="L27" s="26">
        <v>717.63</v>
      </c>
      <c r="M27" s="26">
        <f>640.78+250+136+270+125+77.78</f>
        <v>1499.56</v>
      </c>
      <c r="N27" s="26">
        <v>150</v>
      </c>
      <c r="O27" s="26">
        <f t="shared" si="2"/>
        <v>7591.1900000000005</v>
      </c>
      <c r="P27" s="26"/>
      <c r="Q27" s="26"/>
      <c r="R27" s="37">
        <f t="shared" si="1"/>
        <v>7591.1900000000005</v>
      </c>
    </row>
    <row r="28" spans="1:19">
      <c r="B28" s="9" t="s">
        <v>214</v>
      </c>
      <c r="C28" s="27">
        <v>0</v>
      </c>
      <c r="D28" s="26">
        <f>42096.5+165532.09</f>
        <v>207628.59</v>
      </c>
      <c r="E28" s="26">
        <f>50000+27306.75</f>
        <v>77306.75</v>
      </c>
      <c r="F28" s="56">
        <v>246548.2</v>
      </c>
      <c r="G28" s="26">
        <v>0</v>
      </c>
      <c r="H28" s="26">
        <f>20916.16+107415</f>
        <v>128331.16</v>
      </c>
      <c r="I28" s="26">
        <v>119482</v>
      </c>
      <c r="J28" s="26">
        <v>0</v>
      </c>
      <c r="K28" s="26">
        <v>60898.3</v>
      </c>
      <c r="L28" s="26">
        <v>0</v>
      </c>
      <c r="M28" s="26">
        <v>50953</v>
      </c>
      <c r="N28" s="26">
        <v>170376.75</v>
      </c>
      <c r="O28" s="26">
        <f t="shared" si="2"/>
        <v>1061524.75</v>
      </c>
      <c r="P28" s="26"/>
      <c r="Q28" s="26"/>
      <c r="R28" s="37">
        <f t="shared" si="1"/>
        <v>1061524.75</v>
      </c>
    </row>
    <row r="29" spans="1:19">
      <c r="A29" s="38" t="s">
        <v>96</v>
      </c>
      <c r="B29" s="9"/>
      <c r="C29" s="28">
        <f t="shared" ref="C29:N29" si="3">SUM(C16:C28)</f>
        <v>4511.1499999999996</v>
      </c>
      <c r="D29" s="28">
        <f t="shared" si="3"/>
        <v>232259.8</v>
      </c>
      <c r="E29" s="28">
        <f t="shared" si="3"/>
        <v>743267.83000000007</v>
      </c>
      <c r="F29" s="28">
        <f t="shared" si="3"/>
        <v>252039.45</v>
      </c>
      <c r="G29" s="28">
        <f t="shared" si="3"/>
        <v>33560.75</v>
      </c>
      <c r="H29" s="28">
        <f t="shared" si="3"/>
        <v>798482.34</v>
      </c>
      <c r="I29" s="28">
        <f t="shared" si="3"/>
        <v>130836.4</v>
      </c>
      <c r="J29" s="28">
        <f t="shared" si="3"/>
        <v>50207.509999999995</v>
      </c>
      <c r="K29" s="28">
        <f t="shared" si="3"/>
        <v>664193.64</v>
      </c>
      <c r="L29" s="28">
        <f t="shared" si="3"/>
        <v>32918.559999999998</v>
      </c>
      <c r="M29" s="28">
        <f t="shared" si="3"/>
        <v>92365.04</v>
      </c>
      <c r="N29" s="28">
        <f t="shared" si="3"/>
        <v>755398.94000000006</v>
      </c>
      <c r="O29" s="63">
        <f>SUM(O16:O28)</f>
        <v>3790041.4099999997</v>
      </c>
      <c r="P29" s="63"/>
      <c r="Q29" s="63"/>
    </row>
    <row r="30" spans="1:19">
      <c r="A30" s="38" t="s">
        <v>98</v>
      </c>
      <c r="B30" s="10"/>
      <c r="C30" s="29">
        <f t="shared" ref="C30:N30" si="4">C29+C12</f>
        <v>426799.16399999987</v>
      </c>
      <c r="D30" s="29">
        <f t="shared" si="4"/>
        <v>438087.91399999987</v>
      </c>
      <c r="E30" s="29">
        <f t="shared" si="4"/>
        <v>878396.66399999987</v>
      </c>
      <c r="F30" s="29">
        <f t="shared" si="4"/>
        <v>844842.12399999984</v>
      </c>
      <c r="G30" s="29">
        <f t="shared" si="4"/>
        <v>353681.37399999984</v>
      </c>
      <c r="H30" s="29">
        <f t="shared" si="4"/>
        <v>953298.53399999975</v>
      </c>
      <c r="I30" s="29">
        <f t="shared" si="4"/>
        <v>764846.58399999968</v>
      </c>
      <c r="J30" s="29">
        <f t="shared" si="4"/>
        <v>484725.51399999968</v>
      </c>
      <c r="K30" s="29">
        <f t="shared" si="4"/>
        <v>972789.42399999965</v>
      </c>
      <c r="L30" s="29">
        <f t="shared" si="4"/>
        <v>675393.95399999968</v>
      </c>
      <c r="M30" s="29">
        <f t="shared" si="4"/>
        <v>572210.40499999968</v>
      </c>
      <c r="N30" s="29">
        <f t="shared" si="4"/>
        <v>1014057.1349999995</v>
      </c>
      <c r="O30" s="64">
        <f>O29+O12</f>
        <v>4212329.4239999996</v>
      </c>
      <c r="P30" s="64"/>
      <c r="Q30" s="64"/>
      <c r="R30" s="37">
        <f>SUM(R16:R29)</f>
        <v>3758369.9099999997</v>
      </c>
    </row>
    <row r="31" spans="1:19">
      <c r="B31" s="8"/>
    </row>
    <row r="32" spans="1:19">
      <c r="A32" s="4" t="s">
        <v>99</v>
      </c>
      <c r="B32" s="8"/>
    </row>
    <row r="33" spans="1:20">
      <c r="A33" s="19" t="s">
        <v>92</v>
      </c>
      <c r="B33" s="8" t="s">
        <v>92</v>
      </c>
    </row>
    <row r="34" spans="1:20">
      <c r="B34" s="9" t="s">
        <v>22</v>
      </c>
      <c r="C34" s="5">
        <f>'Cash Flow 2010'!N32</f>
        <v>3917.1538461538462</v>
      </c>
      <c r="D34" s="5">
        <f>S34</f>
        <v>4000</v>
      </c>
      <c r="E34" s="5">
        <f>S34</f>
        <v>4000</v>
      </c>
      <c r="F34" s="5">
        <v>4000</v>
      </c>
      <c r="G34" s="5">
        <f>S34</f>
        <v>4000</v>
      </c>
      <c r="H34" s="5">
        <v>6000</v>
      </c>
      <c r="I34" s="5">
        <f>S34</f>
        <v>4000</v>
      </c>
      <c r="J34" s="5">
        <v>4000</v>
      </c>
      <c r="K34" s="5">
        <f>H34</f>
        <v>6000</v>
      </c>
      <c r="L34" s="5">
        <f>S34</f>
        <v>4000</v>
      </c>
      <c r="M34" s="5">
        <f>S34</f>
        <v>4000</v>
      </c>
      <c r="N34" s="5">
        <f>S34</f>
        <v>4000</v>
      </c>
      <c r="O34" s="26">
        <f t="shared" ref="O34:O97" si="5">SUM(C34:N34)</f>
        <v>51917.153846153844</v>
      </c>
      <c r="P34" s="5"/>
      <c r="Q34" s="5"/>
      <c r="R34" s="37">
        <v>52000</v>
      </c>
      <c r="S34" s="37">
        <f>R34/26*2</f>
        <v>4000</v>
      </c>
    </row>
    <row r="35" spans="1:20">
      <c r="B35" s="9" t="s">
        <v>158</v>
      </c>
      <c r="C35" s="5">
        <f>'Cash Flow 2010'!N33</f>
        <v>3384.62</v>
      </c>
      <c r="D35" s="5">
        <f t="shared" ref="D35:D44" si="6">S35</f>
        <v>4615.3846153846152</v>
      </c>
      <c r="E35" s="5">
        <f t="shared" ref="E35:E44" si="7">S35</f>
        <v>4615.3846153846152</v>
      </c>
      <c r="F35" s="5">
        <v>3692.31</v>
      </c>
      <c r="G35" s="5">
        <f t="shared" ref="G35:G44" si="8">S35</f>
        <v>4615.3846153846152</v>
      </c>
      <c r="H35" s="5">
        <f>G35/2*3</f>
        <v>6923.0769230769229</v>
      </c>
      <c r="I35" s="5">
        <f t="shared" ref="I35:I44" si="9">S35</f>
        <v>4615.3846153846152</v>
      </c>
      <c r="J35" s="5">
        <v>3692.31</v>
      </c>
      <c r="K35" s="5">
        <f t="shared" ref="K35:K48" si="10">H35</f>
        <v>6923.0769230769229</v>
      </c>
      <c r="L35" s="5">
        <f t="shared" ref="L35:L44" si="11">S35</f>
        <v>4615.3846153846152</v>
      </c>
      <c r="M35" s="5">
        <f t="shared" ref="M35:M44" si="12">S35</f>
        <v>4615.3846153846152</v>
      </c>
      <c r="N35" s="5">
        <f t="shared" ref="N35:N44" si="13">S35</f>
        <v>4615.3846153846152</v>
      </c>
      <c r="O35" s="26">
        <f t="shared" si="5"/>
        <v>56923.086153846154</v>
      </c>
      <c r="P35" s="5"/>
      <c r="Q35" s="5"/>
      <c r="R35" s="37">
        <v>60000</v>
      </c>
      <c r="S35" s="37">
        <f t="shared" ref="S35:S44" si="14">R35/26*2</f>
        <v>4615.3846153846152</v>
      </c>
    </row>
    <row r="36" spans="1:20">
      <c r="B36" s="9" t="s">
        <v>159</v>
      </c>
      <c r="C36" s="5">
        <f>'Cash Flow 2010'!N34</f>
        <v>2692.3076923076924</v>
      </c>
      <c r="D36" s="5">
        <f t="shared" si="6"/>
        <v>3384.6153846153848</v>
      </c>
      <c r="E36" s="5">
        <f t="shared" si="7"/>
        <v>3384.6153846153848</v>
      </c>
      <c r="F36" s="5">
        <v>3384.62</v>
      </c>
      <c r="G36" s="5">
        <f t="shared" si="8"/>
        <v>3384.6153846153848</v>
      </c>
      <c r="H36" s="5">
        <v>5076.92</v>
      </c>
      <c r="I36" s="5">
        <f t="shared" si="9"/>
        <v>3384.6153846153848</v>
      </c>
      <c r="J36" s="5">
        <v>3384.62</v>
      </c>
      <c r="K36" s="5">
        <f t="shared" si="10"/>
        <v>5076.92</v>
      </c>
      <c r="L36" s="5">
        <f t="shared" si="11"/>
        <v>3384.6153846153848</v>
      </c>
      <c r="M36" s="5">
        <f t="shared" si="12"/>
        <v>3384.6153846153848</v>
      </c>
      <c r="N36" s="5">
        <f t="shared" si="13"/>
        <v>3384.6153846153848</v>
      </c>
      <c r="O36" s="26">
        <f t="shared" si="5"/>
        <v>43307.695384615377</v>
      </c>
      <c r="P36" s="5"/>
      <c r="Q36" s="5"/>
      <c r="R36" s="37">
        <v>44000</v>
      </c>
      <c r="S36" s="37">
        <f t="shared" si="14"/>
        <v>3384.6153846153848</v>
      </c>
    </row>
    <row r="37" spans="1:20">
      <c r="B37" s="9" t="s">
        <v>163</v>
      </c>
      <c r="C37" s="5">
        <v>0</v>
      </c>
      <c r="D37" s="5">
        <f t="shared" si="6"/>
        <v>3076.9230769230771</v>
      </c>
      <c r="E37" s="5">
        <f t="shared" si="7"/>
        <v>3076.9230769230771</v>
      </c>
      <c r="F37" s="5">
        <v>3076.92</v>
      </c>
      <c r="G37" s="5">
        <f t="shared" si="8"/>
        <v>3076.9230769230771</v>
      </c>
      <c r="H37" s="5">
        <v>4615.38</v>
      </c>
      <c r="I37" s="5">
        <f t="shared" si="9"/>
        <v>3076.9230769230771</v>
      </c>
      <c r="J37" s="5">
        <v>3076.92</v>
      </c>
      <c r="K37" s="5">
        <f t="shared" si="10"/>
        <v>4615.38</v>
      </c>
      <c r="L37" s="5">
        <f t="shared" si="11"/>
        <v>3076.9230769230771</v>
      </c>
      <c r="M37" s="5">
        <f t="shared" si="12"/>
        <v>3076.9230769230771</v>
      </c>
      <c r="N37" s="5">
        <f t="shared" si="13"/>
        <v>3076.9230769230771</v>
      </c>
      <c r="O37" s="26">
        <f t="shared" si="5"/>
        <v>36923.061538461545</v>
      </c>
      <c r="P37" s="5"/>
      <c r="Q37" s="5"/>
      <c r="R37" s="37">
        <v>40000</v>
      </c>
      <c r="S37" s="37">
        <f t="shared" si="14"/>
        <v>3076.9230769230771</v>
      </c>
    </row>
    <row r="38" spans="1:20">
      <c r="B38" s="9" t="s">
        <v>173</v>
      </c>
      <c r="C38" s="5">
        <f>'Cash Flow 2010'!N36</f>
        <v>0</v>
      </c>
      <c r="D38" s="5">
        <f t="shared" si="6"/>
        <v>3076.9230769230771</v>
      </c>
      <c r="E38" s="5">
        <f t="shared" si="7"/>
        <v>3076.9230769230771</v>
      </c>
      <c r="F38" s="5">
        <v>3076.92</v>
      </c>
      <c r="G38" s="5">
        <f t="shared" si="8"/>
        <v>3076.9230769230771</v>
      </c>
      <c r="H38" s="5">
        <v>4615.38</v>
      </c>
      <c r="I38" s="5">
        <f t="shared" si="9"/>
        <v>3076.9230769230771</v>
      </c>
      <c r="J38" s="5">
        <v>3076.92</v>
      </c>
      <c r="K38" s="5">
        <f t="shared" si="10"/>
        <v>4615.38</v>
      </c>
      <c r="L38" s="5">
        <f t="shared" si="11"/>
        <v>3076.9230769230771</v>
      </c>
      <c r="M38" s="5">
        <f t="shared" si="12"/>
        <v>3076.9230769230771</v>
      </c>
      <c r="N38" s="5">
        <f t="shared" si="13"/>
        <v>3076.9230769230771</v>
      </c>
      <c r="O38" s="26">
        <f t="shared" si="5"/>
        <v>36923.061538461545</v>
      </c>
      <c r="P38" s="5"/>
      <c r="Q38" s="5"/>
      <c r="R38" s="37">
        <v>40000</v>
      </c>
      <c r="S38" s="37">
        <f t="shared" si="14"/>
        <v>3076.9230769230771</v>
      </c>
    </row>
    <row r="39" spans="1:20">
      <c r="B39" s="9" t="s">
        <v>24</v>
      </c>
      <c r="C39" s="5">
        <f>'Cash Flow 2010'!N35</f>
        <v>2884.6153846153848</v>
      </c>
      <c r="D39" s="5">
        <f t="shared" si="6"/>
        <v>2153.8461538461538</v>
      </c>
      <c r="E39" s="5">
        <f t="shared" si="7"/>
        <v>2153.8461538461538</v>
      </c>
      <c r="F39" s="5">
        <v>3076.92</v>
      </c>
      <c r="G39" s="5">
        <f t="shared" si="8"/>
        <v>2153.8461538461538</v>
      </c>
      <c r="H39" s="5">
        <v>4615.38</v>
      </c>
      <c r="I39" s="5">
        <f t="shared" si="9"/>
        <v>2153.8461538461538</v>
      </c>
      <c r="J39" s="5">
        <v>3076.92</v>
      </c>
      <c r="K39" s="5">
        <f t="shared" si="10"/>
        <v>4615.38</v>
      </c>
      <c r="L39" s="5">
        <f t="shared" si="11"/>
        <v>2153.8461538461538</v>
      </c>
      <c r="M39" s="5">
        <f t="shared" si="12"/>
        <v>2153.8461538461538</v>
      </c>
      <c r="N39" s="5">
        <f t="shared" si="13"/>
        <v>2153.8461538461538</v>
      </c>
      <c r="O39" s="26">
        <f t="shared" si="5"/>
        <v>33346.13846153846</v>
      </c>
      <c r="P39" s="5"/>
      <c r="Q39" s="5"/>
      <c r="R39" s="37">
        <v>28000</v>
      </c>
      <c r="S39" s="37">
        <f t="shared" si="14"/>
        <v>2153.8461538461538</v>
      </c>
    </row>
    <row r="40" spans="1:20">
      <c r="B40" s="9" t="s">
        <v>27</v>
      </c>
      <c r="C40" s="5">
        <f>'Cash Flow 2010'!N38</f>
        <v>52350.769230769234</v>
      </c>
      <c r="D40" s="5">
        <f t="shared" si="6"/>
        <v>70492.307692307688</v>
      </c>
      <c r="E40" s="5">
        <f t="shared" si="7"/>
        <v>70492.307692307688</v>
      </c>
      <c r="F40" s="5">
        <v>70492.31</v>
      </c>
      <c r="G40" s="5">
        <f t="shared" si="8"/>
        <v>70492.307692307688</v>
      </c>
      <c r="H40" s="5">
        <v>105738.46</v>
      </c>
      <c r="I40" s="5">
        <f t="shared" si="9"/>
        <v>70492.307692307688</v>
      </c>
      <c r="J40" s="5">
        <v>70492.31</v>
      </c>
      <c r="K40" s="5">
        <f t="shared" si="10"/>
        <v>105738.46</v>
      </c>
      <c r="L40" s="5">
        <f t="shared" si="11"/>
        <v>70492.307692307688</v>
      </c>
      <c r="M40" s="5">
        <f t="shared" si="12"/>
        <v>70492.307692307688</v>
      </c>
      <c r="N40" s="5">
        <f t="shared" si="13"/>
        <v>70492.307692307688</v>
      </c>
      <c r="O40" s="26">
        <f t="shared" si="5"/>
        <v>898258.46307692328</v>
      </c>
      <c r="P40" s="5"/>
      <c r="Q40" s="5"/>
      <c r="R40" s="37">
        <v>916400</v>
      </c>
      <c r="S40" s="37">
        <f t="shared" si="14"/>
        <v>70492.307692307688</v>
      </c>
      <c r="T40" s="37" t="s">
        <v>92</v>
      </c>
    </row>
    <row r="41" spans="1:20">
      <c r="B41" s="9" t="s">
        <v>31</v>
      </c>
      <c r="C41" s="5">
        <f>'Cash Flow 2010'!N39</f>
        <v>4292.3076923076924</v>
      </c>
      <c r="D41" s="5">
        <f t="shared" si="6"/>
        <v>8984.6153846153848</v>
      </c>
      <c r="E41" s="5">
        <f t="shared" si="7"/>
        <v>8984.6153846153848</v>
      </c>
      <c r="F41" s="5">
        <v>8984.6200000000008</v>
      </c>
      <c r="G41" s="5">
        <f t="shared" si="8"/>
        <v>8984.6153846153848</v>
      </c>
      <c r="H41" s="5">
        <v>13476.92</v>
      </c>
      <c r="I41" s="5">
        <f t="shared" si="9"/>
        <v>8984.6153846153848</v>
      </c>
      <c r="J41" s="5">
        <v>8984.6200000000008</v>
      </c>
      <c r="K41" s="5">
        <f t="shared" si="10"/>
        <v>13476.92</v>
      </c>
      <c r="L41" s="5">
        <f t="shared" si="11"/>
        <v>8984.6153846153848</v>
      </c>
      <c r="M41" s="5">
        <f t="shared" si="12"/>
        <v>8984.6153846153848</v>
      </c>
      <c r="N41" s="5">
        <f t="shared" si="13"/>
        <v>8984.6153846153848</v>
      </c>
      <c r="O41" s="26">
        <f t="shared" si="5"/>
        <v>112107.69538461539</v>
      </c>
      <c r="P41" s="5"/>
      <c r="Q41" s="5"/>
      <c r="R41" s="37">
        <v>116800</v>
      </c>
      <c r="S41" s="37">
        <f t="shared" si="14"/>
        <v>8984.6153846153848</v>
      </c>
      <c r="T41" s="37" t="s">
        <v>92</v>
      </c>
    </row>
    <row r="42" spans="1:20">
      <c r="B42" s="9" t="s">
        <v>28</v>
      </c>
      <c r="C42" s="5">
        <v>0</v>
      </c>
      <c r="D42" s="5">
        <v>0</v>
      </c>
      <c r="E42" s="5">
        <f t="shared" si="7"/>
        <v>3384.6153846153848</v>
      </c>
      <c r="F42" s="5">
        <v>3384.62</v>
      </c>
      <c r="G42" s="5">
        <f t="shared" si="8"/>
        <v>3384.6153846153848</v>
      </c>
      <c r="H42" s="5">
        <v>5076.92</v>
      </c>
      <c r="I42" s="5">
        <f t="shared" si="9"/>
        <v>3384.6153846153848</v>
      </c>
      <c r="J42" s="5">
        <v>3384.62</v>
      </c>
      <c r="K42" s="5">
        <f t="shared" si="10"/>
        <v>5076.92</v>
      </c>
      <c r="L42" s="5">
        <f t="shared" si="11"/>
        <v>3384.6153846153848</v>
      </c>
      <c r="M42" s="5">
        <f t="shared" si="12"/>
        <v>3384.6153846153848</v>
      </c>
      <c r="N42" s="5">
        <f t="shared" si="13"/>
        <v>3384.6153846153848</v>
      </c>
      <c r="O42" s="26">
        <f t="shared" si="5"/>
        <v>37230.772307692299</v>
      </c>
      <c r="P42" s="5"/>
      <c r="Q42" s="5"/>
      <c r="R42" s="37">
        <v>44000</v>
      </c>
      <c r="S42" s="37">
        <f t="shared" si="14"/>
        <v>3384.6153846153848</v>
      </c>
    </row>
    <row r="43" spans="1:20">
      <c r="B43" s="9" t="s">
        <v>29</v>
      </c>
      <c r="C43" s="5">
        <v>0</v>
      </c>
      <c r="D43" s="5">
        <v>0</v>
      </c>
      <c r="E43" s="5">
        <f t="shared" si="7"/>
        <v>1772.3076923076924</v>
      </c>
      <c r="F43" s="5">
        <v>1772.31</v>
      </c>
      <c r="G43" s="5">
        <f t="shared" si="8"/>
        <v>1772.3076923076924</v>
      </c>
      <c r="H43" s="5">
        <v>2658.46</v>
      </c>
      <c r="I43" s="5">
        <f t="shared" si="9"/>
        <v>1772.3076923076924</v>
      </c>
      <c r="J43" s="5">
        <v>1772.31</v>
      </c>
      <c r="K43" s="5">
        <f t="shared" si="10"/>
        <v>2658.46</v>
      </c>
      <c r="L43" s="5">
        <f t="shared" si="11"/>
        <v>1772.3076923076924</v>
      </c>
      <c r="M43" s="5">
        <f t="shared" si="12"/>
        <v>1772.3076923076924</v>
      </c>
      <c r="N43" s="5">
        <f t="shared" si="13"/>
        <v>1772.3076923076924</v>
      </c>
      <c r="O43" s="26">
        <f t="shared" si="5"/>
        <v>19495.38615384615</v>
      </c>
      <c r="P43" s="5"/>
      <c r="Q43" s="5"/>
      <c r="R43" s="37">
        <v>23040</v>
      </c>
      <c r="S43" s="37">
        <f t="shared" si="14"/>
        <v>1772.3076923076924</v>
      </c>
    </row>
    <row r="44" spans="1:20">
      <c r="B44" s="9" t="s">
        <v>30</v>
      </c>
      <c r="C44" s="5">
        <f>'Cash Flow 2010'!N42</f>
        <v>1500</v>
      </c>
      <c r="D44" s="5">
        <f t="shared" si="6"/>
        <v>1692.3076923076924</v>
      </c>
      <c r="E44" s="5">
        <f t="shared" si="7"/>
        <v>1692.3076923076924</v>
      </c>
      <c r="F44" s="5">
        <v>1692.31</v>
      </c>
      <c r="G44" s="5">
        <f t="shared" si="8"/>
        <v>1692.3076923076924</v>
      </c>
      <c r="H44" s="5">
        <v>2538.46</v>
      </c>
      <c r="I44" s="5">
        <f t="shared" si="9"/>
        <v>1692.3076923076924</v>
      </c>
      <c r="J44" s="5">
        <v>1692.31</v>
      </c>
      <c r="K44" s="5">
        <f t="shared" si="10"/>
        <v>2538.46</v>
      </c>
      <c r="L44" s="5">
        <f t="shared" si="11"/>
        <v>1692.3076923076924</v>
      </c>
      <c r="M44" s="5">
        <f t="shared" si="12"/>
        <v>1692.3076923076924</v>
      </c>
      <c r="N44" s="5">
        <f t="shared" si="13"/>
        <v>1692.3076923076924</v>
      </c>
      <c r="O44" s="26">
        <f t="shared" si="5"/>
        <v>21807.693846153841</v>
      </c>
      <c r="P44" s="5"/>
      <c r="Q44" s="5"/>
      <c r="R44" s="37">
        <v>22000</v>
      </c>
      <c r="S44" s="37">
        <f t="shared" si="14"/>
        <v>1692.3076923076924</v>
      </c>
      <c r="T44" s="37" t="s">
        <v>92</v>
      </c>
    </row>
    <row r="45" spans="1:20">
      <c r="B45" s="9" t="s">
        <v>32</v>
      </c>
      <c r="C45" s="5">
        <f>'Cash Flow 2010'!N45</f>
        <v>1310.8333333333333</v>
      </c>
      <c r="D45" s="26">
        <f t="shared" ref="D45:N45" si="15">$R$45/12</f>
        <v>3710.4166666666665</v>
      </c>
      <c r="E45" s="26">
        <f t="shared" si="15"/>
        <v>3710.4166666666665</v>
      </c>
      <c r="F45" s="26">
        <f t="shared" si="15"/>
        <v>3710.4166666666665</v>
      </c>
      <c r="G45" s="26">
        <f t="shared" si="15"/>
        <v>3710.4166666666665</v>
      </c>
      <c r="H45" s="26">
        <v>3710.42</v>
      </c>
      <c r="I45" s="26">
        <f t="shared" si="15"/>
        <v>3710.4166666666665</v>
      </c>
      <c r="J45" s="26">
        <f t="shared" si="15"/>
        <v>3710.4166666666665</v>
      </c>
      <c r="K45" s="5">
        <f t="shared" si="10"/>
        <v>3710.42</v>
      </c>
      <c r="L45" s="26">
        <f t="shared" si="15"/>
        <v>3710.4166666666665</v>
      </c>
      <c r="M45" s="26">
        <f t="shared" si="15"/>
        <v>3710.4166666666665</v>
      </c>
      <c r="N45" s="26">
        <f t="shared" si="15"/>
        <v>3710.4166666666665</v>
      </c>
      <c r="O45" s="26">
        <f t="shared" si="5"/>
        <v>42125.423333333325</v>
      </c>
      <c r="P45" s="26"/>
      <c r="Q45" s="26"/>
      <c r="R45" s="37">
        <v>44525</v>
      </c>
      <c r="S45" t="s">
        <v>114</v>
      </c>
    </row>
    <row r="46" spans="1:20">
      <c r="B46" s="9" t="s">
        <v>33</v>
      </c>
      <c r="C46" s="5">
        <v>2619</v>
      </c>
      <c r="D46" s="5">
        <v>588</v>
      </c>
      <c r="E46" s="5">
        <v>588</v>
      </c>
      <c r="F46" s="5">
        <v>588</v>
      </c>
      <c r="G46" s="5">
        <v>588</v>
      </c>
      <c r="H46" s="5">
        <v>588</v>
      </c>
      <c r="I46" s="5">
        <v>588</v>
      </c>
      <c r="J46" s="5">
        <v>588</v>
      </c>
      <c r="K46" s="5">
        <v>588</v>
      </c>
      <c r="L46" s="5">
        <v>588</v>
      </c>
      <c r="M46" s="5">
        <v>0</v>
      </c>
      <c r="N46" s="5">
        <v>0</v>
      </c>
      <c r="O46" s="26">
        <f t="shared" si="5"/>
        <v>7911</v>
      </c>
      <c r="P46" s="5"/>
      <c r="Q46" s="5"/>
      <c r="R46" s="37">
        <f t="shared" ref="R46:R68" si="16">SUM(C46:N46)</f>
        <v>7911</v>
      </c>
      <c r="S46" t="s">
        <v>172</v>
      </c>
    </row>
    <row r="47" spans="1:20">
      <c r="B47" s="9" t="s">
        <v>34</v>
      </c>
      <c r="C47" s="5">
        <v>0</v>
      </c>
      <c r="D47" s="5">
        <v>0</v>
      </c>
      <c r="E47" s="5">
        <v>1296.6300000000001</v>
      </c>
      <c r="F47" s="5">
        <v>1296.6300000000001</v>
      </c>
      <c r="G47" s="5">
        <v>1296.6300000000001</v>
      </c>
      <c r="H47" s="5">
        <v>1296.6300000000001</v>
      </c>
      <c r="I47" s="5">
        <v>1296.6300000000001</v>
      </c>
      <c r="J47" s="5">
        <v>1296.6300000000001</v>
      </c>
      <c r="K47" s="5">
        <f t="shared" si="10"/>
        <v>1296.6300000000001</v>
      </c>
      <c r="L47" s="5">
        <v>1296.6300000000001</v>
      </c>
      <c r="M47" s="5">
        <v>1296.6300000000001</v>
      </c>
      <c r="N47" s="5">
        <v>1296.6300000000001</v>
      </c>
      <c r="O47" s="26">
        <f t="shared" si="5"/>
        <v>12966.300000000003</v>
      </c>
      <c r="P47" s="5"/>
      <c r="Q47" s="5"/>
      <c r="R47" s="37">
        <f>SUM(E47:N47)</f>
        <v>12966.300000000003</v>
      </c>
      <c r="S47" t="s">
        <v>171</v>
      </c>
    </row>
    <row r="48" spans="1:20">
      <c r="B48" s="9" t="s">
        <v>35</v>
      </c>
      <c r="C48" s="32">
        <f>'Cash Flow 2010'!N46</f>
        <v>7980</v>
      </c>
      <c r="D48" s="32">
        <f t="shared" ref="D48:N48" si="17">$R$48/12</f>
        <v>13830.300000000001</v>
      </c>
      <c r="E48" s="32">
        <f t="shared" si="17"/>
        <v>13830.300000000001</v>
      </c>
      <c r="F48" s="32">
        <f t="shared" si="17"/>
        <v>13830.300000000001</v>
      </c>
      <c r="G48" s="32">
        <f t="shared" si="17"/>
        <v>13830.300000000001</v>
      </c>
      <c r="H48" s="32">
        <f t="shared" si="17"/>
        <v>13830.300000000001</v>
      </c>
      <c r="I48" s="32">
        <f t="shared" si="17"/>
        <v>13830.300000000001</v>
      </c>
      <c r="J48" s="32">
        <f t="shared" si="17"/>
        <v>13830.300000000001</v>
      </c>
      <c r="K48" s="32">
        <f t="shared" si="10"/>
        <v>13830.300000000001</v>
      </c>
      <c r="L48" s="32">
        <f t="shared" si="17"/>
        <v>13830.300000000001</v>
      </c>
      <c r="M48" s="32">
        <f t="shared" si="17"/>
        <v>13830.300000000001</v>
      </c>
      <c r="N48" s="32">
        <f t="shared" si="17"/>
        <v>13830.300000000001</v>
      </c>
      <c r="O48" s="26">
        <f t="shared" si="5"/>
        <v>160113.29999999999</v>
      </c>
      <c r="P48" s="32"/>
      <c r="Q48" s="32"/>
      <c r="R48" s="52">
        <v>165963.6</v>
      </c>
      <c r="S48" t="s">
        <v>92</v>
      </c>
    </row>
    <row r="49" spans="1:19">
      <c r="A49" t="s">
        <v>92</v>
      </c>
      <c r="B49" s="9" t="s">
        <v>144</v>
      </c>
      <c r="C49" s="5">
        <f>6149.29+79+26424.77+1331.36+6719.28+5366.16+65.8+24118.92+5997.57+79.25+27135.99+1124.14+2619</f>
        <v>107210.53</v>
      </c>
      <c r="D49" s="55">
        <f>4743.4+63.5+21159.29+7344+4224.77+30776.8+586</f>
        <v>68897.760000000009</v>
      </c>
      <c r="E49" s="26">
        <f>10533.73+2904.83+8380.62+86.5+36602.43+1623.99+8234.84+97.5+34837.79+3861.97+588+8368.38</f>
        <v>116120.58000000002</v>
      </c>
      <c r="F49" s="26">
        <v>130315.16</v>
      </c>
      <c r="G49" s="26">
        <f>16702.4+9163.95+8165.69+89.95+36058.94+3600.71+8801+100.25+36570.24+3789.24+586</f>
        <v>123628.37000000001</v>
      </c>
      <c r="H49" s="26">
        <f>14676.39+397+41.2+187.36+9954.64+91.6+36003.46+5836.48+9563.56+588+8748.55+403.85+37329.93+3900.13</f>
        <v>127722.15</v>
      </c>
      <c r="I49" s="26">
        <f>147874.25+9200.96-18454.58</f>
        <v>138620.63</v>
      </c>
      <c r="J49" s="26">
        <f>137.14+14791.23+8259.16+88.8+38196.97+952.32+1148.28+8564.95+104.25+38455.72+1868.63+587+477</f>
        <v>113631.45000000001</v>
      </c>
      <c r="K49" s="26">
        <f>8240.74+414.75+38058.12+954.53+18041.16+9920.55+92.6+42090.2+1829.54+9410.29+118.6+39316.14+3019.38+9461.8</f>
        <v>180968.40000000002</v>
      </c>
      <c r="L49" s="26">
        <f>16376+14687.33+9432.02+95.1+39289.32+3873.73+8992.82+107.6+39439.28+2082.66+640.78</f>
        <v>135016.64000000001</v>
      </c>
      <c r="M49" s="26">
        <f>10919.38+102.1+40859.78+6271.82+19341.14+9986.22+106.6+41852.25+1679.01+383+9667.38+17444+100.32</f>
        <v>158713.00000000003</v>
      </c>
      <c r="N49" s="26">
        <f>100.72+10437.37+9499.71+95.1+40083.06+2975.67+9982.89+106.6+41788.2+2407.59+18385.68+1082.26+605.46</f>
        <v>137550.31</v>
      </c>
      <c r="O49" s="26">
        <f t="shared" si="5"/>
        <v>1538394.9800000004</v>
      </c>
      <c r="P49" s="26"/>
      <c r="Q49" s="26"/>
      <c r="R49" s="37">
        <f>SUM(R34:R48)</f>
        <v>1617605.9000000001</v>
      </c>
      <c r="S49" s="37">
        <f>SUM(R34:R44)</f>
        <v>1386240</v>
      </c>
    </row>
    <row r="50" spans="1:19">
      <c r="A50" t="s">
        <v>92</v>
      </c>
      <c r="B50" s="9"/>
      <c r="C50" s="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 t="s">
        <v>92</v>
      </c>
      <c r="P50" s="26"/>
      <c r="Q50" s="26"/>
      <c r="R50" s="37"/>
    </row>
    <row r="51" spans="1:19">
      <c r="B51" s="9" t="s">
        <v>36</v>
      </c>
      <c r="C51" s="26">
        <v>207</v>
      </c>
      <c r="D51" s="26">
        <f>341.15+207+4814.5</f>
        <v>5362.65</v>
      </c>
      <c r="E51" s="26">
        <f>20000+27306.75</f>
        <v>47306.75</v>
      </c>
      <c r="F51" s="26">
        <f>207+213.4+304.5</f>
        <v>724.9</v>
      </c>
      <c r="G51" s="26">
        <f>207+17282+958.55+97</f>
        <v>18544.55</v>
      </c>
      <c r="H51" s="26">
        <f>207+1823.07+173.28</f>
        <v>2203.35</v>
      </c>
      <c r="I51" s="26">
        <f>207+948.58+279.11</f>
        <v>1434.69</v>
      </c>
      <c r="J51" s="26">
        <f>207+299.98</f>
        <v>506.98</v>
      </c>
      <c r="K51" s="26">
        <f>844+207</f>
        <v>1051</v>
      </c>
      <c r="L51" s="26">
        <f>207</f>
        <v>207</v>
      </c>
      <c r="M51" s="26">
        <v>207</v>
      </c>
      <c r="N51" s="26">
        <v>207</v>
      </c>
      <c r="O51" s="26">
        <f t="shared" si="5"/>
        <v>77962.87000000001</v>
      </c>
      <c r="P51" s="26"/>
      <c r="Q51" s="26"/>
      <c r="R51" s="37">
        <f t="shared" si="16"/>
        <v>77962.87000000001</v>
      </c>
    </row>
    <row r="52" spans="1:19" hidden="1">
      <c r="B52" s="9" t="s">
        <v>37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f t="shared" si="5"/>
        <v>0</v>
      </c>
      <c r="P52" s="26"/>
      <c r="Q52" s="26"/>
      <c r="R52" s="37">
        <f t="shared" si="16"/>
        <v>0</v>
      </c>
    </row>
    <row r="53" spans="1:19">
      <c r="B53" s="41" t="s">
        <v>38</v>
      </c>
      <c r="C53" s="26">
        <f>230+160+200+480</f>
        <v>1070</v>
      </c>
      <c r="D53" s="26">
        <f>230+824+414.98</f>
        <v>1468.98</v>
      </c>
      <c r="E53" s="26">
        <f>149.36+613.9+4272.75+137.65+45+45+20+300+275+97.85+428.6+410+292.16</f>
        <v>7087.27</v>
      </c>
      <c r="F53" s="26">
        <f>76.98+183.13+304.5+127+6579.02+20+20+620.26+20+83.1+230+315.1+33.11+116.1</f>
        <v>8728.3000000000029</v>
      </c>
      <c r="G53" s="26">
        <f>20+1192.66+162.04+230+366+790.07+1115+77.5+1120.71</f>
        <v>5073.9799999999996</v>
      </c>
      <c r="H53" s="26">
        <f>230+285.23+100+110.22+107.05+54.32+55.04+77.5+136.58+36.23+403.36</f>
        <v>1595.5300000000002</v>
      </c>
      <c r="I53" s="26">
        <f>859+122.85+435+143.42+235+77.5+225+231.85+3452+439.55+300.4</f>
        <v>6521.57</v>
      </c>
      <c r="J53" s="26">
        <f>789+235+628.76+1144+77.5+148.5+2240+94.68+316.17</f>
        <v>5673.6100000000006</v>
      </c>
      <c r="K53" s="26">
        <f>104.98+1055.53+110.84+1248+2246-235+112.99+39.43+77.5</f>
        <v>4760.2700000000004</v>
      </c>
      <c r="L53" s="26">
        <f>240.88+310.49+165.16+451.26+214.21+77.5+208+800+542.55</f>
        <v>3010.05</v>
      </c>
      <c r="M53" s="26">
        <f>79.54+240.88+225+183.61+77.5+337.01+80+114.52+900+250.34+83.98</f>
        <v>2572.38</v>
      </c>
      <c r="N53" s="26">
        <f>10+480+77.5+240.88+509.84+255.73+20.5+123.56+331.65</f>
        <v>2049.66</v>
      </c>
      <c r="O53" s="26">
        <f t="shared" si="5"/>
        <v>49611.600000000006</v>
      </c>
      <c r="P53" s="26"/>
      <c r="Q53" s="26"/>
      <c r="R53" s="37">
        <f t="shared" si="16"/>
        <v>49611.600000000006</v>
      </c>
      <c r="S53" t="s">
        <v>181</v>
      </c>
    </row>
    <row r="54" spans="1:19">
      <c r="B54" s="9" t="s">
        <v>100</v>
      </c>
      <c r="C54" s="26">
        <v>25898.75</v>
      </c>
      <c r="D54" s="26">
        <f>165532.09+18263.75</f>
        <v>183795.84</v>
      </c>
      <c r="E54" s="26">
        <f>454.75+653.06+3315.31+6000+5228.75+2350+1500</f>
        <v>19501.87</v>
      </c>
      <c r="F54" s="26">
        <f>31.85+734.53+972.26+246548.2+2092.96+15250+671.25+15+1562.5</f>
        <v>267878.55000000005</v>
      </c>
      <c r="G54" s="26">
        <f>2000+1723.74+720-1316.09</f>
        <v>3127.6499999999996</v>
      </c>
      <c r="H54" s="26">
        <f>7565+107415+3564.14+342.22</f>
        <v>118886.36</v>
      </c>
      <c r="I54" s="26">
        <f>119482+5839+4036.1+250</f>
        <v>129607.1</v>
      </c>
      <c r="J54" s="26">
        <v>0</v>
      </c>
      <c r="K54" s="26">
        <v>60898.3</v>
      </c>
      <c r="L54" s="26">
        <v>0</v>
      </c>
      <c r="M54" s="26">
        <f>50953+28040+4983.41</f>
        <v>83976.41</v>
      </c>
      <c r="N54" s="26">
        <f>2000+11666+6000+1888.5</f>
        <v>21554.5</v>
      </c>
      <c r="O54" s="26">
        <f t="shared" si="5"/>
        <v>915125.33000000007</v>
      </c>
      <c r="P54" s="26"/>
      <c r="Q54" s="26"/>
      <c r="R54" s="37">
        <f t="shared" si="16"/>
        <v>915125.33000000007</v>
      </c>
    </row>
    <row r="55" spans="1:19">
      <c r="B55" s="9" t="s">
        <v>39</v>
      </c>
      <c r="C55" s="26">
        <f>1867.54+25.24</f>
        <v>1892.78</v>
      </c>
      <c r="D55" s="26">
        <f>1030.21+12.95+795.3</f>
        <v>1838.46</v>
      </c>
      <c r="E55" s="26">
        <f>1129.89+230+15.52</f>
        <v>1375.41</v>
      </c>
      <c r="F55" s="26">
        <f>1794.66+40.65</f>
        <v>1835.3100000000002</v>
      </c>
      <c r="G55" s="26">
        <f>1484.59+130.45</f>
        <v>1615.04</v>
      </c>
      <c r="H55" s="26">
        <f>1164.75+1664.29</f>
        <v>2829.04</v>
      </c>
      <c r="I55" s="26">
        <f>75+1726.99+1782.21</f>
        <v>3584.2</v>
      </c>
      <c r="J55" s="26">
        <f>2154.54+1483.44+1122.41+37.3</f>
        <v>4797.6900000000005</v>
      </c>
      <c r="K55" s="26">
        <f>1870.49+1434.18</f>
        <v>3304.67</v>
      </c>
      <c r="L55" s="26">
        <f>1535.89+1303.26</f>
        <v>2839.15</v>
      </c>
      <c r="M55" s="26">
        <f>565.84+1915.64</f>
        <v>2481.48</v>
      </c>
      <c r="N55" s="26">
        <f>134.35+2386.91</f>
        <v>2521.2599999999998</v>
      </c>
      <c r="O55" s="26">
        <f t="shared" si="5"/>
        <v>30914.489999999998</v>
      </c>
      <c r="P55" s="26"/>
      <c r="Q55" s="26"/>
      <c r="R55" s="37">
        <f t="shared" si="16"/>
        <v>30914.489999999998</v>
      </c>
    </row>
    <row r="56" spans="1:19">
      <c r="B56" s="9" t="s">
        <v>149</v>
      </c>
      <c r="C56" s="5">
        <f>354+11104.68+3536</f>
        <v>14994.68</v>
      </c>
      <c r="D56" s="5">
        <f>3536+11104.68+354</f>
        <v>14994.68</v>
      </c>
      <c r="E56" s="5">
        <f>11104.68+3536+354</f>
        <v>14994.68</v>
      </c>
      <c r="F56" s="5">
        <f>3536+354+11104.68</f>
        <v>14994.68</v>
      </c>
      <c r="G56" s="5">
        <f>11104.68+354+3601.91</f>
        <v>15060.59</v>
      </c>
      <c r="H56" s="5">
        <f>11104.68+3536</f>
        <v>14640.68</v>
      </c>
      <c r="I56" s="5">
        <f>3536+11104.68</f>
        <v>14640.68</v>
      </c>
      <c r="J56" s="5">
        <f>11104.68+4701.71+3536+354</f>
        <v>19696.39</v>
      </c>
      <c r="K56" s="5">
        <f>11104.68+3536</f>
        <v>14640.68</v>
      </c>
      <c r="L56" s="5">
        <f>11104.68+354+3536</f>
        <v>14994.68</v>
      </c>
      <c r="M56" s="5">
        <f>11104.68+354+3536</f>
        <v>14994.68</v>
      </c>
      <c r="N56" s="5">
        <f>11104.68+3536</f>
        <v>14640.68</v>
      </c>
      <c r="O56" s="26">
        <f t="shared" si="5"/>
        <v>183287.77999999997</v>
      </c>
      <c r="P56" s="5"/>
      <c r="Q56" s="5"/>
      <c r="R56" s="37">
        <f t="shared" si="16"/>
        <v>183287.77999999997</v>
      </c>
    </row>
    <row r="57" spans="1:19" hidden="1">
      <c r="B57" s="9" t="s">
        <v>41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f t="shared" si="5"/>
        <v>0</v>
      </c>
      <c r="P57" s="26"/>
      <c r="Q57" s="26"/>
      <c r="R57" s="37">
        <f t="shared" si="16"/>
        <v>0</v>
      </c>
    </row>
    <row r="58" spans="1:19" hidden="1">
      <c r="B58" s="9" t="s">
        <v>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f t="shared" si="5"/>
        <v>0</v>
      </c>
      <c r="P58" s="26"/>
      <c r="Q58" s="26"/>
      <c r="R58" s="37">
        <f t="shared" si="16"/>
        <v>0</v>
      </c>
    </row>
    <row r="59" spans="1:19" hidden="1">
      <c r="B59" s="9" t="s">
        <v>43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f t="shared" si="5"/>
        <v>0</v>
      </c>
      <c r="P59" s="26"/>
      <c r="Q59" s="26"/>
      <c r="R59" s="37">
        <f t="shared" si="16"/>
        <v>0</v>
      </c>
    </row>
    <row r="60" spans="1:19" hidden="1">
      <c r="B60" s="9" t="s">
        <v>44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f t="shared" si="5"/>
        <v>0</v>
      </c>
      <c r="P60" s="26"/>
      <c r="Q60" s="26"/>
      <c r="R60" s="37">
        <f t="shared" si="16"/>
        <v>0</v>
      </c>
    </row>
    <row r="61" spans="1:19" hidden="1">
      <c r="B61" s="9" t="s">
        <v>45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f t="shared" si="5"/>
        <v>0</v>
      </c>
      <c r="P61" s="26"/>
      <c r="Q61" s="26"/>
      <c r="R61" s="37">
        <f t="shared" si="16"/>
        <v>0</v>
      </c>
    </row>
    <row r="62" spans="1:19" hidden="1">
      <c r="B62" s="9" t="s">
        <v>46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f t="shared" si="5"/>
        <v>0</v>
      </c>
      <c r="P62" s="26"/>
      <c r="Q62" s="26"/>
      <c r="R62" s="37">
        <f t="shared" si="16"/>
        <v>0</v>
      </c>
    </row>
    <row r="63" spans="1:19">
      <c r="B63" s="9" t="s">
        <v>47</v>
      </c>
      <c r="C63" s="26">
        <v>2500</v>
      </c>
      <c r="D63" s="26">
        <f>7500</f>
        <v>7500</v>
      </c>
      <c r="E63" s="26">
        <v>1500</v>
      </c>
      <c r="F63" s="26">
        <v>2000</v>
      </c>
      <c r="G63" s="26">
        <v>0</v>
      </c>
      <c r="H63" s="26">
        <f>2500+1250</f>
        <v>3750</v>
      </c>
      <c r="I63" s="26">
        <v>0</v>
      </c>
      <c r="J63" s="26">
        <v>0</v>
      </c>
      <c r="K63" s="26">
        <v>1250</v>
      </c>
      <c r="L63" s="26">
        <v>1500</v>
      </c>
      <c r="M63" s="26">
        <v>0</v>
      </c>
      <c r="N63" s="26">
        <v>0</v>
      </c>
      <c r="O63" s="26">
        <f t="shared" si="5"/>
        <v>20000</v>
      </c>
      <c r="P63" s="26"/>
      <c r="Q63" s="26"/>
      <c r="R63" s="37">
        <f t="shared" si="16"/>
        <v>20000</v>
      </c>
    </row>
    <row r="64" spans="1:19">
      <c r="B64" s="9" t="s">
        <v>48</v>
      </c>
      <c r="C64" s="26">
        <v>1000</v>
      </c>
      <c r="D64" s="26">
        <v>1000</v>
      </c>
      <c r="E64" s="26">
        <f>1134.9+603.13</f>
        <v>1738.0300000000002</v>
      </c>
      <c r="F64" s="26">
        <f>578.65+602.91</f>
        <v>1181.56</v>
      </c>
      <c r="G64" s="26">
        <f>500+500</f>
        <v>1000</v>
      </c>
      <c r="H64" s="26">
        <v>1500</v>
      </c>
      <c r="I64" s="26">
        <v>0</v>
      </c>
      <c r="J64" s="26">
        <v>0</v>
      </c>
      <c r="K64" s="26">
        <f>1500+2500</f>
        <v>4000</v>
      </c>
      <c r="L64" s="26">
        <f>500+500</f>
        <v>1000</v>
      </c>
      <c r="M64" s="26">
        <v>1000</v>
      </c>
      <c r="N64" s="26">
        <f>600+600</f>
        <v>1200</v>
      </c>
      <c r="O64" s="26">
        <f t="shared" si="5"/>
        <v>14619.59</v>
      </c>
      <c r="P64" s="26"/>
      <c r="Q64" s="26"/>
      <c r="R64" s="37">
        <f t="shared" si="16"/>
        <v>14619.59</v>
      </c>
    </row>
    <row r="65" spans="2:18">
      <c r="B65" s="9" t="s">
        <v>49</v>
      </c>
      <c r="C65" s="26">
        <v>0</v>
      </c>
      <c r="D65" s="26">
        <f>1776+300</f>
        <v>2076</v>
      </c>
      <c r="E65" s="26">
        <v>300</v>
      </c>
      <c r="F65" s="26">
        <f>300</f>
        <v>300</v>
      </c>
      <c r="G65" s="26">
        <f>300</f>
        <v>300</v>
      </c>
      <c r="H65" s="26">
        <v>300</v>
      </c>
      <c r="I65" s="26">
        <v>300</v>
      </c>
      <c r="J65" s="26">
        <v>300</v>
      </c>
      <c r="K65" s="26">
        <v>300</v>
      </c>
      <c r="L65" s="26">
        <v>300</v>
      </c>
      <c r="M65" s="26">
        <f>300+1318.75</f>
        <v>1618.75</v>
      </c>
      <c r="N65" s="26">
        <f>1925+300+300+3052.97</f>
        <v>5577.9699999999993</v>
      </c>
      <c r="O65" s="26">
        <f t="shared" si="5"/>
        <v>11672.72</v>
      </c>
      <c r="P65" s="26"/>
      <c r="Q65" s="26"/>
      <c r="R65" s="37">
        <f t="shared" si="16"/>
        <v>11672.72</v>
      </c>
    </row>
    <row r="66" spans="2:18">
      <c r="B66" s="9" t="s">
        <v>50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f t="shared" si="5"/>
        <v>0</v>
      </c>
      <c r="P66" s="26"/>
      <c r="Q66" s="26"/>
      <c r="R66" s="37">
        <f t="shared" si="16"/>
        <v>0</v>
      </c>
    </row>
    <row r="67" spans="2:18">
      <c r="B67" s="9" t="s">
        <v>51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354</v>
      </c>
      <c r="L67" s="26">
        <v>0</v>
      </c>
      <c r="M67" s="26">
        <v>0</v>
      </c>
      <c r="N67" s="26">
        <v>354</v>
      </c>
      <c r="O67" s="26">
        <f t="shared" si="5"/>
        <v>708</v>
      </c>
      <c r="P67" s="26"/>
      <c r="Q67" s="26"/>
      <c r="R67" s="37">
        <f t="shared" si="16"/>
        <v>708</v>
      </c>
    </row>
    <row r="68" spans="2:18">
      <c r="B68" s="9" t="s">
        <v>52</v>
      </c>
      <c r="C68" s="26">
        <v>0</v>
      </c>
      <c r="D68" s="26">
        <f>50+42.78</f>
        <v>92.78</v>
      </c>
      <c r="E68" s="26">
        <v>0</v>
      </c>
      <c r="F68" s="26">
        <v>2500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f t="shared" si="5"/>
        <v>2592.7800000000002</v>
      </c>
      <c r="P68" s="26"/>
      <c r="Q68" s="26"/>
      <c r="R68" s="37">
        <f t="shared" si="16"/>
        <v>2592.7800000000002</v>
      </c>
    </row>
    <row r="69" spans="2:18">
      <c r="B69" s="9" t="s">
        <v>53</v>
      </c>
      <c r="C69" s="26">
        <v>0</v>
      </c>
      <c r="D69" s="26">
        <v>0</v>
      </c>
      <c r="E69" s="26">
        <v>0</v>
      </c>
      <c r="F69" s="26">
        <f>4670+40</f>
        <v>4710</v>
      </c>
      <c r="G69" s="26">
        <v>245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f t="shared" si="5"/>
        <v>4955</v>
      </c>
      <c r="P69" s="26"/>
      <c r="Q69" s="26"/>
      <c r="R69" s="37">
        <f t="shared" ref="R69:R101" si="18">SUM(C69:N69)</f>
        <v>4955</v>
      </c>
    </row>
    <row r="70" spans="2:18">
      <c r="B70" s="9" t="s">
        <v>54</v>
      </c>
      <c r="C70" s="26">
        <v>0</v>
      </c>
      <c r="D70" s="26">
        <v>61.44</v>
      </c>
      <c r="E70" s="26">
        <f>243+99.67+213.4+554.26</f>
        <v>1110.33</v>
      </c>
      <c r="F70" s="26">
        <f>231.48+353.96+50.61+45.99</f>
        <v>682.04</v>
      </c>
      <c r="G70" s="26">
        <f>213.4+236.97+25.56+457.59+145.09</f>
        <v>1078.6099999999999</v>
      </c>
      <c r="H70" s="26">
        <f>414.99+79.97+111.94</f>
        <v>606.90000000000009</v>
      </c>
      <c r="I70" s="26">
        <v>826.27</v>
      </c>
      <c r="J70" s="26">
        <v>187.98</v>
      </c>
      <c r="K70" s="26">
        <v>0</v>
      </c>
      <c r="L70" s="26">
        <v>67.12</v>
      </c>
      <c r="M70" s="26">
        <f>15.9+50.97+37.26+37.62+59.17+22.31+117.62+365.28+99.98+38.94+33.53+855.35</f>
        <v>1733.9299999999998</v>
      </c>
      <c r="N70" s="26">
        <f>280.2+52</f>
        <v>332.2</v>
      </c>
      <c r="O70" s="26">
        <f t="shared" si="5"/>
        <v>6686.8199999999988</v>
      </c>
      <c r="P70" s="26"/>
      <c r="Q70" s="26"/>
      <c r="R70" s="37">
        <f t="shared" si="18"/>
        <v>6686.8199999999988</v>
      </c>
    </row>
    <row r="71" spans="2:18">
      <c r="B71" s="9" t="s">
        <v>55</v>
      </c>
      <c r="C71" s="26">
        <f>211.54+104.98</f>
        <v>316.52</v>
      </c>
      <c r="D71" s="26">
        <f>104.98+301.91</f>
        <v>406.89000000000004</v>
      </c>
      <c r="E71" s="26">
        <f>250.37+104.98</f>
        <v>355.35</v>
      </c>
      <c r="F71" s="26">
        <f>250.74+104.98</f>
        <v>355.72</v>
      </c>
      <c r="G71" s="26">
        <f>374.39+104.98</f>
        <v>479.37</v>
      </c>
      <c r="H71" s="26">
        <f>503.4+104.98+148.7</f>
        <v>757.07999999999993</v>
      </c>
      <c r="I71" s="26">
        <f>564.17+104.98</f>
        <v>669.15</v>
      </c>
      <c r="J71" s="26">
        <f>541.78+104.98</f>
        <v>646.76</v>
      </c>
      <c r="K71" s="26">
        <f>540.9</f>
        <v>540.9</v>
      </c>
      <c r="L71" s="26">
        <f>553.9</f>
        <v>553.9</v>
      </c>
      <c r="M71" s="26">
        <f>549.35+209.96</f>
        <v>759.31000000000006</v>
      </c>
      <c r="N71" s="26">
        <f>551.26+261.08</f>
        <v>812.33999999999992</v>
      </c>
      <c r="O71" s="26">
        <f t="shared" si="5"/>
        <v>6653.29</v>
      </c>
      <c r="P71" s="26"/>
      <c r="Q71" s="26"/>
      <c r="R71" s="37">
        <f>SUM(C71:N71)</f>
        <v>6653.29</v>
      </c>
    </row>
    <row r="72" spans="2:18">
      <c r="B72" s="9" t="s">
        <v>176</v>
      </c>
      <c r="C72" s="26">
        <v>0</v>
      </c>
      <c r="D72" s="26">
        <v>0</v>
      </c>
      <c r="E72" s="26">
        <f>382.5+480</f>
        <v>862.5</v>
      </c>
      <c r="F72" s="26">
        <f>465+487.5+487.5+386.25</f>
        <v>1826.25</v>
      </c>
      <c r="G72" s="26">
        <f>487.5+450+401.25+390</f>
        <v>1728.75</v>
      </c>
      <c r="H72" s="26">
        <f>375+705+567.5</f>
        <v>1647.5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f t="shared" si="5"/>
        <v>6065</v>
      </c>
      <c r="P72" s="26"/>
      <c r="Q72" s="26"/>
      <c r="R72" s="37">
        <f t="shared" si="18"/>
        <v>6065</v>
      </c>
    </row>
    <row r="73" spans="2:18">
      <c r="B73" s="9" t="s">
        <v>57</v>
      </c>
      <c r="C73" s="26">
        <v>0</v>
      </c>
      <c r="D73" s="26">
        <f>86.9+176.55</f>
        <v>263.45000000000005</v>
      </c>
      <c r="E73" s="26">
        <f>452.66+4.88+10.9</f>
        <v>468.44</v>
      </c>
      <c r="F73" s="26">
        <v>44</v>
      </c>
      <c r="G73" s="26">
        <v>90.92</v>
      </c>
      <c r="H73" s="26">
        <v>214.72</v>
      </c>
      <c r="I73" s="26">
        <v>30.6</v>
      </c>
      <c r="J73" s="26">
        <v>0</v>
      </c>
      <c r="K73" s="26">
        <v>0</v>
      </c>
      <c r="L73" s="26">
        <v>0</v>
      </c>
      <c r="M73" s="26">
        <f>36.6+36.6+36.6+44+5.15</f>
        <v>158.95000000000002</v>
      </c>
      <c r="N73" s="26">
        <f>138.81+4.84+274.64+3.36+192.56</f>
        <v>614.21</v>
      </c>
      <c r="O73" s="26">
        <f t="shared" si="5"/>
        <v>1885.29</v>
      </c>
      <c r="P73" s="26"/>
      <c r="Q73" s="26"/>
      <c r="R73" s="37">
        <f t="shared" si="18"/>
        <v>1885.29</v>
      </c>
    </row>
    <row r="74" spans="2:18">
      <c r="B74" s="9" t="s">
        <v>58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f t="shared" si="5"/>
        <v>0</v>
      </c>
      <c r="P74" s="26"/>
      <c r="Q74" s="26"/>
      <c r="R74" s="37">
        <f t="shared" si="18"/>
        <v>0</v>
      </c>
    </row>
    <row r="75" spans="2:18">
      <c r="B75" s="9" t="s">
        <v>185</v>
      </c>
      <c r="C75" s="26">
        <v>0</v>
      </c>
      <c r="D75" s="26">
        <v>0</v>
      </c>
      <c r="E75" s="26">
        <v>0</v>
      </c>
      <c r="F75" s="26">
        <v>0</v>
      </c>
      <c r="G75" s="26">
        <v>371.35</v>
      </c>
      <c r="H75" s="26">
        <v>0</v>
      </c>
      <c r="I75" s="26">
        <v>0</v>
      </c>
      <c r="J75" s="26">
        <f>7.75+460.16</f>
        <v>467.91</v>
      </c>
      <c r="K75" s="26">
        <f>1370.25+4380.89</f>
        <v>5751.14</v>
      </c>
      <c r="L75" s="26">
        <f>1370.25+5149.52</f>
        <v>6519.77</v>
      </c>
      <c r="M75" s="26">
        <f>1370.25+157.4</f>
        <v>1527.65</v>
      </c>
      <c r="N75" s="26">
        <f>47.56+5241.66</f>
        <v>5289.22</v>
      </c>
      <c r="O75" s="26">
        <f t="shared" si="5"/>
        <v>19927.04</v>
      </c>
      <c r="P75" s="26"/>
      <c r="Q75" s="26"/>
      <c r="R75" s="37">
        <f t="shared" si="18"/>
        <v>19927.04</v>
      </c>
    </row>
    <row r="76" spans="2:18">
      <c r="B76" s="9" t="s">
        <v>60</v>
      </c>
      <c r="C76" s="26">
        <v>0</v>
      </c>
      <c r="D76" s="26">
        <f>1806.15+1415.49+1667.82+29.82</f>
        <v>4919.28</v>
      </c>
      <c r="E76" s="26">
        <v>53.32</v>
      </c>
      <c r="F76" s="26">
        <v>0</v>
      </c>
      <c r="G76" s="26">
        <v>300.39</v>
      </c>
      <c r="H76" s="26">
        <v>0</v>
      </c>
      <c r="I76" s="26">
        <v>0</v>
      </c>
      <c r="J76" s="26">
        <v>522.99</v>
      </c>
      <c r="K76" s="26">
        <v>0</v>
      </c>
      <c r="L76" s="26">
        <v>0</v>
      </c>
      <c r="M76" s="26">
        <v>739.46</v>
      </c>
      <c r="N76" s="26">
        <v>0</v>
      </c>
      <c r="O76" s="26">
        <f t="shared" si="5"/>
        <v>6535.44</v>
      </c>
      <c r="P76" s="26"/>
      <c r="Q76" s="26"/>
      <c r="R76" s="37">
        <f t="shared" si="18"/>
        <v>6535.44</v>
      </c>
    </row>
    <row r="77" spans="2:18">
      <c r="B77" s="9" t="s">
        <v>61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f t="shared" si="5"/>
        <v>0</v>
      </c>
      <c r="P77" s="26"/>
      <c r="Q77" s="26"/>
      <c r="R77" s="37">
        <f t="shared" si="18"/>
        <v>0</v>
      </c>
    </row>
    <row r="78" spans="2:18">
      <c r="B78" s="9" t="s">
        <v>62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f t="shared" si="5"/>
        <v>0</v>
      </c>
      <c r="P78" s="26"/>
      <c r="Q78" s="26"/>
      <c r="R78" s="37">
        <f t="shared" si="18"/>
        <v>0</v>
      </c>
    </row>
    <row r="79" spans="2:18">
      <c r="B79" s="9" t="s">
        <v>63</v>
      </c>
      <c r="C79" s="26">
        <f>349.2+120+600</f>
        <v>1069.2</v>
      </c>
      <c r="D79" s="26">
        <f>311.64+940.6+155</f>
        <v>1407.24</v>
      </c>
      <c r="E79" s="26">
        <f>106.97+115+427.8+3562.5+86.16+147.94</f>
        <v>4446.37</v>
      </c>
      <c r="F79" s="26">
        <v>0</v>
      </c>
      <c r="G79" s="26">
        <v>115</v>
      </c>
      <c r="H79" s="26">
        <f>1076</f>
        <v>1076</v>
      </c>
      <c r="I79" s="26">
        <f>840+783.73+800.84+696.46+1076+400</f>
        <v>4597.0300000000007</v>
      </c>
      <c r="J79" s="26">
        <f>670+1121.95+579.84+1820+400+703.46</f>
        <v>5295.25</v>
      </c>
      <c r="K79" s="26">
        <f>325+500+325+500+325+325+500+325+325+500+1800+1005+1045.12+768+1008+1063.88+2434.48+1592+2400</f>
        <v>17066.48</v>
      </c>
      <c r="L79" s="26">
        <f>580+494.44+590.04+240+560+240+320+791.39</f>
        <v>3815.87</v>
      </c>
      <c r="M79" s="26">
        <f>142.6+142.6+819.02+207.04</f>
        <v>1311.26</v>
      </c>
      <c r="N79" s="26">
        <f>398.59+338.99+399.05+1600+509.86</f>
        <v>3246.4900000000002</v>
      </c>
      <c r="O79" s="26">
        <f t="shared" si="5"/>
        <v>43446.19</v>
      </c>
      <c r="P79" s="26"/>
      <c r="Q79" s="26"/>
      <c r="R79" s="37">
        <f t="shared" si="18"/>
        <v>43446.19</v>
      </c>
    </row>
    <row r="80" spans="2:18">
      <c r="B80" s="9" t="s">
        <v>64</v>
      </c>
      <c r="C80" s="26">
        <v>0</v>
      </c>
      <c r="D80" s="26">
        <v>0</v>
      </c>
      <c r="E80" s="26">
        <v>0</v>
      </c>
      <c r="F80" s="26">
        <f>588+435</f>
        <v>1023</v>
      </c>
      <c r="G80" s="26">
        <v>0</v>
      </c>
      <c r="H80" s="26">
        <v>0</v>
      </c>
      <c r="I80" s="26">
        <v>257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f t="shared" si="5"/>
        <v>1280</v>
      </c>
      <c r="P80" s="26"/>
      <c r="Q80" s="26"/>
      <c r="R80" s="37">
        <f t="shared" si="18"/>
        <v>1280</v>
      </c>
    </row>
    <row r="81" spans="2:19">
      <c r="B81" s="9" t="s">
        <v>65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1278.22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f t="shared" si="5"/>
        <v>1278.22</v>
      </c>
      <c r="P81" s="26"/>
      <c r="Q81" s="26"/>
      <c r="R81" s="37">
        <f t="shared" si="18"/>
        <v>1278.22</v>
      </c>
    </row>
    <row r="82" spans="2:19">
      <c r="B82" s="9" t="s">
        <v>66</v>
      </c>
      <c r="C82" s="26">
        <v>0</v>
      </c>
      <c r="D82" s="26">
        <v>0</v>
      </c>
      <c r="E82" s="26">
        <f>401+7170.48+3454.41</f>
        <v>11025.89</v>
      </c>
      <c r="F82" s="26">
        <v>7773.74</v>
      </c>
      <c r="G82" s="26">
        <v>0</v>
      </c>
      <c r="H82" s="26">
        <v>0</v>
      </c>
      <c r="I82" s="26">
        <v>0</v>
      </c>
      <c r="J82" s="26">
        <v>5438.56</v>
      </c>
      <c r="K82" s="26">
        <v>0</v>
      </c>
      <c r="L82" s="26">
        <v>296</v>
      </c>
      <c r="M82" s="26">
        <v>0</v>
      </c>
      <c r="N82" s="26">
        <v>0</v>
      </c>
      <c r="O82" s="26">
        <f t="shared" si="5"/>
        <v>24534.19</v>
      </c>
      <c r="P82" s="26"/>
      <c r="Q82" s="26"/>
      <c r="R82" s="37">
        <f t="shared" si="18"/>
        <v>24534.19</v>
      </c>
    </row>
    <row r="83" spans="2:19" hidden="1">
      <c r="B83" s="9" t="s">
        <v>67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f t="shared" si="5"/>
        <v>0</v>
      </c>
      <c r="P83" s="26"/>
      <c r="Q83" s="26"/>
      <c r="R83" s="37">
        <f t="shared" si="18"/>
        <v>0</v>
      </c>
    </row>
    <row r="84" spans="2:19" hidden="1">
      <c r="B84" s="9" t="s">
        <v>68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f t="shared" si="5"/>
        <v>0</v>
      </c>
      <c r="P84" s="26"/>
      <c r="Q84" s="26"/>
      <c r="R84" s="37">
        <f t="shared" si="18"/>
        <v>0</v>
      </c>
    </row>
    <row r="85" spans="2:19">
      <c r="B85" s="9" t="s">
        <v>69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f t="shared" si="5"/>
        <v>0</v>
      </c>
      <c r="P85" s="26"/>
      <c r="Q85" s="26"/>
      <c r="R85" s="37">
        <f t="shared" si="18"/>
        <v>0</v>
      </c>
    </row>
    <row r="86" spans="2:19">
      <c r="B86" s="9" t="s">
        <v>70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1334.44</v>
      </c>
      <c r="O86" s="26">
        <f t="shared" si="5"/>
        <v>1334.44</v>
      </c>
      <c r="P86" s="26"/>
      <c r="Q86" s="26"/>
      <c r="R86" s="37">
        <f t="shared" si="18"/>
        <v>1334.44</v>
      </c>
    </row>
    <row r="87" spans="2:19">
      <c r="B87" s="9" t="s">
        <v>71</v>
      </c>
      <c r="C87" s="26">
        <v>0</v>
      </c>
      <c r="D87" s="26">
        <v>0</v>
      </c>
      <c r="E87" s="26">
        <v>0</v>
      </c>
      <c r="F87" s="26">
        <v>1764</v>
      </c>
      <c r="G87" s="26">
        <v>0</v>
      </c>
      <c r="H87" s="26">
        <v>270</v>
      </c>
      <c r="I87" s="26">
        <v>163.75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f t="shared" si="5"/>
        <v>2197.75</v>
      </c>
      <c r="P87" s="26"/>
      <c r="Q87" s="26"/>
      <c r="R87" s="37">
        <f t="shared" si="18"/>
        <v>2197.75</v>
      </c>
    </row>
    <row r="88" spans="2:19">
      <c r="B88" s="9" t="s">
        <v>72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51.85</v>
      </c>
      <c r="I88" s="26">
        <v>0</v>
      </c>
      <c r="J88" s="26">
        <v>0</v>
      </c>
      <c r="K88" s="26">
        <v>0</v>
      </c>
      <c r="L88" s="26">
        <v>0</v>
      </c>
      <c r="M88" s="26">
        <v>4542.4799999999996</v>
      </c>
      <c r="N88" s="26">
        <f>3000+93.75</f>
        <v>3093.75</v>
      </c>
      <c r="O88" s="26">
        <f t="shared" si="5"/>
        <v>7688.08</v>
      </c>
      <c r="P88" s="26"/>
      <c r="Q88" s="26"/>
      <c r="R88" s="37">
        <f t="shared" si="18"/>
        <v>7688.08</v>
      </c>
    </row>
    <row r="89" spans="2:19">
      <c r="B89" s="9" t="s">
        <v>73</v>
      </c>
      <c r="C89" s="26">
        <v>289.43</v>
      </c>
      <c r="D89" s="26">
        <v>0</v>
      </c>
      <c r="E89" s="26">
        <f>5246.22+43.34+491.11+750</f>
        <v>6530.67</v>
      </c>
      <c r="F89" s="26">
        <v>1071.82</v>
      </c>
      <c r="G89" s="26">
        <f>350+1625</f>
        <v>1975</v>
      </c>
      <c r="H89" s="26">
        <f>2500+3584.77+1910+281.83+499.36+248.18+299.06+1054.23+530.08</f>
        <v>10907.51</v>
      </c>
      <c r="I89" s="26">
        <f>2500+3610.89</f>
        <v>6110.8899999999994</v>
      </c>
      <c r="J89" s="26">
        <f>500+1500+128.74+52.3</f>
        <v>2181.04</v>
      </c>
      <c r="K89" s="26">
        <f>2161.38+347.8+2500</f>
        <v>5009.18</v>
      </c>
      <c r="L89" s="26">
        <f>511.6+396+2872.1</f>
        <v>3779.7</v>
      </c>
      <c r="M89" s="26">
        <f>858.65</f>
        <v>858.65</v>
      </c>
      <c r="N89" s="26">
        <v>5000</v>
      </c>
      <c r="O89" s="26">
        <f t="shared" si="5"/>
        <v>43713.89</v>
      </c>
      <c r="P89" s="26"/>
      <c r="Q89" s="26"/>
      <c r="R89" s="37">
        <f t="shared" si="18"/>
        <v>43713.89</v>
      </c>
    </row>
    <row r="90" spans="2:19">
      <c r="B90" s="9" t="s">
        <v>74</v>
      </c>
      <c r="C90" s="26">
        <f>5516.25+1995+1787.5+2000</f>
        <v>11298.75</v>
      </c>
      <c r="D90" s="26">
        <v>682.5</v>
      </c>
      <c r="E90" s="26">
        <f>915.5+845+3634</f>
        <v>5394.5</v>
      </c>
      <c r="F90" s="26">
        <f>487.5+1890</f>
        <v>2377.5</v>
      </c>
      <c r="G90" s="26">
        <f>390+325+1575+4008.75</f>
        <v>6298.75</v>
      </c>
      <c r="H90" s="26">
        <f>3321+1260+337.5+109.5</f>
        <v>5028</v>
      </c>
      <c r="I90" s="26">
        <f>1186.25+1155+4665+1365+393.75</f>
        <v>8765</v>
      </c>
      <c r="J90" s="26">
        <f>3889.5+799.5+735</f>
        <v>5424</v>
      </c>
      <c r="K90" s="26">
        <f>910+1077.5+37.5+325+747.5+5985+51.12+2571.75</f>
        <v>11705.37</v>
      </c>
      <c r="L90" s="26">
        <f>5460+292.509</f>
        <v>5752.509</v>
      </c>
      <c r="M90" s="26">
        <f>135+119+4341+357.5+9559.5+2940+206.25+102.92</f>
        <v>17761.169999999998</v>
      </c>
      <c r="N90" s="26">
        <f>262.5+11654.5+3570+2932.5+712.5+14.7+120</f>
        <v>19266.7</v>
      </c>
      <c r="O90" s="26">
        <f t="shared" si="5"/>
        <v>99754.748999999996</v>
      </c>
      <c r="P90" s="26"/>
      <c r="Q90" s="26"/>
      <c r="R90" s="37">
        <f t="shared" si="18"/>
        <v>99754.748999999996</v>
      </c>
    </row>
    <row r="91" spans="2:19">
      <c r="B91" s="9" t="s">
        <v>75</v>
      </c>
      <c r="C91" s="26">
        <v>0</v>
      </c>
      <c r="D91" s="26">
        <v>0</v>
      </c>
      <c r="E91" s="26">
        <v>0</v>
      </c>
      <c r="F91" s="26">
        <f>196.46+300</f>
        <v>496.46000000000004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f>13.52+3.81+436.88</f>
        <v>454.21</v>
      </c>
      <c r="O91" s="26">
        <f t="shared" si="5"/>
        <v>950.67000000000007</v>
      </c>
      <c r="P91" s="26"/>
      <c r="Q91" s="26"/>
      <c r="R91" s="37">
        <f t="shared" si="18"/>
        <v>950.67000000000007</v>
      </c>
    </row>
    <row r="92" spans="2:19">
      <c r="B92" s="9" t="s">
        <v>76</v>
      </c>
      <c r="C92" s="26">
        <v>0</v>
      </c>
      <c r="D92" s="26">
        <v>119.9</v>
      </c>
      <c r="E92" s="26">
        <v>0</v>
      </c>
      <c r="F92" s="26">
        <v>0</v>
      </c>
      <c r="G92" s="26">
        <v>62.01</v>
      </c>
      <c r="H92" s="26">
        <f>516.19+41.78+66.96</f>
        <v>624.93000000000006</v>
      </c>
      <c r="I92" s="26">
        <f>4.99+712.07</f>
        <v>717.06000000000006</v>
      </c>
      <c r="J92" s="26">
        <f>24.75</f>
        <v>24.75</v>
      </c>
      <c r="K92" s="26">
        <f>126.09+133.66+192.73+282.7+24.45+15.83+35.74+38+87.56+105.18+16.95+23.25+126.92+45</f>
        <v>1254.0600000000004</v>
      </c>
      <c r="L92" s="26">
        <f>7.95+47.94+35+65.45</f>
        <v>156.34</v>
      </c>
      <c r="M92" s="26">
        <f>59.46+46.89+75.88+150+39.89+250.34</f>
        <v>622.46</v>
      </c>
      <c r="N92" s="26">
        <f>2+50+72.6</f>
        <v>124.6</v>
      </c>
      <c r="O92" s="26">
        <f t="shared" si="5"/>
        <v>3706.1100000000006</v>
      </c>
      <c r="P92" s="26"/>
      <c r="Q92" s="26"/>
      <c r="R92" s="37">
        <f t="shared" si="18"/>
        <v>3706.1100000000006</v>
      </c>
      <c r="S92" s="37">
        <f>R92/210</f>
        <v>17.648142857142862</v>
      </c>
    </row>
    <row r="93" spans="2:19">
      <c r="B93" s="9" t="s">
        <v>77</v>
      </c>
      <c r="C93" s="26">
        <v>1558.51</v>
      </c>
      <c r="D93" s="26">
        <f>12.15+480+927+203+96.03+56.23+95.49+136.07+2377.16+55+66.76+153.4+55+132.23+133+1913.26</f>
        <v>6891.78</v>
      </c>
      <c r="E93" s="26">
        <f>527.49+54.5+967.24+480+1416.8+210+205.14+750.32+24717.76+300+43.95+66.76+380.75+103.48+13.25+60+66.75+245.21+714+3848</f>
        <v>35171.399999999994</v>
      </c>
      <c r="F93" s="26">
        <f>318.82+19.08+480+871.35+32.06+1453.5+9.72+79.92+58.7+109.02+140.8+382.46+12.75</f>
        <v>3968.18</v>
      </c>
      <c r="G93" s="26">
        <f>223.94+801.43+79.96+69.94+395+48.9+2259.8</f>
        <v>3878.9700000000003</v>
      </c>
      <c r="H93" s="26">
        <f>2523+2324.08+28.68+227+40+40.47+31.91+276.12+37.14+311.97+55+439.51</f>
        <v>6334.880000000001</v>
      </c>
      <c r="I93" s="26">
        <f>2469.5+92.6+42.43+41.44+82.46+37.14+380.78</f>
        <v>3146.3499999999995</v>
      </c>
      <c r="J93" s="26">
        <f>2762.45+187.09+164.82+53.11+423.32</f>
        <v>3590.7900000000004</v>
      </c>
      <c r="K93" s="26">
        <v>10288</v>
      </c>
      <c r="L93" s="26">
        <f>6758.39+539.98+171.65+539.98+24+65.93</f>
        <v>8099.93</v>
      </c>
      <c r="M93" s="26">
        <f>600+101.92+111.07+141.95+236.14</f>
        <v>1191.08</v>
      </c>
      <c r="N93" s="26">
        <f>68.75+69.43+246.26+1211.32+22.5+24.9+64.51+63.3+191.73+3.88+547.5+166.22+1426.25+211.3+1100+743.78</f>
        <v>6161.6299999999992</v>
      </c>
      <c r="O93" s="26">
        <f t="shared" si="5"/>
        <v>90281.500000000015</v>
      </c>
      <c r="P93" s="26"/>
      <c r="Q93" s="26"/>
      <c r="R93" s="37">
        <f t="shared" si="18"/>
        <v>90281.500000000015</v>
      </c>
      <c r="S93" s="37">
        <f>R93/210</f>
        <v>429.91190476190485</v>
      </c>
    </row>
    <row r="94" spans="2:19">
      <c r="B94" s="9" t="s">
        <v>78</v>
      </c>
      <c r="C94" s="26">
        <v>0</v>
      </c>
      <c r="D94" s="26">
        <v>0</v>
      </c>
      <c r="E94" s="26">
        <f>279+37.5+1617.2+2322.39</f>
        <v>4256.09</v>
      </c>
      <c r="F94" s="26">
        <f>510+3500+4157.84+165.9+2350.6</f>
        <v>10684.34</v>
      </c>
      <c r="G94" s="26">
        <f>5851.52+406.32</f>
        <v>6257.84</v>
      </c>
      <c r="H94" s="26">
        <f>55+16.34+7166.71</f>
        <v>7238.05</v>
      </c>
      <c r="I94" s="26">
        <v>625.4</v>
      </c>
      <c r="J94" s="26">
        <v>253.35</v>
      </c>
      <c r="K94" s="26">
        <v>0</v>
      </c>
      <c r="L94" s="26">
        <v>0</v>
      </c>
      <c r="M94" s="26">
        <f>117.6+205.39+40.87+317.59+54.83+106.67+117.54+64.6+30.57+629+84.96+116.36+74.36</f>
        <v>1960.3399999999997</v>
      </c>
      <c r="N94" s="26">
        <f>172.81+662.68</f>
        <v>835.49</v>
      </c>
      <c r="O94" s="26">
        <f t="shared" si="5"/>
        <v>32110.9</v>
      </c>
      <c r="P94" s="26"/>
      <c r="Q94" s="26"/>
      <c r="R94" s="37">
        <f t="shared" si="18"/>
        <v>32110.9</v>
      </c>
      <c r="S94" s="52">
        <f>R94/210</f>
        <v>152.90904761904761</v>
      </c>
    </row>
    <row r="95" spans="2:19">
      <c r="B95" s="9" t="s">
        <v>79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f>124+128.31</f>
        <v>252.31</v>
      </c>
      <c r="N95" s="26">
        <v>0</v>
      </c>
      <c r="O95" s="26">
        <f t="shared" si="5"/>
        <v>252.31</v>
      </c>
      <c r="P95" s="26"/>
      <c r="Q95" s="26"/>
      <c r="R95" s="37">
        <f t="shared" si="18"/>
        <v>252.31</v>
      </c>
      <c r="S95" s="37">
        <f>SUM(S92:S94)</f>
        <v>600.46909523809541</v>
      </c>
    </row>
    <row r="96" spans="2:19">
      <c r="B96" s="9" t="s">
        <v>80</v>
      </c>
      <c r="C96" s="26">
        <f>99.5+24.66</f>
        <v>124.16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49.71</v>
      </c>
      <c r="N96" s="26">
        <v>0</v>
      </c>
      <c r="O96" s="26">
        <f t="shared" si="5"/>
        <v>173.87</v>
      </c>
      <c r="P96" s="26"/>
      <c r="Q96" s="26"/>
      <c r="R96" s="37">
        <f t="shared" si="18"/>
        <v>173.87</v>
      </c>
    </row>
    <row r="97" spans="1:19">
      <c r="B97" s="9" t="s">
        <v>82</v>
      </c>
      <c r="C97" s="26">
        <v>0</v>
      </c>
      <c r="D97" s="26">
        <v>0</v>
      </c>
      <c r="E97" s="26">
        <v>900</v>
      </c>
      <c r="F97" s="26">
        <v>0</v>
      </c>
      <c r="G97" s="26">
        <v>95.88</v>
      </c>
      <c r="H97" s="26">
        <v>0</v>
      </c>
      <c r="I97" s="26">
        <v>105</v>
      </c>
      <c r="J97" s="26">
        <v>0</v>
      </c>
      <c r="K97" s="26">
        <v>0</v>
      </c>
      <c r="L97" s="26">
        <v>0</v>
      </c>
      <c r="M97" s="26"/>
      <c r="N97" s="26">
        <v>0</v>
      </c>
      <c r="O97" s="26">
        <f t="shared" si="5"/>
        <v>1100.8800000000001</v>
      </c>
      <c r="P97" s="26"/>
      <c r="Q97" s="26"/>
      <c r="R97" s="37">
        <f t="shared" si="18"/>
        <v>1100.8800000000001</v>
      </c>
    </row>
    <row r="98" spans="1:19">
      <c r="B98" s="9" t="s">
        <v>83</v>
      </c>
      <c r="C98" s="26">
        <v>0</v>
      </c>
      <c r="D98" s="26">
        <v>0</v>
      </c>
      <c r="E98" s="26">
        <v>0</v>
      </c>
      <c r="F98" s="26">
        <f>275+500</f>
        <v>775</v>
      </c>
      <c r="G98" s="26">
        <f>1500+134.61</f>
        <v>1634.6100000000001</v>
      </c>
      <c r="H98" s="26">
        <f>600+525</f>
        <v>1125</v>
      </c>
      <c r="I98" s="26">
        <f>2000</f>
        <v>2000</v>
      </c>
      <c r="J98" s="26">
        <v>1500</v>
      </c>
      <c r="K98" s="26">
        <v>800</v>
      </c>
      <c r="L98" s="26">
        <f>94+1500+249</f>
        <v>1843</v>
      </c>
      <c r="M98" s="26">
        <f>250+1500+100.32+1554.11+200+40+20+20+52</f>
        <v>3736.43</v>
      </c>
      <c r="N98" s="26">
        <f>1000+20.96+788.56</f>
        <v>1809.52</v>
      </c>
      <c r="O98" s="26">
        <f t="shared" ref="O98:O109" si="19">SUM(C98:N98)</f>
        <v>15223.560000000001</v>
      </c>
      <c r="P98" s="26"/>
      <c r="Q98" s="26"/>
      <c r="R98" s="37">
        <f t="shared" si="18"/>
        <v>15223.560000000001</v>
      </c>
    </row>
    <row r="99" spans="1:19">
      <c r="B99" s="9" t="s">
        <v>155</v>
      </c>
      <c r="C99" s="49">
        <v>1179.45</v>
      </c>
      <c r="D99" s="49">
        <v>1179.45</v>
      </c>
      <c r="E99" s="49">
        <f>1179.45+1179.45</f>
        <v>2358.9</v>
      </c>
      <c r="F99" s="49">
        <v>1179.45</v>
      </c>
      <c r="G99" s="49">
        <v>1179.45</v>
      </c>
      <c r="H99" s="49">
        <v>1179.45</v>
      </c>
      <c r="I99" s="49">
        <v>1179.45</v>
      </c>
      <c r="J99" s="49">
        <v>1179.45</v>
      </c>
      <c r="K99" s="49">
        <v>1179.45</v>
      </c>
      <c r="L99" s="49">
        <v>1179.45</v>
      </c>
      <c r="M99" s="49">
        <v>1179.45</v>
      </c>
      <c r="N99" s="49">
        <v>1179.45</v>
      </c>
      <c r="O99" s="26">
        <f t="shared" si="19"/>
        <v>15332.850000000004</v>
      </c>
      <c r="P99" s="49"/>
      <c r="Q99" s="49"/>
      <c r="R99" s="37">
        <f t="shared" si="18"/>
        <v>15332.850000000004</v>
      </c>
    </row>
    <row r="100" spans="1:19">
      <c r="B100" s="9" t="s">
        <v>84</v>
      </c>
      <c r="C100" s="26">
        <v>0</v>
      </c>
      <c r="D100" s="26">
        <v>0</v>
      </c>
      <c r="E100" s="26">
        <v>0</v>
      </c>
      <c r="F100" s="26">
        <v>470</v>
      </c>
      <c r="G100" s="26">
        <v>0</v>
      </c>
      <c r="H100" s="26">
        <f>625.37+703.89+67.63+235.17+832.04+533.49</f>
        <v>2997.59</v>
      </c>
      <c r="I100" s="26">
        <f>116+525+170+140+1000+425.5</f>
        <v>2376.5</v>
      </c>
      <c r="J100" s="26">
        <v>358.83</v>
      </c>
      <c r="K100" s="26">
        <v>0</v>
      </c>
      <c r="L100" s="26">
        <v>0</v>
      </c>
      <c r="M100" s="26">
        <f>902+879+325</f>
        <v>2106</v>
      </c>
      <c r="N100" s="26">
        <f>1022.6+497.24+40+305.7+1298.29</f>
        <v>3163.83</v>
      </c>
      <c r="O100" s="26">
        <f t="shared" si="19"/>
        <v>11472.75</v>
      </c>
      <c r="P100" s="26"/>
      <c r="Q100" s="26"/>
      <c r="R100" s="37">
        <f t="shared" si="18"/>
        <v>11472.75</v>
      </c>
    </row>
    <row r="101" spans="1:19">
      <c r="B101" s="9" t="s">
        <v>85</v>
      </c>
      <c r="C101" s="26">
        <v>238</v>
      </c>
      <c r="D101" s="26">
        <v>0</v>
      </c>
      <c r="E101" s="26">
        <f>990+130.69+1500+114.95</f>
        <v>2735.64</v>
      </c>
      <c r="F101" s="26">
        <f>93.35+843+1060+112.02+244.66+74.68+1464</f>
        <v>3891.7099999999996</v>
      </c>
      <c r="G101" s="26">
        <f>131.74+810+131.74+1848+113.79+94.83+1455+138</f>
        <v>4723.1000000000004</v>
      </c>
      <c r="H101" s="26">
        <f>94.83+18.97+2103+620+132.76+131.82+897+420+189.4+894</f>
        <v>5501.7800000000007</v>
      </c>
      <c r="I101" s="26">
        <f>666+130.87+112.17+1593+270</f>
        <v>2772.04</v>
      </c>
      <c r="J101" s="26">
        <f>93.48+112.17+1824+188.3+850</f>
        <v>3067.9500000000003</v>
      </c>
      <c r="K101" s="26">
        <f>1794+131.81+96.5+108+1731+1330.82</f>
        <v>5192.13</v>
      </c>
      <c r="L101" s="26">
        <f>90+1680+870+90+110.1</f>
        <v>2840.1</v>
      </c>
      <c r="M101" s="26">
        <f>1030+129.26+91.75+110.1+1620+56.09+1752+92.33+1503</f>
        <v>6384.53</v>
      </c>
      <c r="N101" s="26">
        <f>12.54+12.54+31.49+73.86+910+110.79+1638+12.54+390+92.95+2316+111.54</f>
        <v>5712.25</v>
      </c>
      <c r="O101" s="26">
        <f t="shared" si="19"/>
        <v>43059.23</v>
      </c>
      <c r="P101" s="26"/>
      <c r="Q101" s="26"/>
      <c r="R101" s="37">
        <f t="shared" si="18"/>
        <v>43059.23</v>
      </c>
    </row>
    <row r="102" spans="1:19" hidden="1">
      <c r="B102" s="9" t="s">
        <v>86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f t="shared" si="19"/>
        <v>0</v>
      </c>
      <c r="P102" s="26"/>
      <c r="Q102" s="26"/>
      <c r="R102" s="37">
        <f t="shared" ref="R102:R109" si="20">SUM(C102:N102)</f>
        <v>0</v>
      </c>
    </row>
    <row r="103" spans="1:19" hidden="1">
      <c r="B103" s="9" t="s">
        <v>87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f t="shared" si="19"/>
        <v>0</v>
      </c>
      <c r="P103" s="26"/>
      <c r="Q103" s="26"/>
      <c r="R103" s="37">
        <f t="shared" si="20"/>
        <v>0</v>
      </c>
    </row>
    <row r="104" spans="1:19" hidden="1">
      <c r="B104" s="9" t="s">
        <v>88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1089</v>
      </c>
      <c r="K104" s="26">
        <v>0</v>
      </c>
      <c r="L104" s="26">
        <v>0</v>
      </c>
      <c r="M104" s="26">
        <v>0</v>
      </c>
      <c r="N104" s="26">
        <v>0</v>
      </c>
      <c r="O104" s="26">
        <f t="shared" si="19"/>
        <v>1089</v>
      </c>
      <c r="P104" s="26"/>
      <c r="Q104" s="26"/>
      <c r="R104" s="37">
        <f t="shared" si="20"/>
        <v>1089</v>
      </c>
    </row>
    <row r="105" spans="1:19">
      <c r="B105" s="9" t="s">
        <v>89</v>
      </c>
      <c r="C105" s="26">
        <v>0</v>
      </c>
      <c r="D105" s="26">
        <v>0</v>
      </c>
      <c r="E105" s="26">
        <v>0</v>
      </c>
      <c r="F105" s="26">
        <f>480+308</f>
        <v>788</v>
      </c>
      <c r="G105" s="26">
        <v>0</v>
      </c>
      <c r="H105" s="26">
        <v>300</v>
      </c>
      <c r="I105" s="26">
        <v>0</v>
      </c>
      <c r="J105" s="26">
        <v>295</v>
      </c>
      <c r="K105" s="26">
        <v>0</v>
      </c>
      <c r="L105" s="26">
        <f>104.38+945+728</f>
        <v>1777.38</v>
      </c>
      <c r="M105" s="26">
        <f>158.75+326.25+367+117+144.34</f>
        <v>1113.3399999999999</v>
      </c>
      <c r="N105" s="26">
        <f>250+687.5</f>
        <v>937.5</v>
      </c>
      <c r="O105" s="26">
        <f t="shared" si="19"/>
        <v>5211.22</v>
      </c>
      <c r="P105" s="26"/>
      <c r="Q105" s="26"/>
      <c r="R105" s="37">
        <f t="shared" si="20"/>
        <v>5211.22</v>
      </c>
    </row>
    <row r="106" spans="1:19" hidden="1">
      <c r="B106" s="9" t="s">
        <v>90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f t="shared" si="19"/>
        <v>0</v>
      </c>
      <c r="P106" s="26"/>
      <c r="Q106" s="26"/>
      <c r="R106" s="37">
        <f t="shared" si="20"/>
        <v>0</v>
      </c>
    </row>
    <row r="107" spans="1:19" hidden="1">
      <c r="B107" s="9" t="s">
        <v>91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f t="shared" si="19"/>
        <v>0</v>
      </c>
      <c r="P107" s="26"/>
      <c r="Q107" s="26"/>
      <c r="R107" s="37">
        <f t="shared" si="20"/>
        <v>0</v>
      </c>
    </row>
    <row r="108" spans="1:19">
      <c r="B108" s="9" t="s">
        <v>152</v>
      </c>
      <c r="C108" s="26">
        <v>123.29</v>
      </c>
      <c r="D108" s="26">
        <v>0</v>
      </c>
      <c r="E108" s="26">
        <v>0</v>
      </c>
      <c r="F108" s="26">
        <f>57.53+324.3</f>
        <v>381.83000000000004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f t="shared" si="19"/>
        <v>505.12000000000006</v>
      </c>
      <c r="P108" s="26"/>
      <c r="Q108" s="26"/>
      <c r="R108" s="37">
        <f t="shared" si="20"/>
        <v>505.12000000000006</v>
      </c>
    </row>
    <row r="109" spans="1:19">
      <c r="B109" s="9" t="s">
        <v>102</v>
      </c>
      <c r="C109" s="26">
        <v>50000</v>
      </c>
      <c r="D109" s="26">
        <v>0</v>
      </c>
      <c r="E109" s="26">
        <v>0</v>
      </c>
      <c r="F109" s="26">
        <v>50000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1370.25</v>
      </c>
      <c r="O109" s="26">
        <f t="shared" si="19"/>
        <v>101370.25</v>
      </c>
      <c r="P109" s="26"/>
      <c r="Q109" s="26"/>
      <c r="R109" s="37">
        <f t="shared" si="20"/>
        <v>101370.25</v>
      </c>
    </row>
    <row r="110" spans="1:19">
      <c r="A110" t="s">
        <v>97</v>
      </c>
      <c r="B110" s="9"/>
      <c r="C110" s="28">
        <f>SUM(C49:C109)</f>
        <v>220971.05000000002</v>
      </c>
      <c r="D110" s="28">
        <f t="shared" ref="D110:N110" si="21">SUM(D49:D109)</f>
        <v>302959.08000000013</v>
      </c>
      <c r="E110" s="28">
        <f t="shared" si="21"/>
        <v>285593.99000000005</v>
      </c>
      <c r="F110" s="28">
        <f t="shared" si="21"/>
        <v>524721.5</v>
      </c>
      <c r="G110" s="28">
        <f t="shared" si="21"/>
        <v>198865.18000000005</v>
      </c>
      <c r="H110" s="28">
        <f t="shared" si="21"/>
        <v>319288.35000000009</v>
      </c>
      <c r="I110" s="28">
        <f t="shared" si="21"/>
        <v>330328.58</v>
      </c>
      <c r="J110" s="28">
        <f t="shared" si="21"/>
        <v>176129.73000000004</v>
      </c>
      <c r="K110" s="28">
        <f t="shared" si="21"/>
        <v>330314.03000000009</v>
      </c>
      <c r="L110" s="28">
        <f t="shared" si="21"/>
        <v>195548.58899999998</v>
      </c>
      <c r="M110" s="28">
        <f t="shared" si="21"/>
        <v>313552.21000000025</v>
      </c>
      <c r="N110" s="28">
        <f t="shared" si="21"/>
        <v>246393.46</v>
      </c>
      <c r="O110" s="65">
        <f>SUM(O51:O109)</f>
        <v>1906270.7690000003</v>
      </c>
      <c r="P110" s="63"/>
      <c r="Q110" s="63"/>
    </row>
    <row r="111" spans="1:19">
      <c r="A111" t="s">
        <v>104</v>
      </c>
      <c r="B111" s="10"/>
      <c r="C111" s="29">
        <f t="shared" ref="C111:N111" si="22">C30-C110</f>
        <v>205828.11399999986</v>
      </c>
      <c r="D111" s="29">
        <f t="shared" si="22"/>
        <v>135128.83399999974</v>
      </c>
      <c r="E111" s="29">
        <f t="shared" si="22"/>
        <v>592802.67399999988</v>
      </c>
      <c r="F111" s="29">
        <f t="shared" si="22"/>
        <v>320120.62399999984</v>
      </c>
      <c r="G111" s="39">
        <f t="shared" si="22"/>
        <v>154816.19399999978</v>
      </c>
      <c r="H111" s="29">
        <f t="shared" si="22"/>
        <v>634010.18399999966</v>
      </c>
      <c r="I111" s="29">
        <f t="shared" si="22"/>
        <v>434518.00399999967</v>
      </c>
      <c r="J111" s="39">
        <f t="shared" si="22"/>
        <v>308595.78399999964</v>
      </c>
      <c r="K111" s="29">
        <f t="shared" si="22"/>
        <v>642475.39399999962</v>
      </c>
      <c r="L111" s="29">
        <f t="shared" si="22"/>
        <v>479845.3649999997</v>
      </c>
      <c r="M111" s="29">
        <f t="shared" si="22"/>
        <v>258658.19499999942</v>
      </c>
      <c r="N111" s="29">
        <f t="shared" si="22"/>
        <v>767663.67499999958</v>
      </c>
      <c r="O111" s="66">
        <f>O30-O49-O110</f>
        <v>767663.67499999888</v>
      </c>
      <c r="P111" s="64"/>
      <c r="Q111" s="64"/>
      <c r="R111" s="37">
        <f>SUM(R51:R110)</f>
        <v>1906270.7690000003</v>
      </c>
      <c r="S111" s="37"/>
    </row>
    <row r="112" spans="1:19">
      <c r="B112" s="8"/>
      <c r="R112" s="37">
        <f>R49</f>
        <v>1617605.9000000001</v>
      </c>
    </row>
    <row r="113" spans="2:19">
      <c r="B113" s="8"/>
      <c r="D113" t="s">
        <v>177</v>
      </c>
      <c r="I113" t="s">
        <v>92</v>
      </c>
      <c r="R113" s="14">
        <f>SUM(R111:R112)</f>
        <v>3523876.6690000007</v>
      </c>
    </row>
    <row r="114" spans="2:19">
      <c r="D114" t="s">
        <v>182</v>
      </c>
      <c r="R114" s="37">
        <f>R30</f>
        <v>3758369.9099999997</v>
      </c>
      <c r="S114" s="37"/>
    </row>
    <row r="115" spans="2:19">
      <c r="S115" s="37"/>
    </row>
    <row r="116" spans="2:19">
      <c r="R116" s="37">
        <f>R114-R113</f>
        <v>234493.24099999899</v>
      </c>
    </row>
    <row r="117" spans="2:19">
      <c r="S117" s="37"/>
    </row>
    <row r="118" spans="2:19">
      <c r="S118" s="37"/>
    </row>
    <row r="119" spans="2:19">
      <c r="S119" s="37"/>
    </row>
    <row r="126" spans="2:19">
      <c r="B126" s="8"/>
      <c r="R126" s="15"/>
    </row>
    <row r="127" spans="2:19">
      <c r="B127" s="8"/>
      <c r="R127" s="15"/>
    </row>
    <row r="128" spans="2:19">
      <c r="B128" s="8"/>
      <c r="R128" s="15"/>
    </row>
    <row r="129" spans="2:18">
      <c r="B129" s="8"/>
      <c r="R129" s="15"/>
    </row>
    <row r="130" spans="2:18">
      <c r="B130" s="8"/>
      <c r="R130" s="15"/>
    </row>
    <row r="131" spans="2:18">
      <c r="B131" s="8"/>
      <c r="R131" s="15"/>
    </row>
    <row r="132" spans="2:18">
      <c r="B132" s="8"/>
      <c r="R132" s="15"/>
    </row>
    <row r="133" spans="2:18">
      <c r="B133" s="8"/>
      <c r="R133" s="15"/>
    </row>
    <row r="134" spans="2:18">
      <c r="B134" s="8"/>
      <c r="R134" s="15"/>
    </row>
    <row r="135" spans="2:18">
      <c r="B135" s="8"/>
      <c r="R135" s="15"/>
    </row>
    <row r="136" spans="2:18">
      <c r="B136" s="8"/>
      <c r="R136" s="15"/>
    </row>
    <row r="137" spans="2:18">
      <c r="B137" s="8"/>
      <c r="R137" s="15"/>
    </row>
    <row r="138" spans="2:18">
      <c r="B138" s="8"/>
      <c r="R138" s="15"/>
    </row>
    <row r="139" spans="2:18">
      <c r="B139" s="8"/>
      <c r="R139" s="15"/>
    </row>
    <row r="140" spans="2:18">
      <c r="B140" s="8"/>
      <c r="R140" s="15"/>
    </row>
    <row r="141" spans="2:18">
      <c r="B141" s="8"/>
      <c r="R141" s="15"/>
    </row>
    <row r="142" spans="2:18">
      <c r="B142" s="8"/>
      <c r="R142" s="15"/>
    </row>
    <row r="143" spans="2:18">
      <c r="B143" s="8"/>
      <c r="R143" s="15"/>
    </row>
    <row r="144" spans="2:18">
      <c r="B144" s="8"/>
      <c r="R144" s="15"/>
    </row>
    <row r="145" spans="2:18">
      <c r="B145" s="8"/>
      <c r="R145" s="15"/>
    </row>
    <row r="146" spans="2:18">
      <c r="B146" s="8"/>
      <c r="R146" s="15"/>
    </row>
    <row r="147" spans="2:18">
      <c r="B147" s="8"/>
      <c r="R147" s="15"/>
    </row>
    <row r="148" spans="2:18">
      <c r="B148" s="8"/>
      <c r="R148" s="15"/>
    </row>
    <row r="149" spans="2:18">
      <c r="B149" s="8"/>
      <c r="R149" s="15"/>
    </row>
    <row r="150" spans="2:18">
      <c r="B150" s="8"/>
      <c r="R150" s="15"/>
    </row>
    <row r="151" spans="2:18">
      <c r="B151" s="8"/>
      <c r="R151" s="15"/>
    </row>
    <row r="152" spans="2:18">
      <c r="B152" s="8"/>
      <c r="R152" s="15"/>
    </row>
    <row r="153" spans="2:18">
      <c r="B153" s="8"/>
      <c r="R153" s="15"/>
    </row>
    <row r="154" spans="2:18">
      <c r="B154" s="8"/>
      <c r="R154" s="15"/>
    </row>
    <row r="155" spans="2:18">
      <c r="B155" s="8"/>
      <c r="R155" s="15"/>
    </row>
    <row r="156" spans="2:18">
      <c r="B156" s="8"/>
      <c r="R156" s="15"/>
    </row>
    <row r="157" spans="2:18">
      <c r="B157" s="8"/>
      <c r="R157" s="15"/>
    </row>
    <row r="158" spans="2:18">
      <c r="B158" s="8"/>
      <c r="R158" s="15"/>
    </row>
    <row r="159" spans="2:18">
      <c r="B159" s="8"/>
      <c r="R159" s="15"/>
    </row>
    <row r="160" spans="2:18">
      <c r="B160" s="8"/>
      <c r="R160" s="15"/>
    </row>
    <row r="161" spans="2:18">
      <c r="B161" s="8"/>
      <c r="R161" s="15"/>
    </row>
    <row r="162" spans="2:18">
      <c r="B162" s="8"/>
      <c r="R162" s="15"/>
    </row>
    <row r="163" spans="2:18">
      <c r="B163" s="8"/>
      <c r="R163" s="15"/>
    </row>
    <row r="164" spans="2:18">
      <c r="B164" s="8"/>
      <c r="R164" s="15"/>
    </row>
    <row r="165" spans="2:18">
      <c r="B165" s="8"/>
      <c r="R165" s="15"/>
    </row>
    <row r="166" spans="2:18">
      <c r="B166" s="8"/>
      <c r="R166" s="15"/>
    </row>
    <row r="167" spans="2:18">
      <c r="B167" s="8"/>
      <c r="R167" s="15"/>
    </row>
    <row r="168" spans="2:18">
      <c r="B168" s="8"/>
      <c r="R168" s="15"/>
    </row>
    <row r="169" spans="2:18">
      <c r="B169" s="8"/>
      <c r="R169" s="15"/>
    </row>
    <row r="170" spans="2:18">
      <c r="B170" s="8"/>
      <c r="R170" s="15"/>
    </row>
    <row r="171" spans="2:18">
      <c r="B171" s="8"/>
      <c r="R171" s="15"/>
    </row>
    <row r="172" spans="2:18">
      <c r="B172" s="8"/>
      <c r="R172" s="15"/>
    </row>
    <row r="173" spans="2:18">
      <c r="B173" s="8"/>
      <c r="R173" s="15"/>
    </row>
    <row r="174" spans="2:18">
      <c r="B174" s="8"/>
      <c r="R174" s="15"/>
    </row>
    <row r="175" spans="2:18">
      <c r="B175" s="8"/>
      <c r="R175" s="15"/>
    </row>
    <row r="176" spans="2:18">
      <c r="B176" s="8"/>
      <c r="R176" s="15"/>
    </row>
    <row r="177" spans="2:18">
      <c r="B177" s="8"/>
      <c r="R177" s="15"/>
    </row>
    <row r="178" spans="2:18">
      <c r="B178" s="8"/>
      <c r="R178" s="15"/>
    </row>
    <row r="179" spans="2:18">
      <c r="B179" s="8"/>
      <c r="R179" s="15"/>
    </row>
    <row r="180" spans="2:18">
      <c r="B180" s="8"/>
      <c r="R180" s="15"/>
    </row>
    <row r="181" spans="2:18">
      <c r="B181" s="8"/>
      <c r="R181" s="15"/>
    </row>
    <row r="182" spans="2:18">
      <c r="B182" s="8"/>
      <c r="R182" s="15"/>
    </row>
    <row r="183" spans="2:18">
      <c r="B183" s="8"/>
      <c r="R183" s="15"/>
    </row>
    <row r="184" spans="2:18">
      <c r="B184" s="8"/>
      <c r="R184" s="15"/>
    </row>
    <row r="185" spans="2:18">
      <c r="B185" s="8"/>
      <c r="R185" s="15"/>
    </row>
    <row r="186" spans="2:18">
      <c r="B186" s="8"/>
      <c r="R186" s="15"/>
    </row>
    <row r="187" spans="2:18">
      <c r="B187" s="8"/>
      <c r="R187" s="15"/>
    </row>
    <row r="188" spans="2:18">
      <c r="B188" s="8"/>
      <c r="R188" s="15"/>
    </row>
    <row r="189" spans="2:18">
      <c r="B189" s="8"/>
      <c r="R189" s="15"/>
    </row>
    <row r="190" spans="2:18">
      <c r="B190" s="8"/>
      <c r="R190" s="15"/>
    </row>
    <row r="191" spans="2:18">
      <c r="B191" s="8"/>
      <c r="R191" s="15"/>
    </row>
    <row r="192" spans="2:18">
      <c r="B192" s="8"/>
      <c r="R192" s="15"/>
    </row>
    <row r="193" spans="2:18">
      <c r="B193" s="8"/>
      <c r="R193" s="15"/>
    </row>
    <row r="194" spans="2:18">
      <c r="B194" s="8"/>
      <c r="R194" s="15"/>
    </row>
    <row r="195" spans="2:18">
      <c r="B195" s="8"/>
      <c r="R195" s="15"/>
    </row>
    <row r="196" spans="2:18">
      <c r="B196" s="8"/>
      <c r="R196" s="15"/>
    </row>
    <row r="197" spans="2:18">
      <c r="B197" s="8"/>
      <c r="R197" s="15"/>
    </row>
    <row r="198" spans="2:18">
      <c r="B198" s="8"/>
      <c r="R198" s="15"/>
    </row>
    <row r="199" spans="2:18">
      <c r="B199" s="8"/>
      <c r="R199" s="15"/>
    </row>
    <row r="200" spans="2:18">
      <c r="B200" s="8"/>
      <c r="R200" s="15"/>
    </row>
    <row r="201" spans="2:18">
      <c r="B201" s="8"/>
    </row>
    <row r="202" spans="2:18">
      <c r="B202" s="8"/>
    </row>
    <row r="203" spans="2:18">
      <c r="B203" s="8"/>
    </row>
    <row r="204" spans="2:18">
      <c r="B204" s="8"/>
    </row>
    <row r="205" spans="2:18">
      <c r="B205" s="8"/>
    </row>
    <row r="206" spans="2:18">
      <c r="B206" s="8"/>
    </row>
    <row r="207" spans="2:18">
      <c r="B207" s="8"/>
    </row>
    <row r="208" spans="2:18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3"/>
  <sheetViews>
    <sheetView topLeftCell="A29" workbookViewId="0">
      <selection activeCell="P26" sqref="P26"/>
    </sheetView>
  </sheetViews>
  <sheetFormatPr defaultColWidth="11.42578125" defaultRowHeight="12.75"/>
  <cols>
    <col min="1" max="1" width="8.7109375" customWidth="1"/>
    <col min="2" max="2" width="15.7109375" customWidth="1"/>
    <col min="3" max="11" width="11.42578125" customWidth="1"/>
    <col min="12" max="12" width="12.140625" customWidth="1"/>
    <col min="13" max="14" width="11.42578125" customWidth="1"/>
    <col min="15" max="15" width="2.7109375" customWidth="1"/>
    <col min="16" max="16" width="12.7109375" customWidth="1"/>
    <col min="17" max="17" width="2.7109375" customWidth="1"/>
    <col min="18" max="18" width="15.7109375" customWidth="1"/>
    <col min="19" max="20" width="15.7109375" hidden="1" customWidth="1"/>
    <col min="21" max="24" width="11.42578125" hidden="1" customWidth="1"/>
    <col min="25" max="25" width="12.85546875" hidden="1" customWidth="1"/>
    <col min="26" max="30" width="11.42578125" hidden="1" customWidth="1"/>
    <col min="31" max="31" width="2.7109375" hidden="1" customWidth="1"/>
    <col min="32" max="32" width="15.7109375" hidden="1" customWidth="1"/>
    <col min="33" max="33" width="2.7109375" hidden="1" customWidth="1"/>
    <col min="34" max="34" width="15.7109375" hidden="1" customWidth="1"/>
    <col min="35" max="35" width="11.42578125" hidden="1" customWidth="1"/>
    <col min="36" max="36" width="16.140625" hidden="1" customWidth="1"/>
    <col min="37" max="37" width="11.42578125" hidden="1" customWidth="1"/>
    <col min="38" max="40" width="11.42578125" customWidth="1"/>
  </cols>
  <sheetData>
    <row r="1" spans="1:34" ht="12.75" customHeight="1">
      <c r="A1" s="197" t="s">
        <v>215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60"/>
      <c r="P1" s="60"/>
      <c r="Q1" s="60"/>
    </row>
    <row r="2" spans="1:34">
      <c r="A2" s="11" t="s">
        <v>92</v>
      </c>
      <c r="B2" s="8"/>
      <c r="M2" s="24" t="s">
        <v>1</v>
      </c>
    </row>
    <row r="3" spans="1:34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60"/>
      <c r="P3" s="60"/>
      <c r="Q3" s="60"/>
    </row>
    <row r="4" spans="1:34">
      <c r="B4" s="8"/>
    </row>
    <row r="5" spans="1:34" ht="12.75" customHeight="1">
      <c r="A5" s="199" t="s">
        <v>141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61"/>
      <c r="P5" s="61"/>
      <c r="Q5" s="61"/>
    </row>
    <row r="6" spans="1:34" hidden="1">
      <c r="B6" s="8"/>
    </row>
    <row r="7" spans="1:34" hidden="1">
      <c r="B7" s="8"/>
    </row>
    <row r="8" spans="1:34">
      <c r="B8" s="8"/>
    </row>
    <row r="9" spans="1:34">
      <c r="B9" s="8"/>
      <c r="K9" s="80" t="s">
        <v>229</v>
      </c>
      <c r="M9" t="s">
        <v>223</v>
      </c>
      <c r="P9" s="59" t="s">
        <v>213</v>
      </c>
    </row>
    <row r="10" spans="1:34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71" t="s">
        <v>11</v>
      </c>
      <c r="L10" s="2" t="s">
        <v>12</v>
      </c>
      <c r="M10" s="71" t="s">
        <v>13</v>
      </c>
      <c r="N10" s="71" t="s">
        <v>14</v>
      </c>
      <c r="O10" s="71"/>
      <c r="P10" s="2" t="s">
        <v>242</v>
      </c>
      <c r="Q10" s="2"/>
    </row>
    <row r="11" spans="1:34">
      <c r="B11" s="8"/>
      <c r="C11" s="69" t="s">
        <v>222</v>
      </c>
      <c r="D11" s="69" t="s">
        <v>222</v>
      </c>
      <c r="E11" s="69" t="s">
        <v>222</v>
      </c>
      <c r="F11" s="69" t="s">
        <v>222</v>
      </c>
      <c r="G11" s="69" t="s">
        <v>222</v>
      </c>
      <c r="H11" s="69" t="s">
        <v>222</v>
      </c>
      <c r="I11" s="69" t="s">
        <v>222</v>
      </c>
      <c r="J11" s="69" t="s">
        <v>230</v>
      </c>
      <c r="K11" s="100" t="s">
        <v>124</v>
      </c>
      <c r="L11" s="69" t="s">
        <v>124</v>
      </c>
      <c r="M11" s="100" t="s">
        <v>124</v>
      </c>
      <c r="N11" s="100" t="s">
        <v>124</v>
      </c>
      <c r="O11" s="102"/>
      <c r="P11" s="83"/>
      <c r="Q11" s="62"/>
    </row>
    <row r="12" spans="1:34">
      <c r="A12" s="18" t="s">
        <v>95</v>
      </c>
      <c r="B12" s="8"/>
      <c r="C12" s="20">
        <f>'Cash Flow2011'!N111</f>
        <v>767663.67499999958</v>
      </c>
      <c r="D12" s="20">
        <f t="shared" ref="D12:N12" si="0">C113</f>
        <v>605827.27099999948</v>
      </c>
      <c r="E12" s="20">
        <f t="shared" si="0"/>
        <v>400978.81399999949</v>
      </c>
      <c r="F12" s="20">
        <f t="shared" si="0"/>
        <v>824333.18399999966</v>
      </c>
      <c r="G12" s="20">
        <f t="shared" si="0"/>
        <v>577202.2439999996</v>
      </c>
      <c r="H12" s="20">
        <f t="shared" si="0"/>
        <v>337756.00399999967</v>
      </c>
      <c r="I12" s="20">
        <f t="shared" si="0"/>
        <v>814403.23399999982</v>
      </c>
      <c r="J12" s="20">
        <f t="shared" si="0"/>
        <v>576825.64399999974</v>
      </c>
      <c r="K12" s="20">
        <f t="shared" si="0"/>
        <v>357518.10399999976</v>
      </c>
      <c r="L12" s="20">
        <f t="shared" si="0"/>
        <v>822394.63399999996</v>
      </c>
      <c r="M12" s="20">
        <v>613238.47</v>
      </c>
      <c r="N12" s="20">
        <f t="shared" si="0"/>
        <v>455748.81</v>
      </c>
      <c r="O12" s="20"/>
      <c r="P12" s="20">
        <f>C12</f>
        <v>767663.67499999958</v>
      </c>
      <c r="Q12" s="20"/>
      <c r="AF12" s="84" t="s">
        <v>239</v>
      </c>
      <c r="AH12" s="91" t="s">
        <v>241</v>
      </c>
    </row>
    <row r="13" spans="1:34">
      <c r="A13" s="4" t="s">
        <v>92</v>
      </c>
      <c r="B13" s="8"/>
      <c r="AF13" s="85" t="s">
        <v>240</v>
      </c>
      <c r="AH13" s="92"/>
    </row>
    <row r="14" spans="1:34">
      <c r="B14" s="8"/>
      <c r="AF14" s="85" t="s">
        <v>94</v>
      </c>
      <c r="AH14" s="92"/>
    </row>
    <row r="15" spans="1:34">
      <c r="A15" s="38" t="s">
        <v>143</v>
      </c>
      <c r="B15" s="8"/>
      <c r="AF15" s="86"/>
      <c r="AH15" s="92"/>
    </row>
    <row r="16" spans="1:34">
      <c r="A16">
        <v>240</v>
      </c>
      <c r="B16" s="9" t="s">
        <v>17</v>
      </c>
      <c r="C16" s="26">
        <v>0</v>
      </c>
      <c r="D16" s="26">
        <v>0</v>
      </c>
      <c r="E16" s="26">
        <v>737446</v>
      </c>
      <c r="F16" s="26">
        <v>0</v>
      </c>
      <c r="G16" s="26">
        <v>0</v>
      </c>
      <c r="H16" s="26">
        <v>683888</v>
      </c>
      <c r="I16" s="26">
        <v>0</v>
      </c>
      <c r="J16" s="26">
        <v>0</v>
      </c>
      <c r="K16" s="26">
        <v>684994</v>
      </c>
      <c r="L16" s="26">
        <v>0</v>
      </c>
      <c r="M16" s="26">
        <v>0</v>
      </c>
      <c r="N16" s="26">
        <v>674705</v>
      </c>
      <c r="O16" s="26"/>
      <c r="P16" s="26">
        <f>SUM(C16:N16)</f>
        <v>2781033</v>
      </c>
      <c r="Q16" s="26"/>
      <c r="R16" s="37">
        <f t="shared" ref="R16:R28" si="1">SUM(C16:N16)</f>
        <v>2781033</v>
      </c>
      <c r="S16">
        <f>240*11000</f>
        <v>2640000</v>
      </c>
      <c r="AF16" s="86">
        <v>2745600</v>
      </c>
      <c r="AH16" s="93">
        <f t="shared" ref="AH16:AH29" si="2">P16-AF16</f>
        <v>35433</v>
      </c>
    </row>
    <row r="17" spans="1:37">
      <c r="B17" s="9" t="s">
        <v>130</v>
      </c>
      <c r="C17" s="67">
        <v>24085.16</v>
      </c>
      <c r="D17" s="67">
        <v>34667.15</v>
      </c>
      <c r="E17" s="67">
        <v>38766.410000000003</v>
      </c>
      <c r="F17" s="67">
        <v>0</v>
      </c>
      <c r="G17" s="67">
        <v>18536.53</v>
      </c>
      <c r="H17" s="67">
        <v>32194.77</v>
      </c>
      <c r="I17" s="67">
        <v>0</v>
      </c>
      <c r="J17" s="67">
        <f>16475.06+18839.93</f>
        <v>35314.990000000005</v>
      </c>
      <c r="K17" s="67">
        <f>36185.89+36215.09</f>
        <v>72400.98</v>
      </c>
      <c r="L17" s="67">
        <v>19951.349999999999</v>
      </c>
      <c r="M17" s="67">
        <v>0</v>
      </c>
      <c r="N17" s="67">
        <f>14789.47+18459.42</f>
        <v>33248.89</v>
      </c>
      <c r="O17" s="67"/>
      <c r="P17" s="68">
        <f t="shared" ref="P17:P28" si="3">SUM(C17:N17)</f>
        <v>309166.23</v>
      </c>
      <c r="R17" s="37">
        <f t="shared" si="1"/>
        <v>309166.23</v>
      </c>
      <c r="S17" t="s">
        <v>219</v>
      </c>
      <c r="AF17" s="86">
        <v>275000</v>
      </c>
      <c r="AH17" s="93">
        <f t="shared" si="2"/>
        <v>34166.229999999981</v>
      </c>
    </row>
    <row r="18" spans="1:37">
      <c r="B18" s="9" t="s">
        <v>231</v>
      </c>
      <c r="C18" s="26">
        <v>0</v>
      </c>
      <c r="D18" s="26"/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26"/>
      <c r="L18" s="26"/>
      <c r="M18" s="26">
        <v>0</v>
      </c>
      <c r="N18" s="26">
        <v>24555</v>
      </c>
      <c r="O18" s="26"/>
      <c r="P18" s="26">
        <f t="shared" si="3"/>
        <v>24555</v>
      </c>
      <c r="Q18" s="26"/>
      <c r="R18" s="37">
        <f t="shared" si="1"/>
        <v>24555</v>
      </c>
      <c r="AF18" s="86">
        <v>10000</v>
      </c>
      <c r="AH18" s="93">
        <f t="shared" si="2"/>
        <v>14555</v>
      </c>
    </row>
    <row r="19" spans="1:37">
      <c r="B19" s="9" t="s">
        <v>162</v>
      </c>
      <c r="C19" s="26">
        <v>0</v>
      </c>
      <c r="D19" s="26"/>
      <c r="E19" s="26"/>
      <c r="F19" s="26"/>
      <c r="G19" s="26">
        <v>0</v>
      </c>
      <c r="H19" s="26">
        <v>3135</v>
      </c>
      <c r="I19" s="26">
        <v>0</v>
      </c>
      <c r="J19" s="26">
        <v>4421</v>
      </c>
      <c r="K19" s="26">
        <v>0</v>
      </c>
      <c r="L19" s="26"/>
      <c r="M19" s="26">
        <v>166</v>
      </c>
      <c r="N19" s="26"/>
      <c r="O19" s="26"/>
      <c r="P19" s="26">
        <f t="shared" si="3"/>
        <v>7722</v>
      </c>
      <c r="Q19" s="26"/>
      <c r="R19" s="37">
        <f t="shared" si="1"/>
        <v>7722</v>
      </c>
      <c r="S19" t="s">
        <v>220</v>
      </c>
      <c r="AF19" s="86">
        <v>23312</v>
      </c>
      <c r="AH19" s="93">
        <f t="shared" si="2"/>
        <v>-15590</v>
      </c>
    </row>
    <row r="20" spans="1:37">
      <c r="B20" s="9" t="s">
        <v>170</v>
      </c>
      <c r="C20" s="26">
        <v>0</v>
      </c>
      <c r="D20" s="26"/>
      <c r="E20" s="26"/>
      <c r="F20" s="26"/>
      <c r="G20" s="26">
        <v>0</v>
      </c>
      <c r="H20" s="26">
        <v>0</v>
      </c>
      <c r="I20" s="26">
        <v>0</v>
      </c>
      <c r="J20" s="26">
        <v>4015</v>
      </c>
      <c r="K20" s="26">
        <v>15579</v>
      </c>
      <c r="L20" s="26"/>
      <c r="M20" s="26">
        <v>16834</v>
      </c>
      <c r="N20" s="26"/>
      <c r="O20" s="26"/>
      <c r="P20" s="26">
        <f t="shared" si="3"/>
        <v>36428</v>
      </c>
      <c r="Q20" s="26"/>
      <c r="R20" s="37">
        <v>2160</v>
      </c>
      <c r="S20" t="s">
        <v>221</v>
      </c>
      <c r="AF20" s="86">
        <v>2160</v>
      </c>
      <c r="AH20" s="93">
        <f t="shared" si="2"/>
        <v>34268</v>
      </c>
    </row>
    <row r="21" spans="1:37">
      <c r="B21" s="9" t="s">
        <v>218</v>
      </c>
      <c r="C21" s="26">
        <v>0</v>
      </c>
      <c r="D21" s="26"/>
      <c r="E21" s="26"/>
      <c r="F21" s="26">
        <v>18000</v>
      </c>
      <c r="G21" s="26">
        <v>0</v>
      </c>
      <c r="H21" s="26">
        <v>200</v>
      </c>
      <c r="I21" s="26">
        <v>0</v>
      </c>
      <c r="J21" s="26">
        <v>0</v>
      </c>
      <c r="K21" s="26"/>
      <c r="L21" s="26"/>
      <c r="M21" s="26">
        <v>0</v>
      </c>
      <c r="N21" s="26">
        <v>18000</v>
      </c>
      <c r="O21" s="26"/>
      <c r="P21" s="26">
        <f t="shared" si="3"/>
        <v>36200</v>
      </c>
      <c r="Q21" s="26"/>
      <c r="R21" s="37">
        <v>18000</v>
      </c>
      <c r="AF21" s="86">
        <v>1000</v>
      </c>
      <c r="AH21" s="93">
        <f t="shared" si="2"/>
        <v>35200</v>
      </c>
    </row>
    <row r="22" spans="1:37">
      <c r="B22" s="9" t="s">
        <v>246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62863.98</v>
      </c>
      <c r="N22" s="26"/>
      <c r="O22" s="26"/>
      <c r="P22" s="26"/>
      <c r="Q22" s="26"/>
      <c r="R22" s="37"/>
      <c r="AF22" s="86"/>
      <c r="AH22" s="93"/>
    </row>
    <row r="23" spans="1:37">
      <c r="B23" s="9" t="s">
        <v>18</v>
      </c>
      <c r="C23" s="26">
        <f>300+30</f>
        <v>330</v>
      </c>
      <c r="D23" s="26">
        <v>0</v>
      </c>
      <c r="E23" s="26">
        <f>2472+4223.55+1316.25+9904+282+1027</f>
        <v>19224.8</v>
      </c>
      <c r="F23" s="26">
        <v>12696.02</v>
      </c>
      <c r="G23" s="26">
        <f>98.94+912.75+2002+792.25+536.75+586.3+0.2+1151.5+607.15+1302.55+149</f>
        <v>8139.39</v>
      </c>
      <c r="H23" s="26">
        <f>278.75+988.71+1389.6</f>
        <v>2657.06</v>
      </c>
      <c r="I23" s="26">
        <f>1535+896.1+738.5+538.25+1586.3+1140+1316.1+1486.5+99</f>
        <v>9335.75</v>
      </c>
      <c r="J23" s="26">
        <f>342.9+1100+1671.5+1584.15+345.3</f>
        <v>5043.8500000000004</v>
      </c>
      <c r="K23" s="26">
        <f>908.2+1091.05+2130.5+800+1023+1011.45+771.5</f>
        <v>7735.7</v>
      </c>
      <c r="L23" s="26">
        <f>858.95+383.35+876.5+1882+205+923.5+245.4+1053.5+470</f>
        <v>6898.2</v>
      </c>
      <c r="M23" s="26">
        <f>737.25+759.7+844.8+744+825+251+44+347.25+180+267.85+168+40+514.5+37+369.25+441</f>
        <v>6570.6</v>
      </c>
      <c r="N23" s="26">
        <f>34+30+20+80+501+480+300+480+93+276.26+2045+135.35+614.35</f>
        <v>5088.9600000000009</v>
      </c>
      <c r="O23" s="26"/>
      <c r="P23" s="26">
        <f t="shared" si="3"/>
        <v>83720.33</v>
      </c>
      <c r="Q23" s="26"/>
      <c r="R23" s="37">
        <f t="shared" si="1"/>
        <v>83720.33</v>
      </c>
      <c r="S23">
        <f>283*A16</f>
        <v>67920</v>
      </c>
      <c r="AF23" s="86">
        <v>61922</v>
      </c>
      <c r="AH23" s="93">
        <f t="shared" si="2"/>
        <v>21798.33</v>
      </c>
      <c r="AI23" s="37">
        <f t="shared" ref="AI23:AI28" si="4">SUM(C23:N23)</f>
        <v>83720.33</v>
      </c>
      <c r="AK23" s="9" t="s">
        <v>18</v>
      </c>
    </row>
    <row r="24" spans="1:37">
      <c r="B24" s="9" t="s">
        <v>19</v>
      </c>
      <c r="C24" s="26">
        <v>0</v>
      </c>
      <c r="D24" s="26">
        <v>0</v>
      </c>
      <c r="E24" s="26">
        <f>162.04</f>
        <v>162.04</v>
      </c>
      <c r="F24" s="26">
        <v>1753.5</v>
      </c>
      <c r="G24" s="26">
        <v>0</v>
      </c>
      <c r="H24" s="26">
        <v>2550</v>
      </c>
      <c r="I24" s="26">
        <f>2000+2869+2500+310.5</f>
        <v>7679.5</v>
      </c>
      <c r="J24" s="26">
        <f>215+325</f>
        <v>540</v>
      </c>
      <c r="K24" s="26">
        <v>500</v>
      </c>
      <c r="L24" s="26">
        <v>0</v>
      </c>
      <c r="M24" s="26">
        <v>2500</v>
      </c>
      <c r="N24" s="26">
        <f>341+128.36+698.07</f>
        <v>1167.43</v>
      </c>
      <c r="O24" s="26"/>
      <c r="P24" s="26">
        <f t="shared" si="3"/>
        <v>16852.47</v>
      </c>
      <c r="Q24" s="26"/>
      <c r="R24" s="37">
        <f t="shared" si="1"/>
        <v>16852.47</v>
      </c>
      <c r="AF24" s="86">
        <v>0</v>
      </c>
      <c r="AH24" s="93">
        <f t="shared" si="2"/>
        <v>16852.47</v>
      </c>
      <c r="AI24" s="37">
        <f t="shared" si="4"/>
        <v>16852.47</v>
      </c>
      <c r="AK24" s="9" t="s">
        <v>19</v>
      </c>
    </row>
    <row r="25" spans="1:37">
      <c r="B25" s="9" t="s">
        <v>20</v>
      </c>
      <c r="C25" s="26">
        <f>654+603</f>
        <v>1257</v>
      </c>
      <c r="D25" s="26">
        <v>0</v>
      </c>
      <c r="E25" s="26">
        <f>6040+270+1583.5</f>
        <v>7893.5</v>
      </c>
      <c r="F25" s="26">
        <v>4256.5</v>
      </c>
      <c r="G25" s="26">
        <f>1242.44+957.19+1762.68+1784.14+414.08</f>
        <v>6160.5300000000007</v>
      </c>
      <c r="H25" s="26">
        <f>1234.49+109.01+255+1016.5</f>
        <v>2615</v>
      </c>
      <c r="I25" s="26">
        <f>1492.42+2735.32+1477.08</f>
        <v>5704.82</v>
      </c>
      <c r="J25" s="26">
        <f>1757.65+1975.8</f>
        <v>3733.45</v>
      </c>
      <c r="K25" s="26">
        <f>980.83+342.88+1991.35</f>
        <v>3315.06</v>
      </c>
      <c r="L25" s="26">
        <f>964.33+1065.11+788.73</f>
        <v>2818.17</v>
      </c>
      <c r="M25" s="26">
        <f>818.46+582.93+3952.07</f>
        <v>5353.46</v>
      </c>
      <c r="N25" s="26">
        <f>2217.31+491.44+648.77+71.19+204.33</f>
        <v>3633.04</v>
      </c>
      <c r="O25" s="26"/>
      <c r="P25" s="26">
        <f t="shared" si="3"/>
        <v>46740.53</v>
      </c>
      <c r="Q25" s="26"/>
      <c r="R25" s="37">
        <f t="shared" si="1"/>
        <v>46740.53</v>
      </c>
      <c r="S25">
        <f>160*A16</f>
        <v>38400</v>
      </c>
      <c r="AF25" s="86">
        <v>23597</v>
      </c>
      <c r="AH25" s="93">
        <f t="shared" si="2"/>
        <v>23143.53</v>
      </c>
      <c r="AI25" s="37">
        <f t="shared" si="4"/>
        <v>46740.53</v>
      </c>
      <c r="AK25" s="9" t="s">
        <v>20</v>
      </c>
    </row>
    <row r="26" spans="1:37">
      <c r="B26" s="9" t="s">
        <v>183</v>
      </c>
      <c r="C26" s="26">
        <f>2537.5+1825</f>
        <v>4362.5</v>
      </c>
      <c r="D26" s="26"/>
      <c r="E26" s="26">
        <f>822+250+1727.5+350+807.95+4003.38</f>
        <v>7960.83</v>
      </c>
      <c r="F26" s="26">
        <v>814</v>
      </c>
      <c r="G26" s="26">
        <v>0</v>
      </c>
      <c r="H26" s="26">
        <v>0</v>
      </c>
      <c r="I26" s="26">
        <v>0</v>
      </c>
      <c r="J26" s="26">
        <v>0</v>
      </c>
      <c r="K26" s="26"/>
      <c r="L26" s="26"/>
      <c r="M26" s="26">
        <f>766.06+4275+77+800-125</f>
        <v>5793.0599999999995</v>
      </c>
      <c r="N26" s="26">
        <v>5000</v>
      </c>
      <c r="O26" s="26"/>
      <c r="P26" s="26">
        <f t="shared" si="3"/>
        <v>23930.39</v>
      </c>
      <c r="Q26" s="26"/>
      <c r="R26" s="37"/>
      <c r="AF26" s="86"/>
      <c r="AH26" s="93">
        <f t="shared" si="2"/>
        <v>23930.39</v>
      </c>
      <c r="AI26" s="37">
        <f t="shared" si="4"/>
        <v>23930.39</v>
      </c>
      <c r="AK26" s="9" t="s">
        <v>183</v>
      </c>
    </row>
    <row r="27" spans="1:37">
      <c r="B27" s="9" t="s">
        <v>21</v>
      </c>
      <c r="C27" s="26">
        <f>383+3857+43.83</f>
        <v>4283.83</v>
      </c>
      <c r="D27" s="26">
        <v>0</v>
      </c>
      <c r="E27" s="26">
        <f>80+426.29</f>
        <v>506.29</v>
      </c>
      <c r="F27" s="26">
        <v>908.32</v>
      </c>
      <c r="G27" s="26">
        <f>191.5+462+36.58+125</f>
        <v>815.08</v>
      </c>
      <c r="H27" s="26">
        <v>0</v>
      </c>
      <c r="I27" s="26">
        <f>50</f>
        <v>50</v>
      </c>
      <c r="J27" s="26">
        <f>575.62+919</f>
        <v>1494.62</v>
      </c>
      <c r="K27" s="26">
        <f>200+90+240+350+175</f>
        <v>1055</v>
      </c>
      <c r="L27" s="26">
        <f>272+55</f>
        <v>327</v>
      </c>
      <c r="M27" s="26">
        <f>16.3+8867.85</f>
        <v>8884.15</v>
      </c>
      <c r="N27" s="26">
        <f>3384.66</f>
        <v>3384.66</v>
      </c>
      <c r="O27" s="26"/>
      <c r="P27" s="26">
        <f t="shared" si="3"/>
        <v>21708.95</v>
      </c>
      <c r="Q27" s="26"/>
      <c r="R27" s="37">
        <f t="shared" si="1"/>
        <v>21708.95</v>
      </c>
      <c r="AF27" s="86">
        <v>4283.83</v>
      </c>
      <c r="AH27" s="93">
        <f t="shared" si="2"/>
        <v>17425.120000000003</v>
      </c>
      <c r="AI27" s="37">
        <f t="shared" si="4"/>
        <v>21708.95</v>
      </c>
      <c r="AK27" s="9" t="s">
        <v>21</v>
      </c>
    </row>
    <row r="28" spans="1:37">
      <c r="B28" s="9" t="s">
        <v>101</v>
      </c>
      <c r="C28" s="27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/>
      <c r="P28" s="26">
        <f t="shared" si="3"/>
        <v>0</v>
      </c>
      <c r="Q28" s="26"/>
      <c r="R28" s="52">
        <f t="shared" si="1"/>
        <v>0</v>
      </c>
      <c r="V28">
        <v>43680</v>
      </c>
      <c r="X28">
        <v>62400</v>
      </c>
      <c r="AF28" s="87">
        <v>0</v>
      </c>
      <c r="AH28" s="93">
        <f t="shared" si="2"/>
        <v>0</v>
      </c>
      <c r="AI28" s="37">
        <f t="shared" si="4"/>
        <v>0</v>
      </c>
      <c r="AK28" s="9" t="s">
        <v>101</v>
      </c>
    </row>
    <row r="29" spans="1:37">
      <c r="A29" s="38" t="s">
        <v>96</v>
      </c>
      <c r="B29" s="9"/>
      <c r="C29" s="28">
        <f t="shared" ref="C29:N29" si="5">SUM(C16:C28)</f>
        <v>34318.49</v>
      </c>
      <c r="D29" s="28">
        <f t="shared" si="5"/>
        <v>34667.15</v>
      </c>
      <c r="E29" s="28">
        <f t="shared" si="5"/>
        <v>811959.87000000011</v>
      </c>
      <c r="F29" s="28">
        <f t="shared" si="5"/>
        <v>38428.340000000004</v>
      </c>
      <c r="G29" s="28">
        <f t="shared" si="5"/>
        <v>33651.53</v>
      </c>
      <c r="H29" s="28">
        <f t="shared" si="5"/>
        <v>727239.83000000007</v>
      </c>
      <c r="I29" s="28">
        <f t="shared" si="5"/>
        <v>22770.07</v>
      </c>
      <c r="J29" s="28">
        <f t="shared" si="5"/>
        <v>54562.91</v>
      </c>
      <c r="K29" s="28">
        <f t="shared" si="5"/>
        <v>785579.74</v>
      </c>
      <c r="L29" s="28">
        <f t="shared" si="5"/>
        <v>29994.720000000001</v>
      </c>
      <c r="M29" s="28">
        <f t="shared" si="5"/>
        <v>108965.25000000001</v>
      </c>
      <c r="N29" s="28">
        <f t="shared" si="5"/>
        <v>768782.9800000001</v>
      </c>
      <c r="O29" s="63"/>
      <c r="P29" s="64">
        <f>SUM(P16:P28)</f>
        <v>3388056.9000000004</v>
      </c>
      <c r="Q29" s="63"/>
      <c r="R29" s="37">
        <f>SUM(R16:R28)</f>
        <v>3311658.5100000002</v>
      </c>
      <c r="AF29" s="88">
        <f>SUM(AF16:AF28)</f>
        <v>3146874.83</v>
      </c>
      <c r="AH29" s="94">
        <f t="shared" si="2"/>
        <v>241182.0700000003</v>
      </c>
    </row>
    <row r="30" spans="1:37">
      <c r="A30" s="38" t="s">
        <v>98</v>
      </c>
      <c r="B30" s="10"/>
      <c r="C30" s="29">
        <f t="shared" ref="C30:N30" si="6">C29+C12</f>
        <v>801982.16499999957</v>
      </c>
      <c r="D30" s="29">
        <f t="shared" si="6"/>
        <v>640494.42099999951</v>
      </c>
      <c r="E30" s="29">
        <f t="shared" si="6"/>
        <v>1212938.6839999997</v>
      </c>
      <c r="F30" s="29">
        <f t="shared" si="6"/>
        <v>862761.52399999963</v>
      </c>
      <c r="G30" s="29">
        <f t="shared" si="6"/>
        <v>610853.77399999963</v>
      </c>
      <c r="H30" s="29">
        <f t="shared" si="6"/>
        <v>1064995.8339999998</v>
      </c>
      <c r="I30" s="29">
        <f t="shared" si="6"/>
        <v>837173.30399999977</v>
      </c>
      <c r="J30" s="29">
        <f t="shared" si="6"/>
        <v>631388.55399999977</v>
      </c>
      <c r="K30" s="29">
        <f t="shared" si="6"/>
        <v>1143097.8439999998</v>
      </c>
      <c r="L30" s="29">
        <f t="shared" si="6"/>
        <v>852389.35399999993</v>
      </c>
      <c r="M30" s="29">
        <f t="shared" si="6"/>
        <v>722203.72</v>
      </c>
      <c r="N30" s="29">
        <f t="shared" si="6"/>
        <v>1224531.79</v>
      </c>
      <c r="O30" s="64"/>
      <c r="P30" s="64" t="s">
        <v>92</v>
      </c>
      <c r="Q30" s="64"/>
      <c r="AF30" s="96"/>
      <c r="AH30" s="92"/>
    </row>
    <row r="31" spans="1:37">
      <c r="B31" s="8"/>
      <c r="V31">
        <v>34320</v>
      </c>
      <c r="X31">
        <v>48700</v>
      </c>
      <c r="AF31" s="85" t="s">
        <v>239</v>
      </c>
      <c r="AH31" s="92"/>
    </row>
    <row r="32" spans="1:37">
      <c r="A32" s="4" t="s">
        <v>99</v>
      </c>
      <c r="B32" s="8"/>
      <c r="R32" s="59" t="s">
        <v>208</v>
      </c>
      <c r="V32">
        <v>39520</v>
      </c>
      <c r="X32">
        <v>25961</v>
      </c>
      <c r="AF32" s="85" t="s">
        <v>240</v>
      </c>
      <c r="AH32" s="92"/>
    </row>
    <row r="33" spans="1:34">
      <c r="A33" s="19" t="s">
        <v>92</v>
      </c>
      <c r="B33" s="8" t="s">
        <v>92</v>
      </c>
      <c r="V33">
        <v>32760</v>
      </c>
      <c r="X33" s="48">
        <v>30000</v>
      </c>
      <c r="AF33" s="95" t="s">
        <v>94</v>
      </c>
      <c r="AH33" s="93" t="s">
        <v>92</v>
      </c>
    </row>
    <row r="34" spans="1:34">
      <c r="B34" s="9" t="s">
        <v>22</v>
      </c>
      <c r="C34" s="26">
        <f>'Cash Flow2011'!N34</f>
        <v>4000</v>
      </c>
      <c r="D34" s="26">
        <f t="shared" ref="D34:D43" si="7">S34*2</f>
        <v>4160</v>
      </c>
      <c r="E34" s="26">
        <f>S34*2</f>
        <v>4160</v>
      </c>
      <c r="F34" s="26">
        <f>S34*3</f>
        <v>6240</v>
      </c>
      <c r="G34" s="26">
        <f>S34*2</f>
        <v>4160</v>
      </c>
      <c r="H34" s="26">
        <f>S34*2</f>
        <v>4160</v>
      </c>
      <c r="I34" s="26">
        <f>S34*2</f>
        <v>4160</v>
      </c>
      <c r="J34" s="26">
        <f>S34*2</f>
        <v>4160</v>
      </c>
      <c r="K34" s="26">
        <f t="shared" ref="K34:K46" si="8">S34*3</f>
        <v>6240</v>
      </c>
      <c r="L34" s="26">
        <f>S34*2</f>
        <v>4160</v>
      </c>
      <c r="M34" s="26">
        <v>6240</v>
      </c>
      <c r="N34" s="26">
        <f>S34*2</f>
        <v>4160</v>
      </c>
      <c r="O34" s="26"/>
      <c r="P34" s="26">
        <f t="shared" ref="P34:P97" si="9">SUM(C34:N34)</f>
        <v>56000</v>
      </c>
      <c r="Q34" s="26"/>
      <c r="R34" s="37">
        <v>54080</v>
      </c>
      <c r="S34" s="37">
        <f>R34/26</f>
        <v>2080</v>
      </c>
      <c r="T34" s="37">
        <f>SUM(C34:N34)</f>
        <v>56000</v>
      </c>
      <c r="V34">
        <v>37440</v>
      </c>
      <c r="X34">
        <f>SUM(X28:X33)</f>
        <v>167061</v>
      </c>
      <c r="Y34" s="37">
        <f>R47-X34</f>
        <v>1606335</v>
      </c>
      <c r="AF34" s="86">
        <v>54080</v>
      </c>
      <c r="AH34" s="97">
        <f>AF34-P34</f>
        <v>-1920</v>
      </c>
    </row>
    <row r="35" spans="1:34">
      <c r="B35" s="9" t="s">
        <v>158</v>
      </c>
      <c r="C35" s="26">
        <f>'Cash Flow2011'!N35</f>
        <v>4615.3846153846152</v>
      </c>
      <c r="D35" s="26">
        <f t="shared" si="7"/>
        <v>4800</v>
      </c>
      <c r="E35" s="26">
        <f t="shared" ref="E35:E46" si="10">S35*2</f>
        <v>4800</v>
      </c>
      <c r="F35" s="26">
        <f t="shared" ref="F35:F46" si="11">S35*3</f>
        <v>7200</v>
      </c>
      <c r="G35" s="26">
        <f t="shared" ref="G35:G46" si="12">S35*2</f>
        <v>4800</v>
      </c>
      <c r="H35" s="26">
        <f t="shared" ref="H35:H46" si="13">S35*2</f>
        <v>4800</v>
      </c>
      <c r="I35" s="26">
        <f t="shared" ref="I35:I46" si="14">S35*2</f>
        <v>4800</v>
      </c>
      <c r="J35" s="26">
        <f t="shared" ref="J35:J46" si="15">S35*2</f>
        <v>4800</v>
      </c>
      <c r="K35" s="26">
        <f t="shared" si="8"/>
        <v>7200</v>
      </c>
      <c r="L35" s="26">
        <f t="shared" ref="L35:L46" si="16">S35*2</f>
        <v>4800</v>
      </c>
      <c r="M35" s="26">
        <v>7200</v>
      </c>
      <c r="N35" s="26">
        <f t="shared" ref="N35:N46" si="17">S35*2</f>
        <v>4800</v>
      </c>
      <c r="O35" s="26"/>
      <c r="P35" s="26">
        <f t="shared" si="9"/>
        <v>64615.384615384617</v>
      </c>
      <c r="Q35" s="26"/>
      <c r="R35" s="37">
        <v>62400</v>
      </c>
      <c r="S35" s="37">
        <f t="shared" ref="S35:S46" si="18">R35/26</f>
        <v>2400</v>
      </c>
      <c r="T35" s="37">
        <f t="shared" ref="T35:T51" si="19">SUM(C35:N35)</f>
        <v>64615.384615384617</v>
      </c>
      <c r="V35">
        <v>37440</v>
      </c>
      <c r="AF35" s="86">
        <v>62400</v>
      </c>
      <c r="AH35" s="97">
        <f t="shared" ref="AH35:AH98" si="20">AF35-P35</f>
        <v>-2215.3846153846171</v>
      </c>
    </row>
    <row r="36" spans="1:34">
      <c r="B36" s="9" t="s">
        <v>199</v>
      </c>
      <c r="C36" s="26">
        <f>'Cash Flow2011'!N36</f>
        <v>3384.6153846153848</v>
      </c>
      <c r="D36" s="26">
        <f t="shared" si="7"/>
        <v>3615.3846153846152</v>
      </c>
      <c r="E36" s="26">
        <f t="shared" si="10"/>
        <v>3615.3846153846152</v>
      </c>
      <c r="F36" s="26">
        <f t="shared" si="11"/>
        <v>5423.0769230769229</v>
      </c>
      <c r="G36" s="26">
        <f t="shared" si="12"/>
        <v>3615.3846153846152</v>
      </c>
      <c r="H36" s="26">
        <f t="shared" si="13"/>
        <v>3615.3846153846152</v>
      </c>
      <c r="I36" s="26">
        <f t="shared" si="14"/>
        <v>3615.3846153846152</v>
      </c>
      <c r="J36" s="26">
        <f t="shared" si="15"/>
        <v>3615.3846153846152</v>
      </c>
      <c r="K36" s="26">
        <f t="shared" si="8"/>
        <v>5423.0769230769229</v>
      </c>
      <c r="L36" s="26">
        <f t="shared" si="16"/>
        <v>3615.3846153846152</v>
      </c>
      <c r="M36" s="26">
        <v>5423.08</v>
      </c>
      <c r="N36" s="26">
        <f t="shared" si="17"/>
        <v>3615.3846153846152</v>
      </c>
      <c r="O36" s="26"/>
      <c r="P36" s="26">
        <f t="shared" si="9"/>
        <v>48576.926153846165</v>
      </c>
      <c r="Q36" s="26"/>
      <c r="R36" s="37">
        <v>47000</v>
      </c>
      <c r="S36" s="37">
        <f t="shared" si="18"/>
        <v>1807.6923076923076</v>
      </c>
      <c r="T36" s="37">
        <f t="shared" si="19"/>
        <v>48576.926153846165</v>
      </c>
      <c r="V36">
        <v>45760</v>
      </c>
      <c r="X36">
        <v>7.6499999999999999E-2</v>
      </c>
      <c r="Y36">
        <v>1.2500000000000001E-2</v>
      </c>
      <c r="AF36" s="86">
        <v>47000</v>
      </c>
      <c r="AH36" s="97">
        <f t="shared" si="20"/>
        <v>-1576.9261538461651</v>
      </c>
    </row>
    <row r="37" spans="1:34">
      <c r="B37" s="9" t="s">
        <v>217</v>
      </c>
      <c r="C37" s="26">
        <f>'Cash Flow2011'!N37</f>
        <v>3076.9230769230771</v>
      </c>
      <c r="D37" s="26">
        <f t="shared" si="7"/>
        <v>3461.5384615384614</v>
      </c>
      <c r="E37" s="26">
        <f t="shared" si="10"/>
        <v>3461.5384615384614</v>
      </c>
      <c r="F37" s="26">
        <f t="shared" si="11"/>
        <v>5192.3076923076924</v>
      </c>
      <c r="G37" s="26">
        <f t="shared" si="12"/>
        <v>3461.5384615384614</v>
      </c>
      <c r="H37" s="26">
        <f t="shared" si="13"/>
        <v>3461.5384615384614</v>
      </c>
      <c r="I37" s="26">
        <f t="shared" si="14"/>
        <v>3461.5384615384614</v>
      </c>
      <c r="J37" s="26">
        <f t="shared" si="15"/>
        <v>3461.5384615384614</v>
      </c>
      <c r="K37" s="26">
        <f t="shared" si="8"/>
        <v>5192.3076923076924</v>
      </c>
      <c r="L37" s="26">
        <f t="shared" si="16"/>
        <v>3461.5384615384614</v>
      </c>
      <c r="M37" s="26">
        <v>5192.3100000000004</v>
      </c>
      <c r="N37" s="26">
        <f t="shared" si="17"/>
        <v>3461.5384615384614</v>
      </c>
      <c r="O37" s="26"/>
      <c r="P37" s="26">
        <f t="shared" si="9"/>
        <v>46346.156153846146</v>
      </c>
      <c r="Q37" s="26"/>
      <c r="R37" s="37">
        <v>45000</v>
      </c>
      <c r="S37" s="37">
        <f t="shared" si="18"/>
        <v>1730.7692307692307</v>
      </c>
      <c r="T37" s="37">
        <f t="shared" si="19"/>
        <v>46346.156153846146</v>
      </c>
      <c r="V37">
        <v>34320</v>
      </c>
      <c r="AF37" s="86">
        <v>45000</v>
      </c>
      <c r="AH37" s="97">
        <f t="shared" si="20"/>
        <v>-1346.1561538461465</v>
      </c>
    </row>
    <row r="38" spans="1:34">
      <c r="B38" s="9" t="s">
        <v>200</v>
      </c>
      <c r="C38" s="26">
        <f>'Cash Flow2011'!N38</f>
        <v>3076.9230769230771</v>
      </c>
      <c r="D38" s="26">
        <f t="shared" si="7"/>
        <v>1782</v>
      </c>
      <c r="E38" s="26">
        <f t="shared" si="10"/>
        <v>1782</v>
      </c>
      <c r="F38" s="26">
        <f t="shared" si="11"/>
        <v>2673</v>
      </c>
      <c r="G38" s="26">
        <f t="shared" si="12"/>
        <v>1782</v>
      </c>
      <c r="H38" s="26">
        <f t="shared" si="13"/>
        <v>1782</v>
      </c>
      <c r="I38" s="26">
        <f t="shared" si="14"/>
        <v>1782</v>
      </c>
      <c r="J38" s="26">
        <f t="shared" si="15"/>
        <v>1782</v>
      </c>
      <c r="K38" s="26">
        <f t="shared" si="8"/>
        <v>2673</v>
      </c>
      <c r="L38" s="26">
        <f t="shared" si="16"/>
        <v>1782</v>
      </c>
      <c r="M38" s="26">
        <v>2673</v>
      </c>
      <c r="N38" s="26">
        <f t="shared" si="17"/>
        <v>1782</v>
      </c>
      <c r="O38" s="26"/>
      <c r="P38" s="26">
        <f t="shared" si="9"/>
        <v>25351.923076923078</v>
      </c>
      <c r="Q38" s="26"/>
      <c r="R38" s="37">
        <v>23166</v>
      </c>
      <c r="S38" s="37">
        <f t="shared" si="18"/>
        <v>891</v>
      </c>
      <c r="T38" s="37">
        <f t="shared" si="19"/>
        <v>25351.923076923078</v>
      </c>
      <c r="V38">
        <v>39520</v>
      </c>
      <c r="X38">
        <f>X34*X36</f>
        <v>12780.166499999999</v>
      </c>
      <c r="Y38" t="s">
        <v>203</v>
      </c>
      <c r="AF38" s="86">
        <v>23166</v>
      </c>
      <c r="AH38" s="97">
        <f t="shared" si="20"/>
        <v>-2185.923076923078</v>
      </c>
    </row>
    <row r="39" spans="1:34">
      <c r="B39" s="9" t="s">
        <v>201</v>
      </c>
      <c r="C39" s="26">
        <f>'Cash Flow2011'!N39</f>
        <v>2153.8461538461538</v>
      </c>
      <c r="D39" s="26">
        <f t="shared" si="7"/>
        <v>6190.4615384615381</v>
      </c>
      <c r="E39" s="26">
        <f t="shared" si="10"/>
        <v>6190.4615384615381</v>
      </c>
      <c r="F39" s="26">
        <f t="shared" si="11"/>
        <v>9285.6923076923067</v>
      </c>
      <c r="G39" s="26">
        <f t="shared" si="12"/>
        <v>6190.4615384615381</v>
      </c>
      <c r="H39" s="26">
        <f t="shared" si="13"/>
        <v>6190.4615384615381</v>
      </c>
      <c r="I39" s="26">
        <f t="shared" si="14"/>
        <v>6190.4615384615381</v>
      </c>
      <c r="J39" s="26">
        <f t="shared" si="15"/>
        <v>6190.4615384615381</v>
      </c>
      <c r="K39" s="26">
        <f t="shared" si="8"/>
        <v>9285.6923076923067</v>
      </c>
      <c r="L39" s="26">
        <f t="shared" si="16"/>
        <v>6190.4615384615381</v>
      </c>
      <c r="M39" s="26">
        <v>9285.69</v>
      </c>
      <c r="N39" s="26">
        <f t="shared" si="17"/>
        <v>6190.4615384615381</v>
      </c>
      <c r="O39" s="26"/>
      <c r="P39" s="26">
        <f t="shared" si="9"/>
        <v>79534.613076923066</v>
      </c>
      <c r="Q39" s="26"/>
      <c r="R39" s="37">
        <v>80476</v>
      </c>
      <c r="S39" s="37">
        <f t="shared" si="18"/>
        <v>3095.2307692307691</v>
      </c>
      <c r="T39" s="37">
        <f t="shared" si="19"/>
        <v>79534.613076923066</v>
      </c>
      <c r="V39">
        <v>33800</v>
      </c>
      <c r="X39" s="52">
        <f>Y36*Y34</f>
        <v>20079.1875</v>
      </c>
      <c r="Y39" t="s">
        <v>204</v>
      </c>
      <c r="AF39" s="86">
        <v>80476</v>
      </c>
      <c r="AH39" s="97">
        <f t="shared" si="20"/>
        <v>941.38692307693418</v>
      </c>
    </row>
    <row r="40" spans="1:34">
      <c r="B40" s="9" t="s">
        <v>187</v>
      </c>
      <c r="C40" s="26">
        <f>'Cash Flow2011'!E39</f>
        <v>2153.8461538461538</v>
      </c>
      <c r="D40" s="26">
        <f t="shared" si="7"/>
        <v>4730.7692307692305</v>
      </c>
      <c r="E40" s="26">
        <f t="shared" si="10"/>
        <v>4730.7692307692305</v>
      </c>
      <c r="F40" s="26">
        <f t="shared" si="11"/>
        <v>7096.1538461538457</v>
      </c>
      <c r="G40" s="26">
        <f t="shared" si="12"/>
        <v>4730.7692307692305</v>
      </c>
      <c r="H40" s="26">
        <f t="shared" si="13"/>
        <v>4730.7692307692305</v>
      </c>
      <c r="I40" s="26">
        <f t="shared" si="14"/>
        <v>4730.7692307692305</v>
      </c>
      <c r="J40" s="26">
        <f t="shared" si="15"/>
        <v>4730.7692307692305</v>
      </c>
      <c r="K40" s="26">
        <f t="shared" si="8"/>
        <v>7096.1538461538457</v>
      </c>
      <c r="L40" s="26">
        <f t="shared" si="16"/>
        <v>4730.7692307692305</v>
      </c>
      <c r="M40" s="26">
        <v>7096.15</v>
      </c>
      <c r="N40" s="26">
        <f t="shared" si="17"/>
        <v>4730.7692307692305</v>
      </c>
      <c r="O40" s="26"/>
      <c r="P40" s="26">
        <f t="shared" si="9"/>
        <v>61288.457692307697</v>
      </c>
      <c r="Q40" s="26"/>
      <c r="R40" s="37">
        <v>61500</v>
      </c>
      <c r="S40" s="37">
        <f t="shared" si="18"/>
        <v>2365.3846153846152</v>
      </c>
      <c r="T40" s="37">
        <f t="shared" si="19"/>
        <v>61288.457692307697</v>
      </c>
      <c r="V40">
        <v>40903.199999999997</v>
      </c>
      <c r="X40">
        <f>SUM(X38:X39)</f>
        <v>32859.353999999999</v>
      </c>
      <c r="Y40" t="s">
        <v>114</v>
      </c>
      <c r="AF40" s="86">
        <v>61500</v>
      </c>
      <c r="AH40" s="97">
        <f t="shared" si="20"/>
        <v>211.54230769230344</v>
      </c>
    </row>
    <row r="41" spans="1:34">
      <c r="B41" s="9" t="s">
        <v>194</v>
      </c>
      <c r="C41" s="26">
        <v>70492</v>
      </c>
      <c r="D41" s="26">
        <f t="shared" si="7"/>
        <v>87394.153846153844</v>
      </c>
      <c r="E41" s="26">
        <f t="shared" si="10"/>
        <v>87394.153846153844</v>
      </c>
      <c r="F41" s="26">
        <f t="shared" si="11"/>
        <v>131091.23076923075</v>
      </c>
      <c r="G41" s="26">
        <f t="shared" si="12"/>
        <v>87394.153846153844</v>
      </c>
      <c r="H41" s="26">
        <f t="shared" si="13"/>
        <v>87394.153846153844</v>
      </c>
      <c r="I41" s="26">
        <f t="shared" si="14"/>
        <v>87394.153846153844</v>
      </c>
      <c r="J41" s="26">
        <f t="shared" si="15"/>
        <v>87394.153846153844</v>
      </c>
      <c r="K41" s="26">
        <f t="shared" si="8"/>
        <v>131091.23076923075</v>
      </c>
      <c r="L41" s="26">
        <f t="shared" si="16"/>
        <v>87394.153846153844</v>
      </c>
      <c r="M41" s="26">
        <v>131091.23000000001</v>
      </c>
      <c r="N41" s="26">
        <f t="shared" si="17"/>
        <v>87394.153846153844</v>
      </c>
      <c r="O41" s="26"/>
      <c r="P41" s="26">
        <f t="shared" si="9"/>
        <v>1162918.9223076922</v>
      </c>
      <c r="Q41" s="26"/>
      <c r="R41" s="37">
        <v>1136124</v>
      </c>
      <c r="S41" s="37">
        <f t="shared" si="18"/>
        <v>43697.076923076922</v>
      </c>
      <c r="T41" s="37">
        <f t="shared" si="19"/>
        <v>1162918.9223076922</v>
      </c>
      <c r="V41">
        <v>39520</v>
      </c>
      <c r="X41">
        <v>10000</v>
      </c>
      <c r="Y41" t="s">
        <v>205</v>
      </c>
      <c r="AF41" s="86">
        <v>1136124</v>
      </c>
      <c r="AH41" s="97">
        <f t="shared" si="20"/>
        <v>-26794.922307692235</v>
      </c>
    </row>
    <row r="42" spans="1:34">
      <c r="B42" s="9" t="s">
        <v>169</v>
      </c>
      <c r="D42" s="26">
        <f t="shared" si="7"/>
        <v>6842.3076923076924</v>
      </c>
      <c r="E42" s="26">
        <f t="shared" si="10"/>
        <v>6842.3076923076924</v>
      </c>
      <c r="F42" s="26">
        <f t="shared" si="11"/>
        <v>10263.461538461539</v>
      </c>
      <c r="G42" s="26">
        <f t="shared" si="12"/>
        <v>6842.3076923076924</v>
      </c>
      <c r="H42" s="26">
        <f t="shared" si="13"/>
        <v>6842.3076923076924</v>
      </c>
      <c r="I42" s="26">
        <f t="shared" si="14"/>
        <v>6842.3076923076924</v>
      </c>
      <c r="J42" s="26">
        <f t="shared" si="15"/>
        <v>6842.3076923076924</v>
      </c>
      <c r="K42" s="26">
        <f t="shared" si="8"/>
        <v>10263.461538461539</v>
      </c>
      <c r="L42" s="26">
        <f t="shared" si="16"/>
        <v>6842.3076923076924</v>
      </c>
      <c r="M42" s="26">
        <v>10263.459999999999</v>
      </c>
      <c r="N42" s="26">
        <f t="shared" si="17"/>
        <v>6842.3076923076924</v>
      </c>
      <c r="O42" s="26"/>
      <c r="P42" s="26">
        <f t="shared" si="9"/>
        <v>85528.844615384616</v>
      </c>
      <c r="Q42" s="26"/>
      <c r="R42" s="37">
        <v>88950</v>
      </c>
      <c r="S42" s="37">
        <f t="shared" si="18"/>
        <v>3421.1538461538462</v>
      </c>
      <c r="T42" s="37">
        <v>88950</v>
      </c>
      <c r="V42">
        <v>41080</v>
      </c>
      <c r="X42">
        <f>500*37*0.75*12</f>
        <v>166500</v>
      </c>
      <c r="Y42" t="s">
        <v>206</v>
      </c>
      <c r="AF42" s="86">
        <v>88950</v>
      </c>
      <c r="AH42" s="97">
        <f t="shared" si="20"/>
        <v>3421.1553846153838</v>
      </c>
    </row>
    <row r="43" spans="1:34">
      <c r="B43" s="9" t="s">
        <v>202</v>
      </c>
      <c r="D43" s="26">
        <f t="shared" si="7"/>
        <v>5476.9230769230771</v>
      </c>
      <c r="E43" s="26">
        <f>S43*2</f>
        <v>5476.9230769230771</v>
      </c>
      <c r="F43" s="26">
        <f>S43*3</f>
        <v>8215.3846153846152</v>
      </c>
      <c r="G43" s="26">
        <f>S43*2</f>
        <v>5476.9230769230771</v>
      </c>
      <c r="H43" s="26">
        <f>S43*2</f>
        <v>5476.9230769230771</v>
      </c>
      <c r="I43" s="26">
        <f>S43*2</f>
        <v>5476.9230769230771</v>
      </c>
      <c r="J43" s="26">
        <f>S43*2</f>
        <v>5476.9230769230771</v>
      </c>
      <c r="K43" s="26">
        <f t="shared" si="8"/>
        <v>8215.3846153846152</v>
      </c>
      <c r="L43" s="26">
        <f>S43*2</f>
        <v>5476.9230769230771</v>
      </c>
      <c r="M43" s="26">
        <v>8215.3799999999992</v>
      </c>
      <c r="N43" s="26">
        <f>S43*2</f>
        <v>5476.9230769230771</v>
      </c>
      <c r="O43" s="26"/>
      <c r="P43" s="26">
        <f t="shared" si="9"/>
        <v>68461.533846153849</v>
      </c>
      <c r="Q43" s="26"/>
      <c r="R43" s="37">
        <v>71200</v>
      </c>
      <c r="S43" s="37">
        <f t="shared" si="18"/>
        <v>2738.4615384615386</v>
      </c>
      <c r="T43" s="37">
        <f t="shared" si="19"/>
        <v>68461.533846153849</v>
      </c>
      <c r="V43">
        <v>22464</v>
      </c>
      <c r="Z43" t="s">
        <v>207</v>
      </c>
      <c r="AC43">
        <v>37</v>
      </c>
      <c r="AF43" s="86">
        <v>71200</v>
      </c>
      <c r="AH43" s="97">
        <f t="shared" si="20"/>
        <v>2738.4661538461514</v>
      </c>
    </row>
    <row r="44" spans="1:34">
      <c r="B44" s="9" t="s">
        <v>28</v>
      </c>
      <c r="C44" s="26">
        <f>'Cash Flow2011'!N42</f>
        <v>3384.6153846153848</v>
      </c>
      <c r="D44" s="26">
        <v>0</v>
      </c>
      <c r="E44" s="26">
        <f t="shared" si="10"/>
        <v>3807.6923076923076</v>
      </c>
      <c r="F44" s="26">
        <f t="shared" si="11"/>
        <v>5711.538461538461</v>
      </c>
      <c r="G44" s="26">
        <f t="shared" si="12"/>
        <v>3807.6923076923076</v>
      </c>
      <c r="H44" s="26">
        <f t="shared" si="13"/>
        <v>3807.6923076923076</v>
      </c>
      <c r="I44" s="26">
        <f t="shared" si="14"/>
        <v>3807.6923076923076</v>
      </c>
      <c r="J44" s="26">
        <f t="shared" si="15"/>
        <v>3807.6923076923076</v>
      </c>
      <c r="K44" s="26">
        <f t="shared" si="8"/>
        <v>5711.538461538461</v>
      </c>
      <c r="L44" s="26">
        <f t="shared" si="16"/>
        <v>3807.6923076923076</v>
      </c>
      <c r="M44" s="26">
        <v>5711.54</v>
      </c>
      <c r="N44" s="26">
        <f t="shared" si="17"/>
        <v>3807.6923076923076</v>
      </c>
      <c r="O44" s="26"/>
      <c r="P44" s="26">
        <f t="shared" si="9"/>
        <v>47173.078461538455</v>
      </c>
      <c r="Q44" s="26"/>
      <c r="R44" s="37">
        <v>49500</v>
      </c>
      <c r="S44" s="37">
        <f t="shared" si="18"/>
        <v>1903.8461538461538</v>
      </c>
      <c r="T44" s="37">
        <f t="shared" si="19"/>
        <v>47173.078461538455</v>
      </c>
      <c r="V44">
        <v>37440</v>
      </c>
      <c r="AF44" s="86">
        <v>49500</v>
      </c>
      <c r="AH44" s="97">
        <f t="shared" si="20"/>
        <v>2326.9215384615454</v>
      </c>
    </row>
    <row r="45" spans="1:34">
      <c r="B45" s="9" t="s">
        <v>29</v>
      </c>
      <c r="C45" s="26">
        <f>'Cash Flow2011'!N43</f>
        <v>1772.3076923076924</v>
      </c>
      <c r="D45" s="26">
        <v>0</v>
      </c>
      <c r="E45" s="26">
        <f t="shared" si="10"/>
        <v>2153.8461538461538</v>
      </c>
      <c r="F45" s="26">
        <f t="shared" si="11"/>
        <v>3230.7692307692305</v>
      </c>
      <c r="G45" s="26">
        <f t="shared" si="12"/>
        <v>2153.8461538461538</v>
      </c>
      <c r="H45" s="26">
        <f t="shared" si="13"/>
        <v>2153.8461538461538</v>
      </c>
      <c r="I45" s="26">
        <f t="shared" si="14"/>
        <v>2153.8461538461538</v>
      </c>
      <c r="J45" s="26">
        <f t="shared" si="15"/>
        <v>2153.8461538461538</v>
      </c>
      <c r="K45" s="26">
        <f t="shared" si="8"/>
        <v>3230.7692307692305</v>
      </c>
      <c r="L45" s="26">
        <f t="shared" si="16"/>
        <v>2153.8461538461538</v>
      </c>
      <c r="M45" s="26">
        <v>3230.77</v>
      </c>
      <c r="N45" s="26">
        <f t="shared" si="17"/>
        <v>2153.8461538461538</v>
      </c>
      <c r="O45" s="26"/>
      <c r="P45" s="26">
        <f t="shared" si="9"/>
        <v>26541.539230769227</v>
      </c>
      <c r="Q45" s="26"/>
      <c r="R45" s="37">
        <v>28000</v>
      </c>
      <c r="S45" s="37">
        <f t="shared" si="18"/>
        <v>1076.9230769230769</v>
      </c>
      <c r="T45" s="37">
        <f t="shared" si="19"/>
        <v>26541.539230769227</v>
      </c>
      <c r="V45">
        <v>33000</v>
      </c>
      <c r="AF45" s="86">
        <v>28000</v>
      </c>
      <c r="AH45" s="97">
        <f t="shared" si="20"/>
        <v>1458.4607692307727</v>
      </c>
    </row>
    <row r="46" spans="1:34">
      <c r="B46" s="9" t="s">
        <v>30</v>
      </c>
      <c r="C46" s="26">
        <f>'Cash Flow2011'!N45</f>
        <v>3710.4166666666665</v>
      </c>
      <c r="D46" s="26">
        <f>S46*2</f>
        <v>2000</v>
      </c>
      <c r="E46" s="26">
        <f t="shared" si="10"/>
        <v>2000</v>
      </c>
      <c r="F46" s="26">
        <f t="shared" si="11"/>
        <v>3000</v>
      </c>
      <c r="G46" s="26">
        <f t="shared" si="12"/>
        <v>2000</v>
      </c>
      <c r="H46" s="26">
        <f t="shared" si="13"/>
        <v>2000</v>
      </c>
      <c r="I46" s="26">
        <f t="shared" si="14"/>
        <v>2000</v>
      </c>
      <c r="J46" s="26">
        <f t="shared" si="15"/>
        <v>2000</v>
      </c>
      <c r="K46" s="26">
        <f t="shared" si="8"/>
        <v>3000</v>
      </c>
      <c r="L46" s="26">
        <f t="shared" si="16"/>
        <v>2000</v>
      </c>
      <c r="M46" s="26">
        <v>3000</v>
      </c>
      <c r="N46" s="26">
        <f t="shared" si="17"/>
        <v>2000</v>
      </c>
      <c r="O46" s="26"/>
      <c r="P46" s="26">
        <f t="shared" si="9"/>
        <v>28710.416666666664</v>
      </c>
      <c r="Q46" s="26"/>
      <c r="R46" s="52">
        <v>26000</v>
      </c>
      <c r="S46" s="37">
        <f t="shared" si="18"/>
        <v>1000</v>
      </c>
      <c r="T46" s="37">
        <f t="shared" si="19"/>
        <v>28710.416666666664</v>
      </c>
      <c r="V46">
        <v>35000</v>
      </c>
      <c r="AF46" s="87">
        <v>26000</v>
      </c>
      <c r="AH46" s="97">
        <f t="shared" si="20"/>
        <v>-2710.4166666666642</v>
      </c>
    </row>
    <row r="47" spans="1:34">
      <c r="B47" s="9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 t="s">
        <v>92</v>
      </c>
      <c r="Q47" s="26"/>
      <c r="R47" s="37">
        <f>SUM(R34:R46)</f>
        <v>1773396</v>
      </c>
      <c r="S47" s="37"/>
      <c r="V47">
        <v>37440</v>
      </c>
      <c r="AF47" s="86">
        <v>1773396</v>
      </c>
      <c r="AH47" s="97" t="s">
        <v>92</v>
      </c>
    </row>
    <row r="48" spans="1:34">
      <c r="B48" s="9" t="s">
        <v>32</v>
      </c>
      <c r="C48" s="26">
        <f>$R$48/12</f>
        <v>635.80900000000008</v>
      </c>
      <c r="D48" s="26">
        <f t="shared" ref="D48:N48" si="21">$R$48/12</f>
        <v>635.80900000000008</v>
      </c>
      <c r="E48" s="26">
        <f t="shared" si="21"/>
        <v>635.80900000000008</v>
      </c>
      <c r="F48" s="26">
        <f t="shared" si="21"/>
        <v>635.80900000000008</v>
      </c>
      <c r="G48" s="26">
        <f t="shared" si="21"/>
        <v>635.80900000000008</v>
      </c>
      <c r="H48" s="26">
        <f t="shared" si="21"/>
        <v>635.80900000000008</v>
      </c>
      <c r="I48" s="26">
        <f t="shared" si="21"/>
        <v>635.80900000000008</v>
      </c>
      <c r="J48" s="26">
        <f t="shared" si="21"/>
        <v>635.80900000000008</v>
      </c>
      <c r="K48" s="26">
        <v>4291.43</v>
      </c>
      <c r="L48" s="26">
        <f t="shared" si="21"/>
        <v>635.80900000000008</v>
      </c>
      <c r="M48" s="26">
        <v>4291.43</v>
      </c>
      <c r="N48" s="26">
        <f t="shared" si="21"/>
        <v>635.80900000000008</v>
      </c>
      <c r="O48" s="26"/>
      <c r="P48" s="26">
        <f t="shared" si="9"/>
        <v>14940.95</v>
      </c>
      <c r="Q48" s="26"/>
      <c r="R48" s="37">
        <f>Personnel!D233</f>
        <v>7629.7080000000005</v>
      </c>
      <c r="T48" s="37">
        <f t="shared" si="19"/>
        <v>14940.95</v>
      </c>
      <c r="V48">
        <v>37440</v>
      </c>
      <c r="AF48" s="86">
        <v>44849.665999999997</v>
      </c>
      <c r="AH48" s="97">
        <f t="shared" si="20"/>
        <v>29908.715999999997</v>
      </c>
    </row>
    <row r="49" spans="2:38">
      <c r="B49" s="9" t="s">
        <v>33</v>
      </c>
      <c r="C49" s="26">
        <f>SUM(C34:C46)*0.0049</f>
        <v>498.92230320512823</v>
      </c>
      <c r="D49" s="26">
        <f t="shared" ref="D49:N49" si="22">SUM(D34:D46)*0.0049</f>
        <v>639.22233846153836</v>
      </c>
      <c r="E49" s="26">
        <f t="shared" si="22"/>
        <v>668.43387692307681</v>
      </c>
      <c r="F49" s="26">
        <f t="shared" si="22"/>
        <v>1002.6508153846152</v>
      </c>
      <c r="G49" s="26">
        <f t="shared" si="22"/>
        <v>668.43387692307681</v>
      </c>
      <c r="H49" s="26">
        <f t="shared" si="22"/>
        <v>668.43387692307681</v>
      </c>
      <c r="I49" s="26">
        <f t="shared" si="22"/>
        <v>668.43387692307681</v>
      </c>
      <c r="J49" s="26">
        <f t="shared" si="22"/>
        <v>668.43387692307681</v>
      </c>
      <c r="K49" s="26">
        <f t="shared" si="22"/>
        <v>1002.6508153846152</v>
      </c>
      <c r="L49" s="26">
        <f t="shared" si="22"/>
        <v>668.43387692307681</v>
      </c>
      <c r="M49" s="26">
        <f>SUM(M34:M46)*0.0049</f>
        <v>1002.650789</v>
      </c>
      <c r="N49" s="26">
        <f t="shared" si="22"/>
        <v>668.43387692307681</v>
      </c>
      <c r="O49" s="26"/>
      <c r="P49" s="26">
        <f t="shared" si="9"/>
        <v>8825.1341998974367</v>
      </c>
      <c r="Q49" s="26"/>
      <c r="R49" s="37">
        <f>X41</f>
        <v>10000</v>
      </c>
      <c r="T49" s="37">
        <f t="shared" si="19"/>
        <v>8825.1341998974367</v>
      </c>
      <c r="V49">
        <v>34320</v>
      </c>
      <c r="AF49" s="86">
        <v>10000</v>
      </c>
      <c r="AH49" s="97">
        <f t="shared" si="20"/>
        <v>1174.8658001025633</v>
      </c>
    </row>
    <row r="50" spans="2:38">
      <c r="B50" s="9" t="s">
        <v>212</v>
      </c>
      <c r="C50" s="5">
        <v>0</v>
      </c>
      <c r="D50" s="5">
        <v>0</v>
      </c>
      <c r="E50" s="5">
        <v>1251.93</v>
      </c>
      <c r="F50" s="5">
        <v>1251.93</v>
      </c>
      <c r="G50" s="5">
        <v>1251.93</v>
      </c>
      <c r="H50" s="5">
        <v>1251.93</v>
      </c>
      <c r="I50" s="5">
        <v>1251.93</v>
      </c>
      <c r="J50" s="5">
        <v>1251.93</v>
      </c>
      <c r="K50" s="5">
        <v>1251.93</v>
      </c>
      <c r="L50" s="5">
        <v>1251.93</v>
      </c>
      <c r="M50" s="5">
        <v>1251.93</v>
      </c>
      <c r="N50" s="5">
        <v>1251.93</v>
      </c>
      <c r="O50" s="5"/>
      <c r="P50" s="26">
        <f t="shared" si="9"/>
        <v>12519.300000000001</v>
      </c>
      <c r="Q50" s="5"/>
      <c r="R50" s="37">
        <f t="shared" ref="R50:R71" si="23">SUM(C50:N50)</f>
        <v>12519.300000000001</v>
      </c>
      <c r="T50" s="37">
        <f t="shared" si="19"/>
        <v>12519.300000000001</v>
      </c>
      <c r="V50" s="48">
        <v>35000</v>
      </c>
      <c r="AF50" s="86">
        <v>12519.3</v>
      </c>
      <c r="AH50" s="97">
        <f t="shared" si="20"/>
        <v>0</v>
      </c>
    </row>
    <row r="51" spans="2:38">
      <c r="B51" s="9" t="s">
        <v>35</v>
      </c>
      <c r="C51" s="40">
        <f>'Cash Flow2011'!J48</f>
        <v>13830.300000000001</v>
      </c>
      <c r="D51" s="40" t="e">
        <f t="shared" ref="D51:N51" si="24">$R$51/12</f>
        <v>#VALUE!</v>
      </c>
      <c r="E51" s="40" t="e">
        <f t="shared" si="24"/>
        <v>#VALUE!</v>
      </c>
      <c r="F51" s="40" t="e">
        <f t="shared" si="24"/>
        <v>#VALUE!</v>
      </c>
      <c r="G51" s="40" t="e">
        <f t="shared" si="24"/>
        <v>#VALUE!</v>
      </c>
      <c r="H51" s="40" t="e">
        <f t="shared" si="24"/>
        <v>#VALUE!</v>
      </c>
      <c r="I51" s="40" t="e">
        <f t="shared" si="24"/>
        <v>#VALUE!</v>
      </c>
      <c r="J51" s="40" t="e">
        <f t="shared" si="24"/>
        <v>#VALUE!</v>
      </c>
      <c r="K51" s="40" t="e">
        <f t="shared" si="24"/>
        <v>#VALUE!</v>
      </c>
      <c r="L51" s="40" t="e">
        <f t="shared" si="24"/>
        <v>#VALUE!</v>
      </c>
      <c r="M51" s="40" t="e">
        <f t="shared" si="24"/>
        <v>#VALUE!</v>
      </c>
      <c r="N51" s="40" t="e">
        <f t="shared" si="24"/>
        <v>#VALUE!</v>
      </c>
      <c r="O51" s="40"/>
      <c r="P51" s="40" t="e">
        <f t="shared" si="9"/>
        <v>#VALUE!</v>
      </c>
      <c r="Q51" s="40"/>
      <c r="R51" s="52" t="str">
        <f>Personnel!D235</f>
        <v xml:space="preserve"> </v>
      </c>
      <c r="T51" s="37" t="e">
        <f t="shared" si="19"/>
        <v>#VALUE!</v>
      </c>
      <c r="V51" s="23">
        <v>36000</v>
      </c>
      <c r="AF51" s="87">
        <v>221232</v>
      </c>
      <c r="AH51" s="97" t="e">
        <f t="shared" si="20"/>
        <v>#VALUE!</v>
      </c>
    </row>
    <row r="52" spans="2:38">
      <c r="B52" s="9" t="s">
        <v>216</v>
      </c>
      <c r="C52" s="26">
        <f>8814.52+86.5+40076.17+9924.04+10262.39+103.1+44951.09+3475+382.71</f>
        <v>118075.52</v>
      </c>
      <c r="D52" s="26">
        <f>20551.43+10964.23+90.9+45969.41+796+9924.04+8540.15+95.4+39172.08</f>
        <v>136103.64000000001</v>
      </c>
      <c r="E52" s="26">
        <f>18525+10406.84+103.6+37278.85+9905.77+11582.29+100.6+40199.6+11026.86+9924.04+11952.49+115.35+51443.84+1132.63+797</f>
        <v>214494.76000000004</v>
      </c>
      <c r="F52" s="26">
        <f>11568.05+104.1+50591.03+1199.93+1953+796+30226.59+20844+11552.43+111.9+50754.36+886.81+4856.81</f>
        <v>185445.01</v>
      </c>
      <c r="G52" s="26">
        <f>25550.68+796+17977.74+11972.13+203.85+51314.05+1286.04+19748.26+11884.77+112.75+51314.06+1042.82-25872.09</f>
        <v>167331.06</v>
      </c>
      <c r="H52" s="26">
        <f>11412.87+107.3+48513.35+2836.94+796+12662.07+11799.82+114.95+51666.28+787.83+12255.92</f>
        <v>152953.33000000002</v>
      </c>
      <c r="I52" s="26">
        <f>11119.28+102.75+49548.9+496.29+795+12268.31+112.75+51714.73+1000.46+12265.82+20844</f>
        <v>160268.29</v>
      </c>
      <c r="J52" s="26">
        <f>20121.81+12237.42+105.2+52468.72+591.9+796+12255.92+12013.03+527.8+51015.32+1047.35</f>
        <v>163180.47</v>
      </c>
      <c r="K52" s="26">
        <f>10890.63+100.8+48634.04+482.72+20756.84+12107.84+11409.65+104+48675.33+2226.91+13014.89+106+49704.16+1190.23</f>
        <v>219404.03999999998</v>
      </c>
      <c r="L52" s="26">
        <f>19885.23+12196.29+115.8+50711.74+958.27+17939.64+10208.07+94.45+45528.69+789.34+2598.54</f>
        <v>161026.06</v>
      </c>
      <c r="M52" s="26">
        <f>20072+12250.7+101.9+51150.88+765.57+11673.5+20072+12552.73+113.75+52252.23+1113.99+485.74</f>
        <v>182604.99</v>
      </c>
      <c r="N52" s="26">
        <f>584.06+11853.53+103.75+50675.01+686.17+11967.71+21043.23+11662.09+111.75+49970.23+939.75</f>
        <v>159597.28</v>
      </c>
      <c r="O52" s="26"/>
      <c r="P52" s="82">
        <f t="shared" si="9"/>
        <v>2020484.4500000002</v>
      </c>
      <c r="Q52" s="26"/>
      <c r="R52" s="37">
        <f>SUM(R47:R51)</f>
        <v>1803545.0080000001</v>
      </c>
      <c r="V52" s="58">
        <v>33000</v>
      </c>
      <c r="AF52" s="88">
        <v>2061996.966</v>
      </c>
      <c r="AH52" s="97">
        <f t="shared" si="20"/>
        <v>41512.515999999829</v>
      </c>
      <c r="AL52" t="s">
        <v>254</v>
      </c>
    </row>
    <row r="53" spans="2:38">
      <c r="B53" s="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f t="shared" si="9"/>
        <v>0</v>
      </c>
      <c r="Q53" s="26"/>
      <c r="R53" s="37"/>
      <c r="AF53" s="86"/>
      <c r="AH53" s="97">
        <f t="shared" si="20"/>
        <v>0</v>
      </c>
    </row>
    <row r="54" spans="2:38">
      <c r="B54" s="9" t="s">
        <v>36</v>
      </c>
      <c r="C54" s="26">
        <v>207</v>
      </c>
      <c r="D54" s="26">
        <f>207+317.21</f>
        <v>524.21</v>
      </c>
      <c r="E54" s="26">
        <v>207</v>
      </c>
      <c r="F54" s="26">
        <f>207+3000+1000.2</f>
        <v>4207.2</v>
      </c>
      <c r="G54" s="26">
        <v>207</v>
      </c>
      <c r="H54" s="26">
        <f>1000+207+209.99</f>
        <v>1416.99</v>
      </c>
      <c r="I54" s="26">
        <f>207+312.96</f>
        <v>519.96</v>
      </c>
      <c r="J54" s="26">
        <v>207</v>
      </c>
      <c r="K54" s="26">
        <v>207</v>
      </c>
      <c r="L54" s="26">
        <f>207+630</f>
        <v>837</v>
      </c>
      <c r="M54" s="26">
        <f>350.02+207</f>
        <v>557.02</v>
      </c>
      <c r="N54" s="26">
        <v>207</v>
      </c>
      <c r="O54" s="26"/>
      <c r="P54" s="26">
        <f t="shared" si="9"/>
        <v>9304.380000000001</v>
      </c>
      <c r="Q54" s="26"/>
      <c r="R54" s="37">
        <f t="shared" si="23"/>
        <v>9304.380000000001</v>
      </c>
      <c r="V54">
        <f>SUM(V28:V53)</f>
        <v>841167.2</v>
      </c>
      <c r="AF54" s="86">
        <v>30207</v>
      </c>
      <c r="AH54" s="97">
        <f t="shared" si="20"/>
        <v>20902.62</v>
      </c>
      <c r="AI54" s="37">
        <f t="shared" ref="AI54:AI111" si="25">SUM(C54:N54)</f>
        <v>9304.380000000001</v>
      </c>
      <c r="AK54" s="9" t="s">
        <v>36</v>
      </c>
    </row>
    <row r="55" spans="2:38">
      <c r="B55" s="9" t="s">
        <v>37</v>
      </c>
      <c r="C55" s="26">
        <f>145+480</f>
        <v>625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853</v>
      </c>
      <c r="K55" s="26">
        <v>0</v>
      </c>
      <c r="L55" s="26">
        <v>0</v>
      </c>
      <c r="M55" s="26">
        <v>0</v>
      </c>
      <c r="N55" s="26">
        <v>127.5</v>
      </c>
      <c r="O55" s="26"/>
      <c r="P55" s="26">
        <f t="shared" si="9"/>
        <v>1605.5</v>
      </c>
      <c r="Q55" s="26"/>
      <c r="R55" s="37">
        <f t="shared" si="23"/>
        <v>1605.5</v>
      </c>
      <c r="AF55" s="86">
        <v>625</v>
      </c>
      <c r="AH55" s="97">
        <f t="shared" si="20"/>
        <v>-980.5</v>
      </c>
      <c r="AI55" s="37">
        <f t="shared" si="25"/>
        <v>1605.5</v>
      </c>
      <c r="AK55" s="9" t="s">
        <v>37</v>
      </c>
    </row>
    <row r="56" spans="2:38">
      <c r="B56" s="30" t="s">
        <v>38</v>
      </c>
      <c r="C56" s="26">
        <f>240.88+77.5+150+43.26+177.78+144.18</f>
        <v>833.59999999999991</v>
      </c>
      <c r="D56" s="26">
        <f>5900+275+119.92+480+563.47+77.5+157.76+73.25+451.65+848.72+1419.98+212.28+108.31</f>
        <v>10687.84</v>
      </c>
      <c r="E56" s="26">
        <f>47.15+480+150+77.5+20.5+240.88+20.5+166.48+666.5+500+44.79+20.5+185.69+500+302.58</f>
        <v>3423.07</v>
      </c>
      <c r="F56" s="26">
        <f>20+2280+2280+240.88+120+183.49+340+77.5+88.22+2280+265.44+185+210.5+546.4+549.17</f>
        <v>9666.5999999999985</v>
      </c>
      <c r="G56" s="26">
        <f>215+363.81+166.48+480+240.88+77.5+1979.28+904.07+127+615.94+1138.45</f>
        <v>6308.4099999999989</v>
      </c>
      <c r="H56" s="26">
        <f>240.88+77.5+25+125+825.43</f>
        <v>1293.81</v>
      </c>
      <c r="I56" s="26">
        <f>461.84+242.93+173.43+77.5+138.36+45.99+685+75+558.65</f>
        <v>2458.6999999999998</v>
      </c>
      <c r="J56" s="26">
        <f>862.09+220+242.93+77+86.6+860.82+351.22+40</f>
        <v>2740.66</v>
      </c>
      <c r="K56" s="26">
        <f>242.93+820+193.72+77.5+163.44+114.26+1214+1163.48</f>
        <v>3989.3300000000004</v>
      </c>
      <c r="L56" s="26">
        <f>77.5+62.5+72.5+75+261.38+89.67+166.48+84+185.5+475.97+800</f>
        <v>2350.5</v>
      </c>
      <c r="M56" s="26">
        <f>2150+1094.48+120+96.12+264.56+725.11+77.5+342.17+1155.86+571.68</f>
        <v>6597.48</v>
      </c>
      <c r="N56" s="26">
        <f>495+264.56+77.5+155.61+173.43+301.7+272+703.63</f>
        <v>2443.4299999999998</v>
      </c>
      <c r="O56" s="26"/>
      <c r="P56" s="26">
        <f t="shared" si="9"/>
        <v>52793.43</v>
      </c>
      <c r="Q56" s="26"/>
      <c r="R56" s="37">
        <f t="shared" si="23"/>
        <v>52793.43</v>
      </c>
      <c r="AF56" s="86">
        <v>44833.599999999999</v>
      </c>
      <c r="AH56" s="97">
        <f t="shared" si="20"/>
        <v>-7959.8300000000017</v>
      </c>
      <c r="AI56" s="37">
        <f t="shared" si="25"/>
        <v>52793.43</v>
      </c>
      <c r="AK56" s="30" t="s">
        <v>38</v>
      </c>
    </row>
    <row r="57" spans="2:38">
      <c r="B57" s="9" t="s">
        <v>100</v>
      </c>
      <c r="C57" s="26">
        <v>0</v>
      </c>
      <c r="D57" s="26">
        <f>8473.62+6808+12963.7</f>
        <v>28245.32</v>
      </c>
      <c r="E57" s="26">
        <f>72942.9+4188.89+2204.5+8948.15+1100+230+1000+230</f>
        <v>90844.439999999988</v>
      </c>
      <c r="F57" s="26">
        <f>5157.4+488.89+138.91+873.33+138.91+873.33</f>
        <v>7670.7699999999995</v>
      </c>
      <c r="G57" s="26">
        <f>92+887+10555.45+555.55</f>
        <v>12090</v>
      </c>
      <c r="H57" s="26">
        <v>0</v>
      </c>
      <c r="I57" s="26">
        <v>0</v>
      </c>
      <c r="J57" s="26">
        <v>8410</v>
      </c>
      <c r="K57" s="26">
        <f>2050+453.5</f>
        <v>2503.5</v>
      </c>
      <c r="L57" s="26">
        <v>0</v>
      </c>
      <c r="M57" s="26">
        <f>125+7273.9+15</f>
        <v>7413.9</v>
      </c>
      <c r="N57" s="26">
        <v>0</v>
      </c>
      <c r="O57" s="26"/>
      <c r="P57" s="26">
        <f t="shared" si="9"/>
        <v>157177.92999999996</v>
      </c>
      <c r="Q57" s="26"/>
      <c r="R57" s="37">
        <f t="shared" si="23"/>
        <v>157177.92999999996</v>
      </c>
      <c r="AF57" s="86">
        <v>0</v>
      </c>
      <c r="AH57" s="97">
        <f t="shared" si="20"/>
        <v>-157177.92999999996</v>
      </c>
      <c r="AI57" s="37">
        <f t="shared" si="25"/>
        <v>157177.92999999996</v>
      </c>
      <c r="AK57" s="9" t="s">
        <v>100</v>
      </c>
    </row>
    <row r="58" spans="2:38">
      <c r="B58" s="9" t="s">
        <v>39</v>
      </c>
      <c r="C58" s="26">
        <f>2666.67+41.55</f>
        <v>2708.2200000000003</v>
      </c>
      <c r="D58" s="26">
        <f>14.07+1584.39+1214.61</f>
        <v>2813.0699999999997</v>
      </c>
      <c r="E58" s="26">
        <f>16.75+1945.21</f>
        <v>1961.96</v>
      </c>
      <c r="F58" s="26">
        <f>107.29+2149.03</f>
        <v>2256.3200000000002</v>
      </c>
      <c r="G58" s="26">
        <f>2571.16+44.47</f>
        <v>2615.6299999999997</v>
      </c>
      <c r="H58" s="26">
        <f>1671.62+710.52</f>
        <v>2382.14</v>
      </c>
      <c r="I58" s="26">
        <f>1164.37+1759.18</f>
        <v>2923.55</v>
      </c>
      <c r="J58" s="26">
        <f>1789.61+1726.31+1830.64</f>
        <v>5346.56</v>
      </c>
      <c r="K58" s="26">
        <f>1071.02+1686.5</f>
        <v>2757.52</v>
      </c>
      <c r="L58" s="26">
        <f>2086.32+772.6</f>
        <v>2858.92</v>
      </c>
      <c r="M58" s="26">
        <f>1113.39+241.94</f>
        <v>1355.3300000000002</v>
      </c>
      <c r="N58" s="26">
        <f>96.86+2530.94</f>
        <v>2627.8</v>
      </c>
      <c r="O58" s="26"/>
      <c r="P58" s="26">
        <f t="shared" si="9"/>
        <v>32607.02</v>
      </c>
      <c r="Q58" s="26"/>
      <c r="R58" s="37">
        <f t="shared" si="23"/>
        <v>32607.02</v>
      </c>
      <c r="AF58" s="86">
        <v>35708.22</v>
      </c>
      <c r="AH58" s="97">
        <f t="shared" si="20"/>
        <v>3101.2000000000007</v>
      </c>
      <c r="AI58" s="37">
        <f t="shared" si="25"/>
        <v>32607.02</v>
      </c>
      <c r="AK58" s="9" t="s">
        <v>39</v>
      </c>
    </row>
    <row r="59" spans="2:38">
      <c r="B59" s="9" t="s">
        <v>149</v>
      </c>
      <c r="C59" s="5">
        <f>5325+11104.68+3536.354+533</f>
        <v>20499.034</v>
      </c>
      <c r="D59" s="5">
        <f>5325+11104.68+3536+887</f>
        <v>20852.68</v>
      </c>
      <c r="E59" s="5">
        <f>11104.68+3536+887</f>
        <v>15527.68</v>
      </c>
      <c r="F59" s="5">
        <f>11104.68+3536+5325</f>
        <v>19965.68</v>
      </c>
      <c r="G59" s="5">
        <f>11104.68+3536+5325</f>
        <v>19965.68</v>
      </c>
      <c r="H59" s="5">
        <f>11104.68+3536+5325</f>
        <v>19965.68</v>
      </c>
      <c r="I59" s="5">
        <f>11104.68+3536+5325</f>
        <v>19965.68</v>
      </c>
      <c r="J59" s="5">
        <v>19965.68</v>
      </c>
      <c r="K59" s="5">
        <f>11104.68+3536+5325</f>
        <v>19965.68</v>
      </c>
      <c r="L59" s="5">
        <f>11104.68+3536+5325</f>
        <v>19965.68</v>
      </c>
      <c r="M59" s="5">
        <f>11104.68+3536+5325</f>
        <v>19965.68</v>
      </c>
      <c r="N59" s="5">
        <f>11104.68+3536+5325</f>
        <v>19965.68</v>
      </c>
      <c r="O59" s="5"/>
      <c r="P59" s="26">
        <f t="shared" si="9"/>
        <v>236570.51399999994</v>
      </c>
      <c r="Q59" s="5"/>
      <c r="R59" s="37">
        <f t="shared" si="23"/>
        <v>236570.51399999994</v>
      </c>
      <c r="S59">
        <f>(24000+6500)*12</f>
        <v>366000</v>
      </c>
      <c r="T59" s="37">
        <f>S59-R59</f>
        <v>129429.48600000006</v>
      </c>
      <c r="AF59" s="86">
        <v>284499.03399999999</v>
      </c>
      <c r="AH59" s="97">
        <f t="shared" si="20"/>
        <v>47928.520000000048</v>
      </c>
      <c r="AI59" s="37">
        <f t="shared" si="25"/>
        <v>236570.51399999994</v>
      </c>
      <c r="AK59" s="9" t="s">
        <v>149</v>
      </c>
    </row>
    <row r="60" spans="2:38" hidden="1">
      <c r="B60" s="9" t="s">
        <v>41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/>
      <c r="P60" s="26">
        <f t="shared" si="9"/>
        <v>0</v>
      </c>
      <c r="Q60" s="26"/>
      <c r="R60" s="37">
        <f t="shared" si="23"/>
        <v>0</v>
      </c>
      <c r="AF60" s="86">
        <v>0</v>
      </c>
      <c r="AH60" s="97">
        <f t="shared" si="20"/>
        <v>0</v>
      </c>
      <c r="AI60" s="37">
        <f t="shared" si="25"/>
        <v>0</v>
      </c>
      <c r="AK60" s="9" t="s">
        <v>41</v>
      </c>
    </row>
    <row r="61" spans="2:38" hidden="1">
      <c r="B61" s="9" t="s">
        <v>42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/>
      <c r="P61" s="26">
        <f t="shared" si="9"/>
        <v>0</v>
      </c>
      <c r="Q61" s="26"/>
      <c r="R61" s="37">
        <f t="shared" si="23"/>
        <v>0</v>
      </c>
      <c r="AF61" s="86">
        <v>0</v>
      </c>
      <c r="AH61" s="97">
        <f t="shared" si="20"/>
        <v>0</v>
      </c>
      <c r="AI61" s="37">
        <f t="shared" si="25"/>
        <v>0</v>
      </c>
      <c r="AK61" s="9" t="s">
        <v>42</v>
      </c>
    </row>
    <row r="62" spans="2:38" hidden="1">
      <c r="B62" s="9" t="s">
        <v>43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/>
      <c r="P62" s="26">
        <f t="shared" si="9"/>
        <v>0</v>
      </c>
      <c r="Q62" s="26"/>
      <c r="R62" s="37">
        <f t="shared" si="23"/>
        <v>0</v>
      </c>
      <c r="AF62" s="86">
        <v>0</v>
      </c>
      <c r="AH62" s="97">
        <f t="shared" si="20"/>
        <v>0</v>
      </c>
      <c r="AI62" s="37">
        <f t="shared" si="25"/>
        <v>0</v>
      </c>
      <c r="AK62" s="9" t="s">
        <v>43</v>
      </c>
    </row>
    <row r="63" spans="2:38" hidden="1">
      <c r="B63" s="9" t="s">
        <v>44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/>
      <c r="P63" s="26">
        <f t="shared" si="9"/>
        <v>0</v>
      </c>
      <c r="Q63" s="26"/>
      <c r="R63" s="37">
        <f t="shared" si="23"/>
        <v>0</v>
      </c>
      <c r="AF63" s="86">
        <v>0</v>
      </c>
      <c r="AH63" s="97">
        <f t="shared" si="20"/>
        <v>0</v>
      </c>
      <c r="AI63" s="37">
        <f t="shared" si="25"/>
        <v>0</v>
      </c>
      <c r="AK63" s="9" t="s">
        <v>44</v>
      </c>
    </row>
    <row r="64" spans="2:38" hidden="1">
      <c r="B64" s="9" t="s">
        <v>45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/>
      <c r="P64" s="26">
        <f t="shared" si="9"/>
        <v>0</v>
      </c>
      <c r="Q64" s="26"/>
      <c r="R64" s="37">
        <f t="shared" si="23"/>
        <v>0</v>
      </c>
      <c r="AF64" s="86">
        <v>0</v>
      </c>
      <c r="AH64" s="97">
        <f t="shared" si="20"/>
        <v>0</v>
      </c>
      <c r="AI64" s="37">
        <f t="shared" si="25"/>
        <v>0</v>
      </c>
      <c r="AK64" s="9" t="s">
        <v>45</v>
      </c>
    </row>
    <row r="65" spans="2:37" hidden="1">
      <c r="B65" s="9" t="s">
        <v>46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/>
      <c r="P65" s="26">
        <f t="shared" si="9"/>
        <v>0</v>
      </c>
      <c r="Q65" s="26"/>
      <c r="R65" s="37">
        <f t="shared" si="23"/>
        <v>0</v>
      </c>
      <c r="AF65" s="86">
        <v>0</v>
      </c>
      <c r="AH65" s="97">
        <f t="shared" si="20"/>
        <v>0</v>
      </c>
      <c r="AI65" s="37">
        <f t="shared" si="25"/>
        <v>0</v>
      </c>
      <c r="AK65" s="9" t="s">
        <v>46</v>
      </c>
    </row>
    <row r="66" spans="2:37">
      <c r="B66" s="9" t="s">
        <v>47</v>
      </c>
      <c r="C66" s="26">
        <v>1500</v>
      </c>
      <c r="D66" s="26">
        <v>1000</v>
      </c>
      <c r="E66" s="26">
        <f>3500+2500</f>
        <v>6000</v>
      </c>
      <c r="F66" s="26">
        <v>3500</v>
      </c>
      <c r="G66" s="26">
        <v>0</v>
      </c>
      <c r="H66" s="26">
        <v>0</v>
      </c>
      <c r="I66" s="26">
        <v>0</v>
      </c>
      <c r="J66" s="26">
        <v>5000</v>
      </c>
      <c r="K66" s="26">
        <v>0</v>
      </c>
      <c r="L66" s="26">
        <v>0</v>
      </c>
      <c r="M66" s="26">
        <v>0</v>
      </c>
      <c r="N66" s="26">
        <v>3500</v>
      </c>
      <c r="O66" s="26"/>
      <c r="P66" s="26">
        <f t="shared" si="9"/>
        <v>20500</v>
      </c>
      <c r="Q66" s="26"/>
      <c r="R66" s="78" t="s">
        <v>92</v>
      </c>
      <c r="AF66" s="86">
        <v>16000</v>
      </c>
      <c r="AH66" s="97">
        <f t="shared" si="20"/>
        <v>-4500</v>
      </c>
      <c r="AI66" s="37">
        <f t="shared" si="25"/>
        <v>20500</v>
      </c>
      <c r="AK66" s="9" t="s">
        <v>47</v>
      </c>
    </row>
    <row r="67" spans="2:37">
      <c r="B67" s="9" t="s">
        <v>48</v>
      </c>
      <c r="C67" s="26">
        <f>600+600</f>
        <v>1200</v>
      </c>
      <c r="D67" s="26">
        <f>600+600</f>
        <v>1200</v>
      </c>
      <c r="E67" s="26">
        <f>600+600+600</f>
        <v>1800</v>
      </c>
      <c r="F67" s="26">
        <f>600+600</f>
        <v>1200</v>
      </c>
      <c r="G67" s="26">
        <f>600</f>
        <v>600</v>
      </c>
      <c r="H67" s="26">
        <f>600+600</f>
        <v>1200</v>
      </c>
      <c r="I67" s="26">
        <f>600+600</f>
        <v>1200</v>
      </c>
      <c r="J67" s="26">
        <f>600+600</f>
        <v>1200</v>
      </c>
      <c r="K67" s="26">
        <f>600+600</f>
        <v>1200</v>
      </c>
      <c r="L67" s="26">
        <f>600+600+600</f>
        <v>1800</v>
      </c>
      <c r="M67" s="26">
        <f>600+600</f>
        <v>1200</v>
      </c>
      <c r="N67" s="26">
        <f>600+600</f>
        <v>1200</v>
      </c>
      <c r="O67" s="26"/>
      <c r="P67" s="26">
        <f t="shared" si="9"/>
        <v>15000</v>
      </c>
      <c r="Q67" s="26"/>
      <c r="R67" s="37">
        <f t="shared" si="23"/>
        <v>15000</v>
      </c>
      <c r="AF67" s="86">
        <v>15500</v>
      </c>
      <c r="AH67" s="97">
        <f t="shared" si="20"/>
        <v>500</v>
      </c>
      <c r="AI67" s="37">
        <f t="shared" si="25"/>
        <v>15000</v>
      </c>
      <c r="AK67" s="9" t="s">
        <v>48</v>
      </c>
    </row>
    <row r="68" spans="2:37">
      <c r="B68" s="76" t="s">
        <v>49</v>
      </c>
      <c r="C68" s="26">
        <f>2610+1731.25</f>
        <v>4341.25</v>
      </c>
      <c r="D68" s="26">
        <f>300+2500+1200+1406.28</f>
        <v>5406.28</v>
      </c>
      <c r="E68" s="26">
        <f>1293.75+14939.41+300</f>
        <v>16533.16</v>
      </c>
      <c r="F68" s="26">
        <f>300+47.5</f>
        <v>347.5</v>
      </c>
      <c r="G68" s="26">
        <f>683.5+300+9410.98+600</f>
        <v>10994.48</v>
      </c>
      <c r="H68" s="26">
        <f>10471.5+300+750</f>
        <v>11521.5</v>
      </c>
      <c r="I68" s="26">
        <f>300+14063.35</f>
        <v>14363.35</v>
      </c>
      <c r="J68" s="26">
        <f>300+22756.5+24.25</f>
        <v>23080.75</v>
      </c>
      <c r="K68" s="26">
        <f>300+8398.4+1205</f>
        <v>9903.4</v>
      </c>
      <c r="L68" s="26">
        <f>2425+300+2398.5+1925+682.5+1716</f>
        <v>9447</v>
      </c>
      <c r="M68" s="26">
        <f>300+3181.5+312</f>
        <v>3793.5</v>
      </c>
      <c r="N68" s="26">
        <f>2320.5+300+2425</f>
        <v>5045.5</v>
      </c>
      <c r="O68" s="26"/>
      <c r="P68" s="26">
        <f t="shared" si="9"/>
        <v>114777.66999999998</v>
      </c>
      <c r="Q68" s="26"/>
      <c r="R68" s="37">
        <v>20000</v>
      </c>
      <c r="S68" s="70">
        <f>R68-P68</f>
        <v>-94777.669999999984</v>
      </c>
      <c r="AF68" s="86">
        <v>169352</v>
      </c>
      <c r="AH68" s="97">
        <f t="shared" si="20"/>
        <v>54574.330000000016</v>
      </c>
      <c r="AI68" s="37">
        <f t="shared" si="25"/>
        <v>114777.66999999998</v>
      </c>
      <c r="AK68" s="76" t="s">
        <v>49</v>
      </c>
    </row>
    <row r="69" spans="2:37" hidden="1">
      <c r="B69" s="9" t="s">
        <v>50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289</v>
      </c>
      <c r="K69" s="26">
        <v>289</v>
      </c>
      <c r="L69" s="26">
        <v>289</v>
      </c>
      <c r="M69" s="26">
        <v>289</v>
      </c>
      <c r="N69" s="26">
        <v>289</v>
      </c>
      <c r="O69" s="26"/>
      <c r="P69" s="26">
        <f t="shared" si="9"/>
        <v>1445</v>
      </c>
      <c r="Q69" s="26"/>
      <c r="R69" s="37">
        <f t="shared" si="23"/>
        <v>1445</v>
      </c>
      <c r="AF69" s="86">
        <v>3179</v>
      </c>
      <c r="AH69" s="97">
        <f t="shared" si="20"/>
        <v>1734</v>
      </c>
      <c r="AI69" s="37">
        <f t="shared" si="25"/>
        <v>1445</v>
      </c>
      <c r="AK69" s="9" t="s">
        <v>50</v>
      </c>
    </row>
    <row r="70" spans="2:37" hidden="1">
      <c r="B70" s="9" t="s">
        <v>51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/>
      <c r="P70" s="26">
        <f t="shared" si="9"/>
        <v>0</v>
      </c>
      <c r="Q70" s="26"/>
      <c r="R70" s="37">
        <f t="shared" si="23"/>
        <v>0</v>
      </c>
      <c r="AF70" s="86">
        <v>0</v>
      </c>
      <c r="AH70" s="97">
        <f t="shared" si="20"/>
        <v>0</v>
      </c>
      <c r="AI70" s="37">
        <f t="shared" si="25"/>
        <v>0</v>
      </c>
      <c r="AK70" s="9" t="s">
        <v>51</v>
      </c>
    </row>
    <row r="71" spans="2:37">
      <c r="B71" s="9" t="s">
        <v>52</v>
      </c>
      <c r="C71" s="26">
        <v>0</v>
      </c>
      <c r="D71" s="26">
        <v>0</v>
      </c>
      <c r="E71" s="26">
        <v>0</v>
      </c>
      <c r="F71" s="26">
        <f>1975</f>
        <v>1975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/>
      <c r="P71" s="26">
        <f t="shared" si="9"/>
        <v>1975</v>
      </c>
      <c r="Q71" s="26"/>
      <c r="R71" s="37">
        <f t="shared" si="23"/>
        <v>1975</v>
      </c>
      <c r="AF71" s="86">
        <v>5000</v>
      </c>
      <c r="AH71" s="97">
        <f t="shared" si="20"/>
        <v>3025</v>
      </c>
      <c r="AI71" s="37">
        <f t="shared" si="25"/>
        <v>1975</v>
      </c>
      <c r="AK71" s="9" t="s">
        <v>52</v>
      </c>
    </row>
    <row r="72" spans="2:37">
      <c r="B72" s="9" t="s">
        <v>53</v>
      </c>
      <c r="C72" s="26">
        <f>2896</f>
        <v>2896</v>
      </c>
      <c r="D72" s="26">
        <v>0</v>
      </c>
      <c r="E72" s="26">
        <v>0</v>
      </c>
      <c r="F72" s="26">
        <v>0</v>
      </c>
      <c r="G72" s="26">
        <f>3000+100</f>
        <v>3100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100</v>
      </c>
      <c r="O72" s="26"/>
      <c r="P72" s="26">
        <f t="shared" si="9"/>
        <v>6096</v>
      </c>
      <c r="Q72" s="26"/>
      <c r="R72" s="37">
        <f t="shared" ref="R72:R104" si="26">SUM(C72:N72)</f>
        <v>6096</v>
      </c>
      <c r="AF72" s="86">
        <v>5000</v>
      </c>
      <c r="AH72" s="97">
        <f t="shared" si="20"/>
        <v>-1096</v>
      </c>
      <c r="AI72" s="37">
        <f t="shared" si="25"/>
        <v>6096</v>
      </c>
      <c r="AK72" s="9" t="s">
        <v>53</v>
      </c>
    </row>
    <row r="73" spans="2:37">
      <c r="B73" s="9" t="s">
        <v>54</v>
      </c>
      <c r="C73" s="26">
        <f>26.99+112.5</f>
        <v>139.49</v>
      </c>
      <c r="D73" s="26">
        <f>450.84+299.5+86.97+142.5+597.71</f>
        <v>1577.52</v>
      </c>
      <c r="E73" s="26">
        <f>722.25+343.21</f>
        <v>1065.46</v>
      </c>
      <c r="F73" s="26">
        <f>27+25.64+19.49+18.79+3.59+50+1126.7</f>
        <v>1271.21</v>
      </c>
      <c r="G73" s="26">
        <f>73.59+25.2+419.67+22.36+311.88+47.45+51.83+2109.55+1687.05</f>
        <v>4748.58</v>
      </c>
      <c r="H73" s="26">
        <f>40.45+1074.47+90+39.97+799.41+31.41</f>
        <v>2075.71</v>
      </c>
      <c r="I73" s="26">
        <v>995.68</v>
      </c>
      <c r="J73" s="26">
        <v>43.98</v>
      </c>
      <c r="K73" s="26">
        <f>2284.07+1100.61</f>
        <v>3384.6800000000003</v>
      </c>
      <c r="L73" s="26">
        <v>707.27</v>
      </c>
      <c r="M73" s="26">
        <f>249.9+104.56+838.39</f>
        <v>1192.8499999999999</v>
      </c>
      <c r="N73" s="26">
        <f>41.82+62.26+322.21+139.57</f>
        <v>565.8599999999999</v>
      </c>
      <c r="O73" s="26"/>
      <c r="P73" s="26">
        <f t="shared" si="9"/>
        <v>17768.29</v>
      </c>
      <c r="Q73" s="26"/>
      <c r="R73" s="37">
        <f t="shared" si="26"/>
        <v>17768.29</v>
      </c>
      <c r="AF73" s="86">
        <v>5639.49</v>
      </c>
      <c r="AH73" s="97">
        <f t="shared" si="20"/>
        <v>-12128.800000000001</v>
      </c>
      <c r="AI73" s="37">
        <f t="shared" si="25"/>
        <v>17768.29</v>
      </c>
      <c r="AK73" s="9" t="s">
        <v>54</v>
      </c>
    </row>
    <row r="74" spans="2:37">
      <c r="B74" s="9" t="s">
        <v>55</v>
      </c>
      <c r="C74" s="26">
        <f>546.44+134.99</f>
        <v>681.43000000000006</v>
      </c>
      <c r="D74" s="26">
        <f>637.83+134.99</f>
        <v>772.82</v>
      </c>
      <c r="E74" s="26">
        <f>545.09+134.99</f>
        <v>680.08</v>
      </c>
      <c r="F74" s="26">
        <f>60.3+134.99</f>
        <v>195.29000000000002</v>
      </c>
      <c r="G74" s="26">
        <f>549.29+134.99</f>
        <v>684.28</v>
      </c>
      <c r="H74" s="26">
        <f>552.7+134.99</f>
        <v>687.69</v>
      </c>
      <c r="I74" s="26">
        <f>550.52+237.77</f>
        <v>788.29</v>
      </c>
      <c r="J74" s="26">
        <f>548+199.59</f>
        <v>747.59</v>
      </c>
      <c r="K74" s="26">
        <f>548.14+199.59</f>
        <v>747.73</v>
      </c>
      <c r="L74" s="26">
        <f>547.65+199.49</f>
        <v>747.14</v>
      </c>
      <c r="M74" s="26">
        <f>552.45+199.49</f>
        <v>751.94</v>
      </c>
      <c r="N74" s="26">
        <f>199.49+553.16</f>
        <v>752.65</v>
      </c>
      <c r="O74" s="26"/>
      <c r="P74" s="26">
        <f t="shared" si="9"/>
        <v>8236.9299999999985</v>
      </c>
      <c r="Q74" s="26"/>
      <c r="R74" s="37">
        <f t="shared" si="26"/>
        <v>8236.9299999999985</v>
      </c>
      <c r="AF74" s="86">
        <v>6181.43</v>
      </c>
      <c r="AH74" s="97">
        <f t="shared" si="20"/>
        <v>-2055.4999999999982</v>
      </c>
      <c r="AI74" s="37">
        <f t="shared" si="25"/>
        <v>8236.9299999999985</v>
      </c>
      <c r="AK74" s="9" t="s">
        <v>55</v>
      </c>
    </row>
    <row r="75" spans="2:37">
      <c r="B75" s="9" t="s">
        <v>56</v>
      </c>
      <c r="C75" s="26">
        <v>0</v>
      </c>
      <c r="D75" s="26">
        <f>217.6+349.24</f>
        <v>566.84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142.36000000000001</v>
      </c>
      <c r="N75" s="26">
        <v>0</v>
      </c>
      <c r="O75" s="26"/>
      <c r="P75" s="26">
        <f t="shared" si="9"/>
        <v>709.2</v>
      </c>
      <c r="Q75" s="26"/>
      <c r="R75" s="37">
        <f t="shared" si="26"/>
        <v>709.2</v>
      </c>
      <c r="AF75" s="86">
        <v>0</v>
      </c>
      <c r="AH75" s="97">
        <f t="shared" si="20"/>
        <v>-709.2</v>
      </c>
      <c r="AI75" s="37">
        <f t="shared" si="25"/>
        <v>709.2</v>
      </c>
      <c r="AK75" s="9" t="s">
        <v>56</v>
      </c>
    </row>
    <row r="76" spans="2:37">
      <c r="B76" s="9" t="s">
        <v>57</v>
      </c>
      <c r="C76" s="26">
        <f>5.9+25.91</f>
        <v>31.810000000000002</v>
      </c>
      <c r="D76" s="26">
        <f>11+18.3+5.2+740.54+301</f>
        <v>1076.04</v>
      </c>
      <c r="E76" s="26">
        <v>154.1</v>
      </c>
      <c r="F76" s="26">
        <v>61.17</v>
      </c>
      <c r="G76" s="26">
        <f>23.56+114.77+270.59</f>
        <v>408.91999999999996</v>
      </c>
      <c r="H76" s="26">
        <f>54.75+46.74+64.32+187.8</f>
        <v>353.61</v>
      </c>
      <c r="I76" s="26">
        <f>51.75+50.06+167.01</f>
        <v>268.82</v>
      </c>
      <c r="J76" s="26">
        <f>48.64+12.45</f>
        <v>61.09</v>
      </c>
      <c r="K76" s="26">
        <f>51.67+54+136.86+76.98+351.9</f>
        <v>671.41000000000008</v>
      </c>
      <c r="L76" s="26">
        <f>14.8+19.45+33+101.5+57.27</f>
        <v>226.02</v>
      </c>
      <c r="M76" s="26">
        <f>33.3+37.22+194</f>
        <v>264.52</v>
      </c>
      <c r="N76" s="26">
        <f>4.5+7.8+270.4</f>
        <v>282.7</v>
      </c>
      <c r="O76" s="26"/>
      <c r="P76" s="26">
        <f t="shared" si="9"/>
        <v>3860.21</v>
      </c>
      <c r="Q76" s="26"/>
      <c r="R76" s="37">
        <f t="shared" si="26"/>
        <v>3860.21</v>
      </c>
      <c r="AF76" s="86">
        <v>306.81</v>
      </c>
      <c r="AH76" s="97">
        <f t="shared" si="20"/>
        <v>-3553.4</v>
      </c>
      <c r="AI76" s="37">
        <f t="shared" si="25"/>
        <v>3860.21</v>
      </c>
      <c r="AK76" s="9" t="s">
        <v>57</v>
      </c>
    </row>
    <row r="77" spans="2:37">
      <c r="B77" s="9" t="s">
        <v>58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70</v>
      </c>
      <c r="L77" s="26">
        <v>0</v>
      </c>
      <c r="M77" s="26">
        <v>0</v>
      </c>
      <c r="N77" s="26">
        <v>0</v>
      </c>
      <c r="O77" s="26"/>
      <c r="P77" s="26">
        <f t="shared" si="9"/>
        <v>70</v>
      </c>
      <c r="Q77" s="26"/>
      <c r="R77" s="37">
        <f t="shared" si="26"/>
        <v>70</v>
      </c>
      <c r="AF77" s="86">
        <v>0</v>
      </c>
      <c r="AH77" s="97">
        <f t="shared" si="20"/>
        <v>-70</v>
      </c>
      <c r="AI77" s="37">
        <f t="shared" si="25"/>
        <v>70</v>
      </c>
      <c r="AK77" s="9" t="s">
        <v>58</v>
      </c>
    </row>
    <row r="78" spans="2:37">
      <c r="B78" s="9" t="s">
        <v>59</v>
      </c>
      <c r="C78" s="26">
        <v>1370.25</v>
      </c>
      <c r="D78" s="26">
        <v>0</v>
      </c>
      <c r="E78" s="26">
        <v>0</v>
      </c>
      <c r="F78" s="26">
        <v>182.34</v>
      </c>
      <c r="G78" s="26">
        <f>158.55+328.26</f>
        <v>486.81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/>
      <c r="P78" s="26">
        <f t="shared" si="9"/>
        <v>2039.3999999999999</v>
      </c>
      <c r="Q78" s="26"/>
      <c r="R78" s="37">
        <f t="shared" si="26"/>
        <v>2039.3999999999999</v>
      </c>
      <c r="AF78" s="86">
        <v>1370.25</v>
      </c>
      <c r="AH78" s="97">
        <f t="shared" si="20"/>
        <v>-669.14999999999986</v>
      </c>
      <c r="AI78" s="37">
        <f t="shared" si="25"/>
        <v>2039.3999999999999</v>
      </c>
      <c r="AK78" s="9" t="s">
        <v>59</v>
      </c>
    </row>
    <row r="79" spans="2:37">
      <c r="B79" s="9" t="s">
        <v>60</v>
      </c>
      <c r="C79" s="26">
        <v>0</v>
      </c>
      <c r="D79" s="26">
        <f>77.5+189.57</f>
        <v>267.07</v>
      </c>
      <c r="E79" s="26">
        <v>31.77</v>
      </c>
      <c r="F79" s="26">
        <v>3302.79</v>
      </c>
      <c r="G79" s="26">
        <v>0</v>
      </c>
      <c r="H79" s="26">
        <v>0</v>
      </c>
      <c r="I79" s="26">
        <v>0</v>
      </c>
      <c r="J79" s="26">
        <v>12.54</v>
      </c>
      <c r="K79" s="26">
        <v>0</v>
      </c>
      <c r="L79" s="26">
        <v>0</v>
      </c>
      <c r="M79" s="26">
        <v>0</v>
      </c>
      <c r="N79" s="26">
        <v>12.54</v>
      </c>
      <c r="O79" s="26"/>
      <c r="P79" s="26">
        <f t="shared" si="9"/>
        <v>3626.71</v>
      </c>
      <c r="Q79" s="26"/>
      <c r="R79" s="37">
        <f t="shared" si="26"/>
        <v>3626.71</v>
      </c>
      <c r="AF79" s="86">
        <v>9000</v>
      </c>
      <c r="AH79" s="97">
        <f t="shared" si="20"/>
        <v>5373.29</v>
      </c>
      <c r="AI79" s="37">
        <f t="shared" si="25"/>
        <v>3626.71</v>
      </c>
      <c r="AK79" s="9" t="s">
        <v>60</v>
      </c>
    </row>
    <row r="80" spans="2:37">
      <c r="B80" s="9" t="s">
        <v>61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/>
      <c r="P80" s="26">
        <f t="shared" si="9"/>
        <v>0</v>
      </c>
      <c r="Q80" s="26"/>
      <c r="R80" s="37">
        <f t="shared" si="26"/>
        <v>0</v>
      </c>
      <c r="AF80" s="86">
        <v>0</v>
      </c>
      <c r="AH80" s="97">
        <f t="shared" si="20"/>
        <v>0</v>
      </c>
      <c r="AI80" s="37">
        <f t="shared" si="25"/>
        <v>0</v>
      </c>
      <c r="AK80" s="9" t="s">
        <v>61</v>
      </c>
    </row>
    <row r="81" spans="2:37">
      <c r="B81" s="9" t="s">
        <v>62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/>
      <c r="P81" s="26">
        <f t="shared" si="9"/>
        <v>0</v>
      </c>
      <c r="Q81" s="26"/>
      <c r="R81" s="37">
        <f t="shared" si="26"/>
        <v>0</v>
      </c>
      <c r="AF81" s="86">
        <v>0</v>
      </c>
      <c r="AH81" s="97">
        <f t="shared" si="20"/>
        <v>0</v>
      </c>
      <c r="AI81" s="37">
        <f t="shared" si="25"/>
        <v>0</v>
      </c>
      <c r="AK81" s="9" t="s">
        <v>62</v>
      </c>
    </row>
    <row r="82" spans="2:37">
      <c r="B82" s="9" t="s">
        <v>63</v>
      </c>
      <c r="C82" s="26">
        <f>325+500+580+115+1200+1200+78.19+3925+182.85+284.22</f>
        <v>8390.26</v>
      </c>
      <c r="D82" s="26">
        <f>325+106+1600+140.5+150.8</f>
        <v>2322.3000000000002</v>
      </c>
      <c r="E82" s="26">
        <f>306.27+221.9+115+379.88</f>
        <v>1023.05</v>
      </c>
      <c r="F82" s="26">
        <f>97.86+3525</f>
        <v>3622.86</v>
      </c>
      <c r="G82" s="26">
        <f>115</f>
        <v>115</v>
      </c>
      <c r="H82" s="26">
        <f>107.84+180+57.84+1600+698.11+1225</f>
        <v>3868.79</v>
      </c>
      <c r="I82" s="26">
        <f>537.34+581+916.02+560+208+592+327.28</f>
        <v>3721.6400000000003</v>
      </c>
      <c r="J82" s="26">
        <f>608.96+360+1314.22+1600+756.75</f>
        <v>4639.93</v>
      </c>
      <c r="K82" s="26">
        <f>140.5+115+285.7+1600+912.4</f>
        <v>3053.6</v>
      </c>
      <c r="L82" s="26">
        <f>1200+346</f>
        <v>1546</v>
      </c>
      <c r="M82" s="26">
        <v>108</v>
      </c>
      <c r="N82" s="26">
        <v>947.75</v>
      </c>
      <c r="O82" s="26"/>
      <c r="P82" s="26">
        <f t="shared" si="9"/>
        <v>33359.18</v>
      </c>
      <c r="Q82" s="26"/>
      <c r="R82" s="37">
        <f t="shared" si="26"/>
        <v>33359.18</v>
      </c>
      <c r="AF82" s="86">
        <v>38000</v>
      </c>
      <c r="AH82" s="97">
        <f t="shared" si="20"/>
        <v>4640.82</v>
      </c>
      <c r="AI82" s="37">
        <f t="shared" si="25"/>
        <v>33359.18</v>
      </c>
      <c r="AK82" s="9" t="s">
        <v>63</v>
      </c>
    </row>
    <row r="83" spans="2:37">
      <c r="B83" s="9" t="s">
        <v>64</v>
      </c>
      <c r="C83" s="26">
        <v>0</v>
      </c>
      <c r="D83" s="26">
        <v>0</v>
      </c>
      <c r="E83" s="26">
        <v>0</v>
      </c>
      <c r="F83" s="26">
        <v>2300.35</v>
      </c>
      <c r="G83" s="26">
        <v>2300.35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1000</v>
      </c>
      <c r="O83" s="26"/>
      <c r="P83" s="26">
        <f t="shared" si="9"/>
        <v>5600.7</v>
      </c>
      <c r="Q83" s="26"/>
      <c r="R83" s="37">
        <f t="shared" si="26"/>
        <v>5600.7</v>
      </c>
      <c r="AF83" s="86">
        <v>0</v>
      </c>
      <c r="AH83" s="97">
        <f t="shared" si="20"/>
        <v>-5600.7</v>
      </c>
      <c r="AI83" s="37">
        <f t="shared" si="25"/>
        <v>5600.7</v>
      </c>
      <c r="AK83" s="9" t="s">
        <v>64</v>
      </c>
    </row>
    <row r="84" spans="2:37">
      <c r="B84" s="9" t="s">
        <v>65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2300.33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/>
      <c r="P84" s="26">
        <f t="shared" si="9"/>
        <v>2300.33</v>
      </c>
      <c r="Q84" s="26"/>
      <c r="R84" s="37">
        <f t="shared" si="26"/>
        <v>2300.33</v>
      </c>
      <c r="AF84" s="86">
        <v>0</v>
      </c>
      <c r="AH84" s="97">
        <f t="shared" si="20"/>
        <v>-2300.33</v>
      </c>
      <c r="AI84" s="37">
        <f t="shared" si="25"/>
        <v>2300.33</v>
      </c>
      <c r="AK84" s="9" t="s">
        <v>65</v>
      </c>
    </row>
    <row r="85" spans="2:37">
      <c r="B85" s="9" t="s">
        <v>66</v>
      </c>
      <c r="C85" s="26">
        <v>401</v>
      </c>
      <c r="D85" s="26">
        <v>6293.95</v>
      </c>
      <c r="E85" s="26">
        <v>2300.35</v>
      </c>
      <c r="F85" s="26">
        <v>0</v>
      </c>
      <c r="G85" s="26">
        <v>0</v>
      </c>
      <c r="H85" s="26">
        <v>2300.34</v>
      </c>
      <c r="I85" s="26">
        <v>0</v>
      </c>
      <c r="J85" s="26">
        <v>2300.33</v>
      </c>
      <c r="K85" s="26">
        <v>0</v>
      </c>
      <c r="L85" s="26">
        <v>0</v>
      </c>
      <c r="M85" s="26">
        <v>0</v>
      </c>
      <c r="N85" s="26">
        <v>0</v>
      </c>
      <c r="O85" s="26"/>
      <c r="P85" s="26">
        <f t="shared" si="9"/>
        <v>13595.97</v>
      </c>
      <c r="Q85" s="26"/>
      <c r="R85" s="37">
        <f t="shared" si="26"/>
        <v>13595.97</v>
      </c>
      <c r="AF85" s="86">
        <v>30000</v>
      </c>
      <c r="AH85" s="97">
        <f t="shared" si="20"/>
        <v>16404.03</v>
      </c>
      <c r="AI85" s="37">
        <f t="shared" si="25"/>
        <v>13595.97</v>
      </c>
      <c r="AK85" s="9" t="s">
        <v>66</v>
      </c>
    </row>
    <row r="86" spans="2:37" hidden="1">
      <c r="B86" s="9" t="s">
        <v>67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/>
      <c r="P86" s="26">
        <f t="shared" si="9"/>
        <v>0</v>
      </c>
      <c r="Q86" s="26"/>
      <c r="R86" s="37">
        <f t="shared" si="26"/>
        <v>0</v>
      </c>
      <c r="AF86" s="86">
        <v>0</v>
      </c>
      <c r="AH86" s="97">
        <f t="shared" si="20"/>
        <v>0</v>
      </c>
      <c r="AI86" s="37">
        <f t="shared" si="25"/>
        <v>0</v>
      </c>
      <c r="AK86" s="9" t="s">
        <v>67</v>
      </c>
    </row>
    <row r="87" spans="2:37" hidden="1">
      <c r="B87" s="9" t="s">
        <v>68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/>
      <c r="P87" s="26">
        <f t="shared" si="9"/>
        <v>0</v>
      </c>
      <c r="Q87" s="26"/>
      <c r="R87" s="37">
        <f t="shared" si="26"/>
        <v>0</v>
      </c>
      <c r="AF87" s="86">
        <v>0</v>
      </c>
      <c r="AH87" s="97">
        <f t="shared" si="20"/>
        <v>0</v>
      </c>
      <c r="AI87" s="37">
        <f t="shared" si="25"/>
        <v>0</v>
      </c>
      <c r="AK87" s="9" t="s">
        <v>68</v>
      </c>
    </row>
    <row r="88" spans="2:37">
      <c r="B88" s="9" t="s">
        <v>69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f>1000.28+30.2+49.56+51.08</f>
        <v>1131.1199999999999</v>
      </c>
      <c r="M88" s="26">
        <v>0</v>
      </c>
      <c r="N88" s="26">
        <f>136.24+130.63</f>
        <v>266.87</v>
      </c>
      <c r="O88" s="26"/>
      <c r="P88" s="26">
        <f t="shared" si="9"/>
        <v>1397.9899999999998</v>
      </c>
      <c r="Q88" s="26"/>
      <c r="R88" s="37">
        <f t="shared" si="26"/>
        <v>1397.9899999999998</v>
      </c>
      <c r="AF88" s="86">
        <v>1100</v>
      </c>
      <c r="AH88" s="97">
        <f t="shared" si="20"/>
        <v>-297.98999999999978</v>
      </c>
      <c r="AI88" s="37">
        <f t="shared" si="25"/>
        <v>1397.9899999999998</v>
      </c>
      <c r="AK88" s="9" t="s">
        <v>69</v>
      </c>
    </row>
    <row r="89" spans="2:37">
      <c r="B89" s="9" t="s">
        <v>70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/>
      <c r="P89" s="26">
        <f t="shared" si="9"/>
        <v>0</v>
      </c>
      <c r="Q89" s="26"/>
      <c r="R89" s="37">
        <f t="shared" si="26"/>
        <v>0</v>
      </c>
      <c r="AF89" s="86">
        <v>10000</v>
      </c>
      <c r="AH89" s="97">
        <f t="shared" si="20"/>
        <v>10000</v>
      </c>
      <c r="AI89" s="37">
        <f t="shared" si="25"/>
        <v>0</v>
      </c>
      <c r="AK89" s="9" t="s">
        <v>70</v>
      </c>
    </row>
    <row r="90" spans="2:37">
      <c r="B90" s="9" t="s">
        <v>71</v>
      </c>
      <c r="C90" s="26">
        <v>0</v>
      </c>
      <c r="D90" s="26">
        <v>0</v>
      </c>
      <c r="E90" s="26">
        <v>4827.9399999999996</v>
      </c>
      <c r="F90" s="26">
        <v>0</v>
      </c>
      <c r="G90" s="26">
        <v>0</v>
      </c>
      <c r="H90" s="26">
        <v>3454.93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/>
      <c r="P90" s="26">
        <f t="shared" si="9"/>
        <v>8282.869999999999</v>
      </c>
      <c r="Q90" s="26"/>
      <c r="R90" s="37">
        <f t="shared" si="26"/>
        <v>8282.869999999999</v>
      </c>
      <c r="AF90" s="86">
        <v>2500</v>
      </c>
      <c r="AH90" s="97">
        <f t="shared" si="20"/>
        <v>-5782.869999999999</v>
      </c>
      <c r="AI90" s="37">
        <f t="shared" si="25"/>
        <v>8282.869999999999</v>
      </c>
      <c r="AK90" s="9" t="s">
        <v>71</v>
      </c>
    </row>
    <row r="91" spans="2:37">
      <c r="B91" s="9" t="s">
        <v>72</v>
      </c>
      <c r="C91" s="26">
        <v>0</v>
      </c>
      <c r="D91" s="26">
        <v>1500</v>
      </c>
      <c r="E91" s="26">
        <v>0</v>
      </c>
      <c r="F91" s="26">
        <v>0</v>
      </c>
      <c r="G91" s="26">
        <v>0</v>
      </c>
      <c r="H91" s="26">
        <v>2100</v>
      </c>
      <c r="I91" s="26">
        <v>0</v>
      </c>
      <c r="J91" s="26"/>
      <c r="K91" s="26">
        <v>3378</v>
      </c>
      <c r="L91" s="26">
        <v>0</v>
      </c>
      <c r="M91" s="26">
        <v>0</v>
      </c>
      <c r="N91" s="26">
        <v>0</v>
      </c>
      <c r="O91" s="26"/>
      <c r="P91" s="26">
        <f t="shared" si="9"/>
        <v>6978</v>
      </c>
      <c r="Q91" s="26"/>
      <c r="R91" s="37">
        <f t="shared" si="26"/>
        <v>6978</v>
      </c>
      <c r="AF91" s="86">
        <v>10000</v>
      </c>
      <c r="AH91" s="97">
        <f t="shared" si="20"/>
        <v>3022</v>
      </c>
      <c r="AI91" s="37">
        <f t="shared" si="25"/>
        <v>6978</v>
      </c>
      <c r="AK91" s="9" t="s">
        <v>72</v>
      </c>
    </row>
    <row r="92" spans="2:37">
      <c r="B92" s="9" t="s">
        <v>73</v>
      </c>
      <c r="C92" s="26">
        <v>434.06</v>
      </c>
      <c r="D92" s="26">
        <f>61.1+149+1540+65.7+465</f>
        <v>2280.8000000000002</v>
      </c>
      <c r="E92" s="26">
        <v>0</v>
      </c>
      <c r="F92" s="26">
        <v>0</v>
      </c>
      <c r="G92" s="26">
        <f>447.45+398.31+77.53</f>
        <v>923.29</v>
      </c>
      <c r="H92" s="26">
        <f>5000+1800+627+1405.46+1263.49+2104.33</f>
        <v>12200.279999999999</v>
      </c>
      <c r="I92" s="26">
        <f>225+1457.9+34.29</f>
        <v>1717.19</v>
      </c>
      <c r="J92" s="79">
        <v>5000</v>
      </c>
      <c r="K92" s="26">
        <v>263.10000000000002</v>
      </c>
      <c r="L92" s="26">
        <v>0</v>
      </c>
      <c r="M92" s="26">
        <f>299+149+620.79</f>
        <v>1068.79</v>
      </c>
      <c r="N92" s="26">
        <v>0</v>
      </c>
      <c r="O92" s="26"/>
      <c r="P92" s="26">
        <f t="shared" si="9"/>
        <v>23887.51</v>
      </c>
      <c r="Q92" s="26"/>
      <c r="R92" s="37">
        <f t="shared" si="26"/>
        <v>23887.51</v>
      </c>
      <c r="AF92" s="86">
        <v>30034.06</v>
      </c>
      <c r="AH92" s="97">
        <f t="shared" si="20"/>
        <v>6146.5500000000029</v>
      </c>
      <c r="AI92" s="37">
        <f t="shared" si="25"/>
        <v>23887.51</v>
      </c>
      <c r="AK92" s="9" t="s">
        <v>73</v>
      </c>
    </row>
    <row r="93" spans="2:37">
      <c r="B93" s="77" t="s">
        <v>74</v>
      </c>
      <c r="C93" s="26">
        <f>225+6225.75+945+1576.25</f>
        <v>8972</v>
      </c>
      <c r="D93" s="26">
        <f>2242.5+1785</f>
        <v>4027.5</v>
      </c>
      <c r="E93" s="26">
        <f>75+3045+1202.5</f>
        <v>4322.5</v>
      </c>
      <c r="F93" s="26">
        <f>8931.25+264+1477.63</f>
        <v>10672.880000000001</v>
      </c>
      <c r="G93" s="26">
        <f>4730+300+3640+5268.75</f>
        <v>13938.75</v>
      </c>
      <c r="H93" s="26">
        <f>292.5+53.98+9077.5+3410</f>
        <v>12833.98</v>
      </c>
      <c r="I93" s="26">
        <f>300+356.25+3347.5+7700+5268.75+7590+337.5</f>
        <v>24900</v>
      </c>
      <c r="J93" s="26">
        <f>2470+80+5606.25</f>
        <v>8156.25</v>
      </c>
      <c r="K93" s="26">
        <f>7315+318.75+1755+5390+4687.5+300</f>
        <v>19766.25</v>
      </c>
      <c r="L93" s="26">
        <f>2795+7040+318.75</f>
        <v>10153.75</v>
      </c>
      <c r="M93" s="26">
        <f>227.5+5531.25+1.63+10.44+7700+7987.5+50+300</f>
        <v>21808.32</v>
      </c>
      <c r="N93" s="26">
        <f>113.75+2200+328.03+2648.75+431.25</f>
        <v>5721.78</v>
      </c>
      <c r="O93" s="26"/>
      <c r="P93" s="26">
        <f t="shared" si="9"/>
        <v>145273.96</v>
      </c>
      <c r="Q93" s="26"/>
      <c r="R93" s="37">
        <f t="shared" si="26"/>
        <v>145273.96</v>
      </c>
      <c r="AF93" s="86">
        <v>139308</v>
      </c>
      <c r="AH93" s="97">
        <f t="shared" si="20"/>
        <v>-5965.9599999999919</v>
      </c>
      <c r="AI93" s="37">
        <f t="shared" si="25"/>
        <v>145273.96</v>
      </c>
      <c r="AK93" s="77" t="s">
        <v>74</v>
      </c>
    </row>
    <row r="94" spans="2:37">
      <c r="B94" s="9" t="s">
        <v>75</v>
      </c>
      <c r="C94" s="26">
        <f>2000+290</f>
        <v>2290</v>
      </c>
      <c r="D94" s="26">
        <f>61.19+185.99</f>
        <v>247.18</v>
      </c>
      <c r="E94" s="26">
        <f>6.68+39.5</f>
        <v>46.18</v>
      </c>
      <c r="F94" s="26">
        <v>120.43</v>
      </c>
      <c r="G94" s="26">
        <f>16.53+40.55</f>
        <v>57.08</v>
      </c>
      <c r="H94" s="26">
        <v>8.4700000000000006</v>
      </c>
      <c r="I94" s="26">
        <v>57.11</v>
      </c>
      <c r="J94" s="26">
        <f>224.2+16.78</f>
        <v>240.98</v>
      </c>
      <c r="K94" s="26">
        <f>55+277.18</f>
        <v>332.18</v>
      </c>
      <c r="L94" s="26">
        <v>20.54</v>
      </c>
      <c r="M94" s="26">
        <f>26.1+19.34</f>
        <v>45.44</v>
      </c>
      <c r="N94" s="26">
        <v>10.6</v>
      </c>
      <c r="O94" s="26"/>
      <c r="P94" s="26">
        <f t="shared" si="9"/>
        <v>3476.1899999999991</v>
      </c>
      <c r="Q94" s="26"/>
      <c r="R94" s="37">
        <f t="shared" si="26"/>
        <v>3476.1899999999991</v>
      </c>
      <c r="AF94" s="86">
        <v>2290</v>
      </c>
      <c r="AH94" s="97">
        <f t="shared" si="20"/>
        <v>-1186.1899999999991</v>
      </c>
      <c r="AI94" s="37">
        <f t="shared" si="25"/>
        <v>3476.1899999999991</v>
      </c>
      <c r="AK94" s="9" t="s">
        <v>75</v>
      </c>
    </row>
    <row r="95" spans="2:37">
      <c r="B95" s="9" t="s">
        <v>76</v>
      </c>
      <c r="C95" s="26">
        <f>20.96+94.74+193.44+4.5+56.99+105.21+39.32</f>
        <v>515.16</v>
      </c>
      <c r="D95" s="26">
        <v>0</v>
      </c>
      <c r="E95" s="26">
        <f>152.75+235.4+36.91</f>
        <v>425.05999999999995</v>
      </c>
      <c r="F95" s="26">
        <f>23.9+38.31+17.07+2.85+27.17+51.59+176.18</f>
        <v>337.07</v>
      </c>
      <c r="G95" s="26">
        <v>327.97</v>
      </c>
      <c r="H95" s="26">
        <v>225</v>
      </c>
      <c r="I95" s="26">
        <v>397.71</v>
      </c>
      <c r="J95" s="79">
        <v>0</v>
      </c>
      <c r="K95" s="26">
        <f>11.84+89.95+19.94+40.87</f>
        <v>162.6</v>
      </c>
      <c r="L95" s="26">
        <v>442.4</v>
      </c>
      <c r="M95" s="26">
        <v>0</v>
      </c>
      <c r="N95" s="26">
        <f>32.3+650+21.6+105.52+144.06+333.21</f>
        <v>1286.69</v>
      </c>
      <c r="O95" s="26"/>
      <c r="P95" s="26">
        <f t="shared" si="9"/>
        <v>4119.66</v>
      </c>
      <c r="Q95" s="26"/>
      <c r="R95" s="37">
        <f t="shared" si="26"/>
        <v>4119.66</v>
      </c>
      <c r="S95" s="37">
        <f>R95/270</f>
        <v>15.257999999999999</v>
      </c>
      <c r="AF95" s="86">
        <v>515.16</v>
      </c>
      <c r="AH95" s="97">
        <f t="shared" si="20"/>
        <v>-3604.5</v>
      </c>
      <c r="AI95" s="37">
        <f t="shared" si="25"/>
        <v>4119.66</v>
      </c>
      <c r="AK95" s="9" t="s">
        <v>76</v>
      </c>
    </row>
    <row r="96" spans="2:37">
      <c r="B96" s="9" t="s">
        <v>77</v>
      </c>
      <c r="C96" s="26">
        <f>3507.73+8540+947.11+177.79+104.25+497.72</f>
        <v>13774.6</v>
      </c>
      <c r="D96" s="26">
        <f>2606.64+1171.8+18.79+575.55+2350.09+12.36+43.007+118.95+633.01+220.29+279.73</f>
        <v>8030.2169999999987</v>
      </c>
      <c r="E96" s="26">
        <f>84.99+1480.64+42.93+65.9+87.04+32.24+1197.46+108.75+213.76+8.62+501.19+1477.96+213.76+147.07+224.99+622+76.71+510.39</f>
        <v>7096.4</v>
      </c>
      <c r="F96" s="26">
        <f>21.95+158.4+674.22+241.28+465.83</f>
        <v>1561.68</v>
      </c>
      <c r="G96" s="26">
        <f>180+395+67.75+1359.49+248.09+295.58+839.63+191.13+215.97+65.31+86.84+43.9+154.3+28.44+238.95+399.03+1238.9+233</f>
        <v>6281.3099999999995</v>
      </c>
      <c r="H96" s="26">
        <f>14.72+32.12+125+347.44+135.2+648.38+1258.27</f>
        <v>2561.13</v>
      </c>
      <c r="I96" s="26">
        <f>219.84+286.85+150+31.79+118.69+1768.59+98.67+144.81+1768.59+688.08+17.97+83.1+5428.33</f>
        <v>10805.310000000001</v>
      </c>
      <c r="J96" s="26">
        <f>19.25+31.98+164.94+2260.67+200+69.74+46.48+115.94+139.5</f>
        <v>3048.5</v>
      </c>
      <c r="K96" s="26">
        <f>30+1768.59+66.79+797.5+190.9+1355.89+491.93</f>
        <v>4701.6000000000004</v>
      </c>
      <c r="L96" s="26">
        <f>20+37.45+1484+505+576.38+14.49+61.89</f>
        <v>2699.2099999999996</v>
      </c>
      <c r="M96" s="26">
        <f>21.9+600+295+247.8+21.99+138.78+2.82+56.83+5.71+192.4</f>
        <v>1583.23</v>
      </c>
      <c r="N96" s="26">
        <f>130+1826.34+2723+83.65+2628.36+641.89+223.1+452.65+1371.9+66</f>
        <v>10146.89</v>
      </c>
      <c r="O96" s="26"/>
      <c r="P96" s="26">
        <f t="shared" si="9"/>
        <v>72290.07699999999</v>
      </c>
      <c r="Q96" s="26"/>
      <c r="R96" s="37">
        <f t="shared" si="26"/>
        <v>72290.07699999999</v>
      </c>
      <c r="S96" s="37">
        <f>R96/270</f>
        <v>267.7410259259259</v>
      </c>
      <c r="AF96" s="86">
        <v>85000</v>
      </c>
      <c r="AH96" s="97">
        <f t="shared" si="20"/>
        <v>12709.92300000001</v>
      </c>
      <c r="AI96" s="37">
        <f t="shared" si="25"/>
        <v>72290.07699999999</v>
      </c>
      <c r="AK96" s="9" t="s">
        <v>77</v>
      </c>
    </row>
    <row r="97" spans="1:37">
      <c r="B97" s="9" t="s">
        <v>78</v>
      </c>
      <c r="C97" s="26">
        <f>3500+109.29+155.35</f>
        <v>3764.64</v>
      </c>
      <c r="D97" s="26">
        <v>464.53</v>
      </c>
      <c r="E97" s="26">
        <v>0</v>
      </c>
      <c r="F97" s="26">
        <f>1495+200+2120.24</f>
        <v>3815.24</v>
      </c>
      <c r="G97" s="26">
        <f>796.88+2229.96+67.76+220.33+1969.91</f>
        <v>5284.84</v>
      </c>
      <c r="H97" s="26">
        <v>2722.05</v>
      </c>
      <c r="I97" s="26">
        <v>17.420000000000002</v>
      </c>
      <c r="J97" s="26">
        <v>9472</v>
      </c>
      <c r="K97" s="26">
        <v>10551.2</v>
      </c>
      <c r="L97" s="26">
        <v>0</v>
      </c>
      <c r="M97" s="26">
        <f>1114.86+2206.46</f>
        <v>3321.3199999999997</v>
      </c>
      <c r="N97" s="26">
        <v>832.6</v>
      </c>
      <c r="O97" s="26"/>
      <c r="P97" s="26">
        <f t="shared" si="9"/>
        <v>40245.839999999997</v>
      </c>
      <c r="Q97" s="26"/>
      <c r="R97" s="37">
        <f t="shared" si="26"/>
        <v>40245.839999999997</v>
      </c>
      <c r="S97" s="52">
        <f>R97/270</f>
        <v>149.05866666666665</v>
      </c>
      <c r="AF97" s="86">
        <v>29000</v>
      </c>
      <c r="AH97" s="97">
        <f t="shared" si="20"/>
        <v>-11245.839999999997</v>
      </c>
      <c r="AI97" s="37">
        <f t="shared" si="25"/>
        <v>40245.839999999997</v>
      </c>
      <c r="AK97" s="9" t="s">
        <v>78</v>
      </c>
    </row>
    <row r="98" spans="1:37">
      <c r="B98" s="9" t="s">
        <v>79</v>
      </c>
      <c r="C98" s="26">
        <v>0</v>
      </c>
      <c r="D98" s="26">
        <v>0</v>
      </c>
      <c r="E98" s="26">
        <v>55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/>
      <c r="P98" s="26">
        <f t="shared" ref="P98:P111" si="27">SUM(C98:N98)</f>
        <v>55</v>
      </c>
      <c r="Q98" s="26"/>
      <c r="R98" s="37">
        <f t="shared" si="26"/>
        <v>55</v>
      </c>
      <c r="S98" s="37">
        <f>SUM(S95:S97)</f>
        <v>432.0576925925925</v>
      </c>
      <c r="AF98" s="86">
        <v>0</v>
      </c>
      <c r="AH98" s="97">
        <f t="shared" si="20"/>
        <v>-55</v>
      </c>
      <c r="AI98" s="37">
        <f t="shared" si="25"/>
        <v>55</v>
      </c>
      <c r="AK98" s="9" t="s">
        <v>79</v>
      </c>
    </row>
    <row r="99" spans="1:37">
      <c r="B99" s="9" t="s">
        <v>80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/>
      <c r="P99" s="26">
        <f t="shared" si="27"/>
        <v>0</v>
      </c>
      <c r="Q99" s="26"/>
      <c r="R99" s="37">
        <f t="shared" si="26"/>
        <v>0</v>
      </c>
      <c r="AF99" s="86">
        <v>0</v>
      </c>
      <c r="AH99" s="97">
        <f t="shared" ref="AH99:AH112" si="28">AF99-P99</f>
        <v>0</v>
      </c>
      <c r="AI99" s="37">
        <f t="shared" si="25"/>
        <v>0</v>
      </c>
      <c r="AK99" s="9" t="s">
        <v>80</v>
      </c>
    </row>
    <row r="100" spans="1:37">
      <c r="B100" s="9" t="s">
        <v>82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/>
      <c r="P100" s="26">
        <f t="shared" si="27"/>
        <v>0</v>
      </c>
      <c r="Q100" s="26"/>
      <c r="R100" s="37">
        <f t="shared" si="26"/>
        <v>0</v>
      </c>
      <c r="AF100" s="86">
        <v>1500</v>
      </c>
      <c r="AH100" s="97">
        <f t="shared" si="28"/>
        <v>1500</v>
      </c>
      <c r="AI100" s="37">
        <f t="shared" si="25"/>
        <v>0</v>
      </c>
      <c r="AK100" s="9" t="s">
        <v>82</v>
      </c>
    </row>
    <row r="101" spans="1:37">
      <c r="B101" s="9" t="s">
        <v>83</v>
      </c>
      <c r="C101" s="26">
        <v>88.33</v>
      </c>
      <c r="D101" s="26">
        <v>500</v>
      </c>
      <c r="E101" s="26">
        <f>6683.94+60.82+500+83.65</f>
        <v>7328.4099999999989</v>
      </c>
      <c r="F101" s="26">
        <f>3860.71+4020.22+1000+148.32+751.97+692.64</f>
        <v>10473.859999999999</v>
      </c>
      <c r="G101" s="26">
        <f>70.99+2000+58+848.64+1050.53</f>
        <v>4028.16</v>
      </c>
      <c r="H101" s="26">
        <f>1500+74.47+629.8</f>
        <v>2204.27</v>
      </c>
      <c r="I101" s="26">
        <f>1838.41+104+43.3+1500+143.5</f>
        <v>3629.21</v>
      </c>
      <c r="J101" s="79">
        <v>1500</v>
      </c>
      <c r="K101" s="26">
        <f>2000+252.55</f>
        <v>2252.5500000000002</v>
      </c>
      <c r="L101" s="26">
        <f>1202.41+2000+172.31+175.51+374.64</f>
        <v>3924.8699999999994</v>
      </c>
      <c r="M101" s="26">
        <f>1500+182.24</f>
        <v>1682.24</v>
      </c>
      <c r="N101" s="26">
        <f>234.6+1200+199.66+60.62</f>
        <v>1694.8799999999999</v>
      </c>
      <c r="O101" s="26"/>
      <c r="P101" s="26">
        <f t="shared" si="27"/>
        <v>39306.779999999992</v>
      </c>
      <c r="Q101" s="26"/>
      <c r="R101" s="37">
        <f t="shared" si="26"/>
        <v>39306.779999999992</v>
      </c>
      <c r="AF101" s="86">
        <v>19588.330000000002</v>
      </c>
      <c r="AH101" s="97">
        <f t="shared" si="28"/>
        <v>-19718.44999999999</v>
      </c>
      <c r="AI101" s="37">
        <f t="shared" si="25"/>
        <v>39306.779999999992</v>
      </c>
      <c r="AK101" s="9" t="s">
        <v>83</v>
      </c>
    </row>
    <row r="102" spans="1:37">
      <c r="B102" s="9" t="s">
        <v>155</v>
      </c>
      <c r="C102" s="49">
        <v>1179.45</v>
      </c>
      <c r="D102" s="49">
        <v>1179.45</v>
      </c>
      <c r="E102" s="49">
        <v>1179.45</v>
      </c>
      <c r="F102" s="49">
        <v>1179.45</v>
      </c>
      <c r="G102" s="49">
        <v>1179.45</v>
      </c>
      <c r="H102" s="49">
        <v>1179.45</v>
      </c>
      <c r="I102" s="49">
        <v>1179.45</v>
      </c>
      <c r="J102" s="49">
        <v>1179.45</v>
      </c>
      <c r="K102" s="49">
        <v>1179.45</v>
      </c>
      <c r="L102" s="49">
        <v>1179.45</v>
      </c>
      <c r="M102" s="49">
        <v>1179.45</v>
      </c>
      <c r="N102" s="49">
        <v>1179.45</v>
      </c>
      <c r="O102" s="49"/>
      <c r="P102" s="26">
        <f t="shared" si="27"/>
        <v>14153.400000000003</v>
      </c>
      <c r="Q102" s="49"/>
      <c r="R102" s="37">
        <f t="shared" si="26"/>
        <v>14153.400000000003</v>
      </c>
      <c r="AF102" s="86">
        <v>28679.45</v>
      </c>
      <c r="AH102" s="97">
        <f t="shared" si="28"/>
        <v>14526.049999999997</v>
      </c>
      <c r="AI102" s="37">
        <f t="shared" si="25"/>
        <v>14153.400000000003</v>
      </c>
      <c r="AK102" s="9" t="s">
        <v>155</v>
      </c>
    </row>
    <row r="103" spans="1:37">
      <c r="B103" s="9" t="s">
        <v>84</v>
      </c>
      <c r="C103" s="26">
        <v>0</v>
      </c>
      <c r="D103" s="26">
        <v>0</v>
      </c>
      <c r="E103" s="26">
        <v>0</v>
      </c>
      <c r="F103" s="26"/>
      <c r="G103" s="26">
        <f>538.23+900+1324.87</f>
        <v>2763.1</v>
      </c>
      <c r="H103" s="26">
        <f>1203+912.22+79.07</f>
        <v>2194.2900000000004</v>
      </c>
      <c r="I103" s="26">
        <f>616.74+616.74</f>
        <v>1233.48</v>
      </c>
      <c r="J103" s="26">
        <v>0</v>
      </c>
      <c r="K103" s="26">
        <v>0</v>
      </c>
      <c r="L103" s="26">
        <f>129.23+136.9+249.17+12.54</f>
        <v>527.83999999999992</v>
      </c>
      <c r="M103" s="26">
        <v>636.52</v>
      </c>
      <c r="N103" s="26">
        <v>0</v>
      </c>
      <c r="O103" s="26"/>
      <c r="P103" s="26">
        <f t="shared" si="27"/>
        <v>7355.2300000000014</v>
      </c>
      <c r="Q103" s="26"/>
      <c r="R103" s="37">
        <f t="shared" si="26"/>
        <v>7355.2300000000014</v>
      </c>
      <c r="AF103" s="86">
        <v>8000</v>
      </c>
      <c r="AH103" s="97">
        <f t="shared" si="28"/>
        <v>644.76999999999862</v>
      </c>
      <c r="AI103" s="37">
        <f t="shared" si="25"/>
        <v>7355.2300000000014</v>
      </c>
      <c r="AK103" s="9" t="s">
        <v>84</v>
      </c>
    </row>
    <row r="104" spans="1:37">
      <c r="B104" s="9" t="s">
        <v>85</v>
      </c>
      <c r="C104" s="26">
        <f>110.79</f>
        <v>110.79</v>
      </c>
      <c r="D104" s="26">
        <f>180</f>
        <v>180</v>
      </c>
      <c r="E104" s="26">
        <f>95.15+152.76+1814+152.76+2740+152.76</f>
        <v>5107.43</v>
      </c>
      <c r="F104" s="26">
        <f>2396+168.3+2640+112.2+111.09+1587+1240+148.12</f>
        <v>8402.7100000000009</v>
      </c>
      <c r="G104" s="26">
        <f>114.57+2324+149.6+112.2+187</f>
        <v>2887.37</v>
      </c>
      <c r="H104" s="26">
        <f>1765+185.15+166.64+2376+148.12+1687</f>
        <v>6327.91</v>
      </c>
      <c r="I104" s="26">
        <f>92.58+1296+168.48+1336+182+149.86+1129+112.32</f>
        <v>4466.24</v>
      </c>
      <c r="J104" s="26">
        <f>2523+131.04+1647+149.76+128.17+109.86-28.39</f>
        <v>4660.4399999999996</v>
      </c>
      <c r="K104" s="26">
        <f>2644+146.48+145.68+145.68+2205+2102</f>
        <v>7388.84</v>
      </c>
      <c r="L104" s="26">
        <f>72.32+1466+126.56+1362+145.68+127.47+1577-1484.29</f>
        <v>3392.74</v>
      </c>
      <c r="M104" s="26">
        <f>144.64+1703+126.56+144.64+1935+126.56+84.47</f>
        <v>4264.87</v>
      </c>
      <c r="N104" s="26">
        <f>108.48+2940+1542+90.4+126+1565+1758+90+4+28.18-299.47</f>
        <v>7952.5899999999992</v>
      </c>
      <c r="O104" s="26"/>
      <c r="P104" s="26">
        <f t="shared" si="27"/>
        <v>55141.929999999993</v>
      </c>
      <c r="Q104" s="26"/>
      <c r="R104" s="37">
        <f t="shared" si="26"/>
        <v>55141.929999999993</v>
      </c>
      <c r="S104">
        <f>52482/240</f>
        <v>218.67500000000001</v>
      </c>
      <c r="AF104" s="86">
        <v>50110.79</v>
      </c>
      <c r="AH104" s="97">
        <f t="shared" si="28"/>
        <v>-5031.1399999999921</v>
      </c>
      <c r="AI104" s="37">
        <f t="shared" si="25"/>
        <v>55141.929999999993</v>
      </c>
      <c r="AK104" s="9" t="s">
        <v>85</v>
      </c>
    </row>
    <row r="105" spans="1:37" hidden="1">
      <c r="B105" s="9" t="s">
        <v>86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/>
      <c r="P105" s="26">
        <f t="shared" si="27"/>
        <v>0</v>
      </c>
      <c r="Q105" s="26"/>
      <c r="R105" s="37">
        <f t="shared" ref="R105:R111" si="29">SUM(C105:N105)</f>
        <v>0</v>
      </c>
      <c r="AF105" s="86">
        <v>0</v>
      </c>
      <c r="AH105" s="97">
        <f t="shared" si="28"/>
        <v>0</v>
      </c>
      <c r="AI105" s="37">
        <f t="shared" si="25"/>
        <v>0</v>
      </c>
      <c r="AK105" s="9" t="s">
        <v>86</v>
      </c>
    </row>
    <row r="106" spans="1:37" hidden="1">
      <c r="B106" s="9" t="s">
        <v>87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/>
      <c r="P106" s="26">
        <f t="shared" si="27"/>
        <v>0</v>
      </c>
      <c r="Q106" s="26"/>
      <c r="R106" s="37">
        <f t="shared" si="29"/>
        <v>0</v>
      </c>
      <c r="AF106" s="86">
        <v>0</v>
      </c>
      <c r="AH106" s="97">
        <f t="shared" si="28"/>
        <v>0</v>
      </c>
      <c r="AI106" s="37">
        <f t="shared" si="25"/>
        <v>0</v>
      </c>
      <c r="AK106" s="9" t="s">
        <v>87</v>
      </c>
    </row>
    <row r="107" spans="1:37" hidden="1">
      <c r="B107" s="9" t="s">
        <v>88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1089</v>
      </c>
      <c r="K107" s="26">
        <v>0</v>
      </c>
      <c r="L107" s="26">
        <v>0</v>
      </c>
      <c r="M107" s="26">
        <v>0</v>
      </c>
      <c r="N107" s="26">
        <v>0</v>
      </c>
      <c r="O107" s="26"/>
      <c r="P107" s="26">
        <f t="shared" si="27"/>
        <v>1089</v>
      </c>
      <c r="Q107" s="26"/>
      <c r="R107" s="37">
        <f t="shared" si="29"/>
        <v>1089</v>
      </c>
      <c r="AF107" s="86">
        <v>1089</v>
      </c>
      <c r="AH107" s="97">
        <f t="shared" si="28"/>
        <v>0</v>
      </c>
      <c r="AI107" s="37">
        <f t="shared" si="25"/>
        <v>1089</v>
      </c>
      <c r="AK107" s="9" t="s">
        <v>88</v>
      </c>
    </row>
    <row r="108" spans="1:37">
      <c r="B108" s="9" t="s">
        <v>89</v>
      </c>
      <c r="C108" s="26">
        <f>138+147+180.5+400+260.5</f>
        <v>1126</v>
      </c>
      <c r="D108" s="26">
        <v>26.1</v>
      </c>
      <c r="E108" s="26">
        <f>450+350</f>
        <v>800</v>
      </c>
      <c r="F108" s="26">
        <f>150+50+255.62</f>
        <v>455.62</v>
      </c>
      <c r="G108" s="26">
        <v>2100</v>
      </c>
      <c r="H108" s="26">
        <f>125+1066</f>
        <v>1191</v>
      </c>
      <c r="I108" s="26">
        <v>800</v>
      </c>
      <c r="J108" s="26">
        <v>75</v>
      </c>
      <c r="K108" s="26">
        <f>243.8+495+256.5+215</f>
        <v>1210.3</v>
      </c>
      <c r="L108" s="26">
        <f>49.37+10+30+18.75</f>
        <v>108.12</v>
      </c>
      <c r="M108" s="26">
        <f>515+2450+18.75+50+470+895+165.6+14-1320.44</f>
        <v>3257.9100000000003</v>
      </c>
      <c r="N108" s="26">
        <f>42+176+175</f>
        <v>393</v>
      </c>
      <c r="O108" s="26"/>
      <c r="P108" s="26">
        <f t="shared" si="27"/>
        <v>11543.05</v>
      </c>
      <c r="Q108" s="26"/>
      <c r="R108" s="37">
        <f t="shared" si="29"/>
        <v>11543.05</v>
      </c>
      <c r="S108" s="37">
        <f>R52</f>
        <v>1803545.0080000001</v>
      </c>
      <c r="AF108" s="86">
        <v>10676</v>
      </c>
      <c r="AH108" s="97">
        <f t="shared" si="28"/>
        <v>-867.04999999999927</v>
      </c>
      <c r="AI108" s="37">
        <f t="shared" si="25"/>
        <v>11543.05</v>
      </c>
      <c r="AK108" s="9" t="s">
        <v>89</v>
      </c>
    </row>
    <row r="109" spans="1:37" hidden="1">
      <c r="B109" s="9" t="s">
        <v>90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/>
      <c r="P109" s="26">
        <f t="shared" si="27"/>
        <v>0</v>
      </c>
      <c r="Q109" s="26"/>
      <c r="R109" s="37">
        <f t="shared" si="29"/>
        <v>0</v>
      </c>
      <c r="AF109" s="86">
        <v>0</v>
      </c>
      <c r="AH109" s="97">
        <f t="shared" si="28"/>
        <v>0</v>
      </c>
      <c r="AI109" s="37">
        <f t="shared" si="25"/>
        <v>0</v>
      </c>
      <c r="AK109" s="9" t="s">
        <v>90</v>
      </c>
    </row>
    <row r="110" spans="1:37" hidden="1">
      <c r="B110" s="9" t="s">
        <v>91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/>
      <c r="P110" s="26">
        <f t="shared" si="27"/>
        <v>0</v>
      </c>
      <c r="Q110" s="26"/>
      <c r="R110" s="37">
        <f t="shared" si="29"/>
        <v>0</v>
      </c>
      <c r="AF110" s="86">
        <v>0</v>
      </c>
      <c r="AH110" s="97">
        <f t="shared" si="28"/>
        <v>0</v>
      </c>
      <c r="AI110" s="37">
        <f t="shared" si="25"/>
        <v>0</v>
      </c>
      <c r="AK110" s="9" t="s">
        <v>91</v>
      </c>
    </row>
    <row r="111" spans="1:37">
      <c r="B111" s="9" t="s">
        <v>102</v>
      </c>
      <c r="C111" s="26">
        <v>0</v>
      </c>
      <c r="D111" s="26">
        <v>1370.25</v>
      </c>
      <c r="E111" s="26">
        <v>1370.25</v>
      </c>
      <c r="F111" s="26">
        <v>1370.25</v>
      </c>
      <c r="G111" s="26">
        <v>1370.25</v>
      </c>
      <c r="H111" s="26">
        <v>1370.25</v>
      </c>
      <c r="I111" s="26">
        <v>1370.25</v>
      </c>
      <c r="J111" s="26">
        <v>1370.25</v>
      </c>
      <c r="K111" s="26">
        <v>1370.25</v>
      </c>
      <c r="L111" s="26">
        <v>1370.25</v>
      </c>
      <c r="M111" s="26">
        <v>1370.25</v>
      </c>
      <c r="N111" s="26">
        <v>1370.25</v>
      </c>
      <c r="O111" s="26"/>
      <c r="P111" s="26">
        <f t="shared" si="27"/>
        <v>15072.75</v>
      </c>
      <c r="Q111" s="26"/>
      <c r="R111" s="52">
        <f t="shared" si="29"/>
        <v>15072.75</v>
      </c>
      <c r="S111" s="52">
        <f>SUM(R54:R111)</f>
        <v>1075410.9309999996</v>
      </c>
      <c r="AF111" s="86">
        <v>0</v>
      </c>
      <c r="AH111" s="97">
        <f t="shared" si="28"/>
        <v>-15072.75</v>
      </c>
      <c r="AI111" s="37">
        <f t="shared" si="25"/>
        <v>15072.75</v>
      </c>
      <c r="AK111" s="9" t="s">
        <v>102</v>
      </c>
    </row>
    <row r="112" spans="1:37">
      <c r="A112" t="s">
        <v>97</v>
      </c>
      <c r="B112" s="9"/>
      <c r="C112" s="28">
        <f>SUM(C52:C111)</f>
        <v>196154.89400000003</v>
      </c>
      <c r="D112" s="28">
        <f>SUM(D52:D111)</f>
        <v>239515.60700000002</v>
      </c>
      <c r="E112" s="28">
        <f>SUM(E52:E111)</f>
        <v>388605.5</v>
      </c>
      <c r="F112" s="28">
        <f t="shared" ref="F112:N112" si="30">SUM(F52:F111)</f>
        <v>285559.28000000003</v>
      </c>
      <c r="G112" s="28">
        <f t="shared" si="30"/>
        <v>273097.76999999996</v>
      </c>
      <c r="H112" s="28">
        <f t="shared" si="30"/>
        <v>250592.6</v>
      </c>
      <c r="I112" s="28">
        <f t="shared" si="30"/>
        <v>260347.66</v>
      </c>
      <c r="J112" s="28">
        <f t="shared" si="30"/>
        <v>273870.45</v>
      </c>
      <c r="K112" s="28">
        <f t="shared" si="30"/>
        <v>320703.20999999985</v>
      </c>
      <c r="L112" s="28">
        <f t="shared" si="30"/>
        <v>226750.87999999998</v>
      </c>
      <c r="M112" s="28">
        <f t="shared" si="30"/>
        <v>266454.90999999997</v>
      </c>
      <c r="N112" s="28">
        <f t="shared" si="30"/>
        <v>229520.28999999998</v>
      </c>
      <c r="O112" s="63"/>
      <c r="P112" s="66">
        <f>SUM(C112:N112)</f>
        <v>3211173.051</v>
      </c>
      <c r="Q112" s="63"/>
      <c r="R112" s="81" t="s">
        <v>92</v>
      </c>
      <c r="S112" s="37">
        <f>SUM(S108:S111)</f>
        <v>2878955.9389999998</v>
      </c>
      <c r="AF112" s="89">
        <f>AF52+SUM(AF54:AF111)</f>
        <v>3191789.5900000003</v>
      </c>
      <c r="AH112" s="98">
        <f t="shared" si="28"/>
        <v>-19383.460999999661</v>
      </c>
    </row>
    <row r="113" spans="1:34">
      <c r="A113" t="s">
        <v>104</v>
      </c>
      <c r="B113" s="10"/>
      <c r="C113" s="29">
        <f t="shared" ref="C113:N113" si="31">C30-C112</f>
        <v>605827.27099999948</v>
      </c>
      <c r="D113" s="29">
        <f t="shared" si="31"/>
        <v>400978.81399999949</v>
      </c>
      <c r="E113" s="29">
        <f t="shared" si="31"/>
        <v>824333.18399999966</v>
      </c>
      <c r="F113" s="29">
        <f t="shared" si="31"/>
        <v>577202.2439999996</v>
      </c>
      <c r="G113" s="39">
        <f t="shared" si="31"/>
        <v>337756.00399999967</v>
      </c>
      <c r="H113" s="29">
        <f t="shared" si="31"/>
        <v>814403.23399999982</v>
      </c>
      <c r="I113" s="29">
        <f t="shared" si="31"/>
        <v>576825.64399999974</v>
      </c>
      <c r="J113" s="39">
        <f t="shared" si="31"/>
        <v>357518.10399999976</v>
      </c>
      <c r="K113" s="29">
        <f t="shared" si="31"/>
        <v>822394.63399999996</v>
      </c>
      <c r="L113" s="29">
        <f t="shared" si="31"/>
        <v>625638.47399999993</v>
      </c>
      <c r="M113" s="29">
        <f t="shared" si="31"/>
        <v>455748.81</v>
      </c>
      <c r="N113" s="29">
        <f t="shared" si="31"/>
        <v>995011.5</v>
      </c>
      <c r="O113" s="64"/>
      <c r="P113" s="66">
        <f>P29-P112</f>
        <v>176883.84900000039</v>
      </c>
      <c r="Q113" s="64"/>
      <c r="S113" s="37">
        <f>R29-S112</f>
        <v>432702.57100000046</v>
      </c>
      <c r="AF113" s="90" t="s">
        <v>92</v>
      </c>
      <c r="AH113" s="99" t="s">
        <v>92</v>
      </c>
    </row>
    <row r="114" spans="1:34">
      <c r="B114" s="8"/>
      <c r="AF114" s="37"/>
    </row>
    <row r="115" spans="1:34">
      <c r="B115" s="8"/>
      <c r="R115" s="13"/>
      <c r="AF115" s="37"/>
    </row>
    <row r="116" spans="1:34">
      <c r="AF116" s="37"/>
    </row>
    <row r="117" spans="1:34">
      <c r="AF117" s="37"/>
    </row>
    <row r="118" spans="1:34">
      <c r="AF118" s="37"/>
    </row>
    <row r="119" spans="1:34">
      <c r="AF119" s="37"/>
    </row>
    <row r="120" spans="1:34">
      <c r="AF120" s="37"/>
    </row>
    <row r="121" spans="1:34">
      <c r="AF121" s="37"/>
    </row>
    <row r="122" spans="1:34">
      <c r="AF122" s="37"/>
    </row>
    <row r="123" spans="1:34">
      <c r="AF123" s="37"/>
    </row>
    <row r="124" spans="1:34">
      <c r="AF124" s="37"/>
    </row>
    <row r="125" spans="1:34">
      <c r="AF125" s="37"/>
    </row>
    <row r="126" spans="1:34">
      <c r="AF126" s="37"/>
    </row>
    <row r="127" spans="1:34">
      <c r="AF127" s="37"/>
    </row>
    <row r="128" spans="1:34">
      <c r="B128" s="8"/>
      <c r="R128" s="15"/>
      <c r="AF128" s="37"/>
    </row>
    <row r="129" spans="2:32">
      <c r="B129" s="8"/>
      <c r="R129" s="15"/>
      <c r="AF129" s="37"/>
    </row>
    <row r="130" spans="2:32">
      <c r="B130" s="8"/>
      <c r="R130" s="15"/>
      <c r="AF130" s="37"/>
    </row>
    <row r="131" spans="2:32">
      <c r="B131" s="8"/>
      <c r="R131" s="15"/>
      <c r="AF131" s="37"/>
    </row>
    <row r="132" spans="2:32">
      <c r="B132" s="8"/>
      <c r="R132" s="15"/>
      <c r="AF132" s="37"/>
    </row>
    <row r="133" spans="2:32">
      <c r="B133" s="8"/>
      <c r="R133" s="15"/>
      <c r="AF133" s="37"/>
    </row>
    <row r="134" spans="2:32">
      <c r="B134" s="8"/>
      <c r="R134" s="15"/>
    </row>
    <row r="135" spans="2:32">
      <c r="B135" s="8"/>
      <c r="R135" s="15"/>
    </row>
    <row r="136" spans="2:32">
      <c r="B136" s="8"/>
      <c r="R136" s="15"/>
    </row>
    <row r="137" spans="2:32">
      <c r="B137" s="8"/>
      <c r="R137" s="15"/>
    </row>
    <row r="138" spans="2:32">
      <c r="B138" s="8"/>
      <c r="R138" s="15"/>
    </row>
    <row r="139" spans="2:32">
      <c r="B139" s="8"/>
      <c r="R139" s="15"/>
    </row>
    <row r="140" spans="2:32">
      <c r="B140" s="8"/>
      <c r="R140" s="15"/>
    </row>
    <row r="141" spans="2:32">
      <c r="B141" s="8"/>
      <c r="R141" s="15"/>
    </row>
    <row r="142" spans="2:32">
      <c r="B142" s="8"/>
      <c r="R142" s="15"/>
    </row>
    <row r="143" spans="2:32">
      <c r="B143" s="8"/>
      <c r="R143" s="15"/>
    </row>
    <row r="144" spans="2:32">
      <c r="B144" s="8"/>
      <c r="R144" s="15"/>
    </row>
    <row r="145" spans="2:18">
      <c r="B145" s="8"/>
      <c r="R145" s="15"/>
    </row>
    <row r="146" spans="2:18">
      <c r="B146" s="8"/>
      <c r="R146" s="15"/>
    </row>
    <row r="147" spans="2:18">
      <c r="B147" s="8"/>
      <c r="R147" s="15"/>
    </row>
    <row r="148" spans="2:18">
      <c r="B148" s="8"/>
      <c r="R148" s="15"/>
    </row>
    <row r="149" spans="2:18">
      <c r="B149" s="8"/>
      <c r="R149" s="15"/>
    </row>
    <row r="150" spans="2:18">
      <c r="B150" s="8"/>
      <c r="R150" s="15"/>
    </row>
    <row r="151" spans="2:18">
      <c r="B151" s="8"/>
      <c r="R151" s="15"/>
    </row>
    <row r="152" spans="2:18">
      <c r="B152" s="8"/>
      <c r="R152" s="15"/>
    </row>
    <row r="153" spans="2:18">
      <c r="B153" s="8"/>
      <c r="R153" s="15"/>
    </row>
    <row r="154" spans="2:18">
      <c r="B154" s="8"/>
      <c r="R154" s="15"/>
    </row>
    <row r="155" spans="2:18">
      <c r="B155" s="8"/>
      <c r="R155" s="15"/>
    </row>
    <row r="156" spans="2:18">
      <c r="B156" s="8"/>
      <c r="R156" s="15"/>
    </row>
    <row r="157" spans="2:18">
      <c r="B157" s="8"/>
      <c r="R157" s="15"/>
    </row>
    <row r="158" spans="2:18">
      <c r="B158" s="8"/>
      <c r="R158" s="15"/>
    </row>
    <row r="159" spans="2:18">
      <c r="B159" s="8"/>
      <c r="R159" s="15"/>
    </row>
    <row r="160" spans="2:18">
      <c r="B160" s="8"/>
      <c r="R160" s="15"/>
    </row>
    <row r="161" spans="2:18">
      <c r="B161" s="8"/>
      <c r="R161" s="15"/>
    </row>
    <row r="162" spans="2:18">
      <c r="B162" s="8"/>
      <c r="R162" s="15"/>
    </row>
    <row r="163" spans="2:18">
      <c r="B163" s="8"/>
      <c r="R163" s="15"/>
    </row>
    <row r="164" spans="2:18">
      <c r="B164" s="8"/>
      <c r="R164" s="15"/>
    </row>
    <row r="165" spans="2:18">
      <c r="B165" s="8"/>
      <c r="R165" s="15"/>
    </row>
    <row r="166" spans="2:18">
      <c r="B166" s="8"/>
      <c r="R166" s="15"/>
    </row>
    <row r="167" spans="2:18">
      <c r="B167" s="8"/>
      <c r="R167" s="15"/>
    </row>
    <row r="168" spans="2:18">
      <c r="B168" s="8"/>
      <c r="R168" s="15"/>
    </row>
    <row r="169" spans="2:18">
      <c r="B169" s="8"/>
      <c r="R169" s="15"/>
    </row>
    <row r="170" spans="2:18">
      <c r="B170" s="8"/>
      <c r="R170" s="15"/>
    </row>
    <row r="171" spans="2:18">
      <c r="B171" s="8"/>
      <c r="R171" s="15"/>
    </row>
    <row r="172" spans="2:18">
      <c r="B172" s="8"/>
      <c r="R172" s="15"/>
    </row>
    <row r="173" spans="2:18">
      <c r="B173" s="8"/>
      <c r="R173" s="15"/>
    </row>
    <row r="174" spans="2:18">
      <c r="B174" s="8"/>
      <c r="R174" s="15"/>
    </row>
    <row r="175" spans="2:18">
      <c r="B175" s="8"/>
      <c r="R175" s="15"/>
    </row>
    <row r="176" spans="2:18">
      <c r="B176" s="8"/>
      <c r="R176" s="15"/>
    </row>
    <row r="177" spans="2:18">
      <c r="B177" s="8"/>
      <c r="R177" s="15"/>
    </row>
    <row r="178" spans="2:18">
      <c r="B178" s="8"/>
      <c r="R178" s="15"/>
    </row>
    <row r="179" spans="2:18">
      <c r="B179" s="8"/>
      <c r="R179" s="15"/>
    </row>
    <row r="180" spans="2:18">
      <c r="B180" s="8"/>
      <c r="R180" s="15"/>
    </row>
    <row r="181" spans="2:18">
      <c r="B181" s="8"/>
      <c r="R181" s="15"/>
    </row>
    <row r="182" spans="2:18">
      <c r="B182" s="8"/>
      <c r="R182" s="15"/>
    </row>
    <row r="183" spans="2:18">
      <c r="B183" s="8"/>
      <c r="R183" s="15"/>
    </row>
    <row r="184" spans="2:18">
      <c r="B184" s="8"/>
      <c r="R184" s="15"/>
    </row>
    <row r="185" spans="2:18">
      <c r="B185" s="8"/>
      <c r="R185" s="15"/>
    </row>
    <row r="186" spans="2:18">
      <c r="B186" s="8"/>
      <c r="R186" s="15"/>
    </row>
    <row r="187" spans="2:18">
      <c r="B187" s="8"/>
      <c r="R187" s="15"/>
    </row>
    <row r="188" spans="2:18">
      <c r="B188" s="8"/>
      <c r="R188" s="15"/>
    </row>
    <row r="189" spans="2:18">
      <c r="B189" s="8"/>
      <c r="R189" s="15"/>
    </row>
    <row r="190" spans="2:18">
      <c r="B190" s="8"/>
      <c r="R190" s="15"/>
    </row>
    <row r="191" spans="2:18">
      <c r="B191" s="8"/>
      <c r="R191" s="15"/>
    </row>
    <row r="192" spans="2:18">
      <c r="B192" s="8"/>
      <c r="R192" s="15"/>
    </row>
    <row r="193" spans="2:18">
      <c r="B193" s="8"/>
      <c r="R193" s="15"/>
    </row>
    <row r="194" spans="2:18">
      <c r="B194" s="8"/>
      <c r="R194" s="15"/>
    </row>
    <row r="195" spans="2:18">
      <c r="B195" s="8"/>
      <c r="R195" s="15"/>
    </row>
    <row r="196" spans="2:18">
      <c r="B196" s="8"/>
      <c r="R196" s="15"/>
    </row>
    <row r="197" spans="2:18">
      <c r="B197" s="8"/>
      <c r="R197" s="15"/>
    </row>
    <row r="198" spans="2:18">
      <c r="B198" s="8"/>
      <c r="R198" s="15"/>
    </row>
    <row r="199" spans="2:18">
      <c r="B199" s="8"/>
      <c r="R199" s="15"/>
    </row>
    <row r="200" spans="2:18">
      <c r="B200" s="8"/>
      <c r="R200" s="15"/>
    </row>
    <row r="201" spans="2:18">
      <c r="B201" s="8"/>
      <c r="R201" s="15"/>
    </row>
    <row r="202" spans="2:18">
      <c r="B202" s="8"/>
      <c r="R202" s="15"/>
    </row>
    <row r="203" spans="2:18">
      <c r="B203" s="8"/>
    </row>
    <row r="204" spans="2:18">
      <c r="B204" s="8"/>
    </row>
    <row r="205" spans="2:18">
      <c r="B205" s="8"/>
    </row>
    <row r="206" spans="2:18">
      <c r="B206" s="8"/>
    </row>
    <row r="207" spans="2:18">
      <c r="B207" s="8"/>
    </row>
    <row r="208" spans="2:18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6"/>
  <sheetViews>
    <sheetView topLeftCell="G30" workbookViewId="0">
      <selection activeCell="P11" sqref="P11:AB12"/>
    </sheetView>
  </sheetViews>
  <sheetFormatPr defaultColWidth="11.42578125" defaultRowHeight="12.75"/>
  <cols>
    <col min="1" max="1" width="8.7109375" customWidth="1"/>
    <col min="2" max="2" width="15.7109375" customWidth="1"/>
    <col min="3" max="3" width="12.7109375" customWidth="1"/>
    <col min="4" max="5" width="11.42578125" customWidth="1"/>
    <col min="6" max="6" width="12.7109375" customWidth="1"/>
    <col min="7" max="8" width="11.42578125" customWidth="1"/>
    <col min="9" max="9" width="13.42578125" customWidth="1"/>
    <col min="10" max="10" width="12.7109375" customWidth="1"/>
    <col min="11" max="11" width="11.42578125" customWidth="1"/>
    <col min="12" max="12" width="12.140625" customWidth="1"/>
    <col min="13" max="13" width="12.42578125" customWidth="1"/>
    <col min="14" max="14" width="12.7109375" customWidth="1"/>
    <col min="15" max="15" width="15.7109375" customWidth="1"/>
    <col min="16" max="16" width="15.7109375" hidden="1" customWidth="1"/>
    <col min="17" max="17" width="12.85546875" hidden="1" customWidth="1"/>
    <col min="18" max="19" width="11.42578125" hidden="1" customWidth="1"/>
    <col min="20" max="20" width="15.7109375" hidden="1" customWidth="1"/>
    <col min="21" max="22" width="11.42578125" hidden="1" customWidth="1"/>
    <col min="23" max="23" width="15.7109375" hidden="1" customWidth="1"/>
    <col min="24" max="24" width="0" hidden="1" customWidth="1"/>
    <col min="25" max="26" width="12.85546875" hidden="1" customWidth="1"/>
    <col min="27" max="28" width="0" hidden="1" customWidth="1"/>
  </cols>
  <sheetData>
    <row r="1" spans="1:24" ht="12.75" customHeight="1">
      <c r="A1" s="197" t="s">
        <v>258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24">
      <c r="A2" s="11" t="s">
        <v>92</v>
      </c>
      <c r="B2" s="8"/>
      <c r="M2" s="24" t="s">
        <v>1</v>
      </c>
    </row>
    <row r="3" spans="1:24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4">
      <c r="B4" s="8"/>
    </row>
    <row r="5" spans="1:24" ht="12.75" customHeight="1">
      <c r="A5" s="199" t="s">
        <v>142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24" hidden="1">
      <c r="B6" s="8"/>
    </row>
    <row r="7" spans="1:24" hidden="1">
      <c r="B7" s="8"/>
    </row>
    <row r="8" spans="1:24">
      <c r="B8" s="8"/>
    </row>
    <row r="9" spans="1:24">
      <c r="B9" s="8" t="s">
        <v>237</v>
      </c>
      <c r="C9">
        <v>2</v>
      </c>
      <c r="D9" s="72">
        <v>3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 s="42">
        <v>3</v>
      </c>
      <c r="N9">
        <v>2</v>
      </c>
      <c r="X9" t="s">
        <v>93</v>
      </c>
    </row>
    <row r="10" spans="1:24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X10" t="s">
        <v>240</v>
      </c>
    </row>
    <row r="11" spans="1:24">
      <c r="B11" s="8"/>
      <c r="C11" s="25" t="s">
        <v>124</v>
      </c>
      <c r="D11" s="69" t="s">
        <v>124</v>
      </c>
      <c r="E11" s="69" t="s">
        <v>124</v>
      </c>
      <c r="F11" s="69" t="s">
        <v>124</v>
      </c>
      <c r="G11" s="69" t="s">
        <v>124</v>
      </c>
      <c r="H11" s="69" t="s">
        <v>124</v>
      </c>
      <c r="I11" s="69" t="s">
        <v>124</v>
      </c>
      <c r="J11" s="69" t="s">
        <v>124</v>
      </c>
      <c r="K11" s="51" t="s">
        <v>15</v>
      </c>
      <c r="L11" s="51" t="s">
        <v>15</v>
      </c>
      <c r="M11" s="51" t="s">
        <v>15</v>
      </c>
      <c r="N11" s="51" t="s">
        <v>15</v>
      </c>
    </row>
    <row r="12" spans="1:24">
      <c r="A12" s="18" t="s">
        <v>95</v>
      </c>
      <c r="B12" s="8"/>
      <c r="C12" s="20">
        <f>'Cash Flow 2012 '!N113</f>
        <v>995011.5</v>
      </c>
      <c r="D12" s="20">
        <f t="shared" ref="D12:N12" si="0">C116</f>
        <v>803101.09000000008</v>
      </c>
      <c r="E12" s="20">
        <f t="shared" si="0"/>
        <v>513328.0900000002</v>
      </c>
      <c r="F12" s="20">
        <f t="shared" si="0"/>
        <v>1178035.0900000003</v>
      </c>
      <c r="G12" s="20">
        <f t="shared" si="0"/>
        <v>914378.77000000037</v>
      </c>
      <c r="H12" s="20">
        <f t="shared" si="0"/>
        <v>676789.94000000029</v>
      </c>
      <c r="I12" s="20">
        <f t="shared" si="0"/>
        <v>1264483.5200000003</v>
      </c>
      <c r="J12" s="20">
        <f t="shared" si="0"/>
        <v>909445.54000000027</v>
      </c>
      <c r="K12" s="20">
        <f t="shared" si="0"/>
        <v>704205.70000000019</v>
      </c>
      <c r="L12" s="20">
        <f t="shared" si="0"/>
        <v>1269228.4360256412</v>
      </c>
      <c r="M12" s="20">
        <f t="shared" si="0"/>
        <v>1019169.6720512821</v>
      </c>
      <c r="N12" s="20">
        <f t="shared" si="0"/>
        <v>804846.70192307699</v>
      </c>
      <c r="O12" s="73" t="s">
        <v>94</v>
      </c>
      <c r="P12" t="s">
        <v>251</v>
      </c>
    </row>
    <row r="13" spans="1:24">
      <c r="A13" s="4" t="s">
        <v>92</v>
      </c>
      <c r="B13" s="8"/>
      <c r="O13" s="73" t="s">
        <v>93</v>
      </c>
      <c r="P13" t="s">
        <v>252</v>
      </c>
      <c r="T13" s="15" t="s">
        <v>250</v>
      </c>
    </row>
    <row r="14" spans="1:24">
      <c r="B14" s="8"/>
      <c r="O14" s="73"/>
    </row>
    <row r="15" spans="1:24">
      <c r="A15" s="38" t="s">
        <v>143</v>
      </c>
      <c r="B15" s="8"/>
    </row>
    <row r="16" spans="1:24">
      <c r="A16">
        <v>280</v>
      </c>
      <c r="B16" s="9" t="s">
        <v>17</v>
      </c>
      <c r="C16" s="26">
        <v>0</v>
      </c>
      <c r="D16" s="26">
        <v>0</v>
      </c>
      <c r="E16" s="26">
        <v>875307</v>
      </c>
      <c r="F16" s="26">
        <v>0</v>
      </c>
      <c r="G16" s="26">
        <v>0</v>
      </c>
      <c r="H16" s="26">
        <v>829174</v>
      </c>
      <c r="I16" s="26">
        <v>0</v>
      </c>
      <c r="J16" s="26">
        <v>0</v>
      </c>
      <c r="K16" s="26">
        <v>829174.5</v>
      </c>
      <c r="L16" s="26">
        <v>0</v>
      </c>
      <c r="M16" s="26">
        <v>0</v>
      </c>
      <c r="N16" s="26">
        <v>829174.5</v>
      </c>
      <c r="O16" s="37">
        <f t="shared" ref="O16:O30" si="1">SUM(C16:N16)</f>
        <v>3362830</v>
      </c>
      <c r="P16" t="s">
        <v>92</v>
      </c>
      <c r="T16" s="37">
        <f>SUM(C16:N16)</f>
        <v>3362830</v>
      </c>
      <c r="X16" t="s">
        <v>92</v>
      </c>
    </row>
    <row r="17" spans="1:24">
      <c r="A17" t="s">
        <v>92</v>
      </c>
      <c r="B17" s="9" t="s">
        <v>130</v>
      </c>
      <c r="C17">
        <v>0</v>
      </c>
      <c r="D17">
        <v>18267.400000000001</v>
      </c>
      <c r="E17">
        <f>25910.8+25792.97</f>
        <v>51703.770000000004</v>
      </c>
      <c r="F17">
        <v>0</v>
      </c>
      <c r="G17" s="3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37">
        <f t="shared" si="1"/>
        <v>69971.170000000013</v>
      </c>
      <c r="P17" t="s">
        <v>92</v>
      </c>
      <c r="T17" s="37">
        <f t="shared" ref="T17:T30" si="2">SUM(C17:N17)</f>
        <v>69971.170000000013</v>
      </c>
    </row>
    <row r="18" spans="1:24">
      <c r="B18" s="74" t="s">
        <v>178</v>
      </c>
      <c r="C18" s="26">
        <v>0</v>
      </c>
      <c r="D18" s="26"/>
      <c r="E18" s="26">
        <v>0</v>
      </c>
      <c r="F18" s="26"/>
      <c r="G18" s="26">
        <v>0</v>
      </c>
      <c r="H18" s="26">
        <v>0</v>
      </c>
      <c r="I18" s="26"/>
      <c r="J18" s="26"/>
      <c r="L18" s="26"/>
      <c r="M18" s="26">
        <v>27146</v>
      </c>
      <c r="N18" s="26"/>
      <c r="O18" s="37">
        <f t="shared" si="1"/>
        <v>27146</v>
      </c>
      <c r="T18" s="37">
        <f t="shared" si="2"/>
        <v>27146</v>
      </c>
    </row>
    <row r="19" spans="1:24">
      <c r="B19" s="9" t="s">
        <v>170</v>
      </c>
      <c r="C19" s="26">
        <v>0</v>
      </c>
      <c r="D19" s="26"/>
      <c r="E19" s="26">
        <f>3328-1675</f>
        <v>1653</v>
      </c>
      <c r="F19" s="26">
        <v>0</v>
      </c>
      <c r="G19" s="26">
        <v>0</v>
      </c>
      <c r="H19" s="26"/>
      <c r="I19" s="26"/>
      <c r="J19" s="26">
        <v>0</v>
      </c>
      <c r="K19" s="26"/>
      <c r="L19" s="26"/>
      <c r="M19" s="26"/>
      <c r="N19" s="26"/>
      <c r="O19" s="37">
        <f t="shared" si="1"/>
        <v>1653</v>
      </c>
      <c r="T19" s="37">
        <f t="shared" si="2"/>
        <v>1653</v>
      </c>
    </row>
    <row r="20" spans="1:24">
      <c r="B20" s="9" t="s">
        <v>162</v>
      </c>
      <c r="C20" s="26">
        <v>0</v>
      </c>
      <c r="D20" s="26"/>
      <c r="E20" s="26">
        <v>0</v>
      </c>
      <c r="F20" s="26"/>
      <c r="G20" s="26">
        <v>0</v>
      </c>
      <c r="H20" s="26"/>
      <c r="I20" s="26">
        <v>0</v>
      </c>
      <c r="J20" s="26"/>
      <c r="L20" s="26"/>
      <c r="M20" s="55">
        <v>39936</v>
      </c>
      <c r="N20" s="26"/>
      <c r="O20" s="37">
        <f t="shared" si="1"/>
        <v>39936</v>
      </c>
      <c r="T20" s="37">
        <f t="shared" si="2"/>
        <v>39936</v>
      </c>
    </row>
    <row r="21" spans="1:24">
      <c r="B21" s="101" t="s">
        <v>244</v>
      </c>
      <c r="C21" s="27">
        <v>0</v>
      </c>
      <c r="F21" s="27">
        <v>356</v>
      </c>
      <c r="G21" s="27">
        <v>2384</v>
      </c>
      <c r="M21" s="111">
        <v>0</v>
      </c>
      <c r="O21" s="37">
        <f t="shared" si="1"/>
        <v>2740</v>
      </c>
      <c r="T21" s="37">
        <f t="shared" si="2"/>
        <v>2740</v>
      </c>
    </row>
    <row r="22" spans="1:24">
      <c r="B22" s="9" t="s">
        <v>243</v>
      </c>
      <c r="C22" s="26">
        <v>0</v>
      </c>
      <c r="D22" s="26"/>
      <c r="E22" s="26">
        <v>1675</v>
      </c>
      <c r="F22" s="26">
        <v>1782</v>
      </c>
      <c r="G22" s="26">
        <f>2336+1653</f>
        <v>3989</v>
      </c>
      <c r="H22" s="26">
        <v>0</v>
      </c>
      <c r="I22" s="26"/>
      <c r="J22" s="26"/>
      <c r="L22" s="26"/>
      <c r="M22" s="55">
        <f>10000-4746+21025</f>
        <v>26279</v>
      </c>
      <c r="N22" s="26">
        <f>10000-3621</f>
        <v>6379</v>
      </c>
      <c r="O22" s="37">
        <f t="shared" si="1"/>
        <v>40104</v>
      </c>
      <c r="T22" s="37">
        <f t="shared" si="2"/>
        <v>40104</v>
      </c>
      <c r="X22" t="s">
        <v>260</v>
      </c>
    </row>
    <row r="23" spans="1:24">
      <c r="B23" s="9" t="s">
        <v>249</v>
      </c>
      <c r="C23" s="26">
        <v>0</v>
      </c>
      <c r="D23" s="26"/>
      <c r="E23" s="26">
        <v>0</v>
      </c>
      <c r="F23" s="26">
        <v>0</v>
      </c>
      <c r="G23" s="26">
        <v>0</v>
      </c>
      <c r="H23" s="26">
        <f>9.78+2715.35</f>
        <v>2725.13</v>
      </c>
      <c r="I23" s="26">
        <v>0</v>
      </c>
      <c r="J23" s="26">
        <v>0</v>
      </c>
      <c r="K23" s="26">
        <v>500</v>
      </c>
      <c r="L23" s="26">
        <v>500</v>
      </c>
      <c r="M23" s="26">
        <v>500</v>
      </c>
      <c r="N23" s="26">
        <f>500-225.13</f>
        <v>274.87</v>
      </c>
      <c r="O23" s="37">
        <f t="shared" si="1"/>
        <v>4500</v>
      </c>
      <c r="T23" s="37">
        <f t="shared" si="2"/>
        <v>4500</v>
      </c>
    </row>
    <row r="24" spans="1:24">
      <c r="B24" s="9" t="s">
        <v>248</v>
      </c>
      <c r="C24" s="26">
        <v>0</v>
      </c>
      <c r="D24" s="26"/>
      <c r="E24" s="26"/>
      <c r="G24" s="26">
        <v>0</v>
      </c>
      <c r="H24" s="26"/>
      <c r="I24" s="26"/>
      <c r="J24" s="26"/>
      <c r="K24" s="26"/>
      <c r="L24" s="26"/>
      <c r="M24" s="26">
        <v>18000</v>
      </c>
      <c r="N24" s="26"/>
      <c r="O24" s="37">
        <f t="shared" si="1"/>
        <v>18000</v>
      </c>
      <c r="T24" s="37">
        <f t="shared" si="2"/>
        <v>18000</v>
      </c>
    </row>
    <row r="25" spans="1:24">
      <c r="B25" s="9" t="s">
        <v>245</v>
      </c>
      <c r="C25" s="26">
        <v>0</v>
      </c>
      <c r="D25" s="26"/>
      <c r="E25" s="26"/>
      <c r="F25" s="26"/>
      <c r="G25" s="26">
        <v>0</v>
      </c>
      <c r="H25" s="26"/>
      <c r="I25" s="26"/>
      <c r="J25" s="26"/>
      <c r="K25" s="26"/>
      <c r="L25" s="26"/>
      <c r="M25" s="26"/>
      <c r="N25" s="26"/>
      <c r="O25" s="37">
        <f t="shared" si="1"/>
        <v>0</v>
      </c>
      <c r="T25" s="37">
        <f t="shared" si="2"/>
        <v>0</v>
      </c>
    </row>
    <row r="26" spans="1:24">
      <c r="B26" s="9" t="s">
        <v>18</v>
      </c>
      <c r="C26" s="26">
        <v>0</v>
      </c>
      <c r="D26" s="26">
        <f>1761.75+1831.75+1687+5942</f>
        <v>11222.5</v>
      </c>
      <c r="E26" s="26">
        <f>671.25+1261.85+1933.05+10250+1515.8+1892.25+293.75+852.5</f>
        <v>18670.449999999997</v>
      </c>
      <c r="F26" s="26">
        <f>966+627+539.25+817.5+1218.31+470.25+208+6+233+29</f>
        <v>5114.3099999999995</v>
      </c>
      <c r="G26" s="26">
        <f>224.84+448.58+150+2872+643.2+575.25+554.25+876</f>
        <v>6344.12</v>
      </c>
      <c r="H26" s="26">
        <f>2953+533+188+627+646.25+398.5+560+1329.3+300+695.5+1254+746.6</f>
        <v>10231.15</v>
      </c>
      <c r="I26" s="26">
        <f>344.5+320+499.5+431.25+654.5+188+1233.5</f>
        <v>3671.25</v>
      </c>
      <c r="J26" s="26">
        <f>629+2073+750+957.15+567.9+705+580.5+416.75+980.25</f>
        <v>7659.5499999999993</v>
      </c>
      <c r="K26" s="26">
        <f>$P$26/10</f>
        <v>7924</v>
      </c>
      <c r="L26" s="26">
        <f>$P$26/10</f>
        <v>7924</v>
      </c>
      <c r="M26" s="26">
        <f>$P$26/10</f>
        <v>7924</v>
      </c>
      <c r="N26" s="26">
        <f>$P$26/10</f>
        <v>7924</v>
      </c>
      <c r="O26" s="37">
        <f>SUM(C26:N26)</f>
        <v>94609.33</v>
      </c>
      <c r="P26">
        <f>283*A16</f>
        <v>79240</v>
      </c>
      <c r="T26" s="37">
        <f t="shared" si="2"/>
        <v>94609.33</v>
      </c>
    </row>
    <row r="27" spans="1:24">
      <c r="B27" s="9" t="s">
        <v>19</v>
      </c>
      <c r="C27" s="26">
        <f>207+30.47</f>
        <v>237.47</v>
      </c>
      <c r="D27" s="26">
        <f>2043.5+1504+3000</f>
        <v>6547.5</v>
      </c>
      <c r="E27" s="26">
        <f>1215+2196+120+8.5+130+320</f>
        <v>3989.5</v>
      </c>
      <c r="F27" s="26">
        <f>40+20+120</f>
        <v>180</v>
      </c>
      <c r="G27" s="26">
        <f>150+2000+250+40+1000</f>
        <v>3440</v>
      </c>
      <c r="H27" s="26">
        <v>120</v>
      </c>
      <c r="I27" s="26">
        <v>0</v>
      </c>
      <c r="J27" s="26">
        <f>101+2500</f>
        <v>2601</v>
      </c>
      <c r="K27" s="26">
        <v>1000</v>
      </c>
      <c r="L27" s="26">
        <v>1000</v>
      </c>
      <c r="M27" s="26">
        <v>1000</v>
      </c>
      <c r="N27" s="26">
        <v>1000</v>
      </c>
      <c r="O27" s="37">
        <f t="shared" si="1"/>
        <v>21115.47</v>
      </c>
      <c r="T27" s="37">
        <f t="shared" si="2"/>
        <v>21115.47</v>
      </c>
    </row>
    <row r="28" spans="1:24">
      <c r="B28" s="9" t="s">
        <v>20</v>
      </c>
      <c r="C28" s="26">
        <v>0</v>
      </c>
      <c r="D28" s="26">
        <v>2035</v>
      </c>
      <c r="E28" s="26">
        <f>3650+275+790+7935</f>
        <v>12650</v>
      </c>
      <c r="F28" s="26">
        <f>80+1215+2940+775</f>
        <v>5010</v>
      </c>
      <c r="G28" s="26">
        <f>1055+910+360+1210+1340+905</f>
        <v>5780</v>
      </c>
      <c r="H28" s="26">
        <f>1055+638+795+2002.5+650</f>
        <v>5140.5</v>
      </c>
      <c r="I28" s="26">
        <f>440+1020+2185+890+700+600+525</f>
        <v>6360</v>
      </c>
      <c r="J28" s="26">
        <f>1780+390</f>
        <v>2170</v>
      </c>
      <c r="K28" s="26">
        <f>$P$28/10</f>
        <v>4480</v>
      </c>
      <c r="L28" s="26">
        <f>$P$28/10</f>
        <v>4480</v>
      </c>
      <c r="M28" s="26">
        <f>$P$28/10</f>
        <v>4480</v>
      </c>
      <c r="N28" s="26">
        <f>$P$28/10</f>
        <v>4480</v>
      </c>
      <c r="O28" s="37">
        <f>SUM(C28:N28)</f>
        <v>57065.5</v>
      </c>
      <c r="P28">
        <f>160*A16</f>
        <v>44800</v>
      </c>
      <c r="T28" s="37">
        <f t="shared" si="2"/>
        <v>57065.5</v>
      </c>
    </row>
    <row r="29" spans="1:24">
      <c r="B29" s="9" t="s">
        <v>247</v>
      </c>
      <c r="C29" s="26">
        <v>1403</v>
      </c>
      <c r="D29" s="26">
        <f>2925+1140+600+2000</f>
        <v>6665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5000</v>
      </c>
      <c r="O29" s="37">
        <f t="shared" si="1"/>
        <v>13068</v>
      </c>
      <c r="T29" s="37">
        <f t="shared" si="2"/>
        <v>13068</v>
      </c>
    </row>
    <row r="30" spans="1:24">
      <c r="B30" s="9" t="s">
        <v>21</v>
      </c>
      <c r="C30" s="26">
        <f>9105.9+949.73+10.71</f>
        <v>10066.339999999998</v>
      </c>
      <c r="D30" s="26">
        <f>86.52+869</f>
        <v>955.52</v>
      </c>
      <c r="E30" s="26">
        <v>369.88</v>
      </c>
      <c r="F30" s="26">
        <f>1662+50</f>
        <v>1712</v>
      </c>
      <c r="G30" s="26">
        <f>974.5+232+713+52+396+130+978.98</f>
        <v>3476.48</v>
      </c>
      <c r="H30" s="26">
        <v>200</v>
      </c>
      <c r="I30" s="26">
        <f>289.5+240+210</f>
        <v>739.5</v>
      </c>
      <c r="J30" s="26">
        <v>54.95</v>
      </c>
      <c r="K30" s="26">
        <v>1000</v>
      </c>
      <c r="L30" s="26">
        <v>1000</v>
      </c>
      <c r="M30" s="26">
        <v>1000</v>
      </c>
      <c r="N30" s="26">
        <v>1000</v>
      </c>
      <c r="O30" s="52">
        <f t="shared" si="1"/>
        <v>21574.67</v>
      </c>
      <c r="T30" s="52">
        <f t="shared" si="2"/>
        <v>21574.67</v>
      </c>
      <c r="W30" t="s">
        <v>238</v>
      </c>
    </row>
    <row r="31" spans="1:24">
      <c r="A31" s="38" t="s">
        <v>96</v>
      </c>
      <c r="B31" s="9"/>
      <c r="C31" s="28">
        <f t="shared" ref="C31:N31" si="3">SUM(C16:C30)</f>
        <v>11706.809999999998</v>
      </c>
      <c r="D31" s="28">
        <f t="shared" si="3"/>
        <v>45692.92</v>
      </c>
      <c r="E31" s="28">
        <f t="shared" si="3"/>
        <v>966018.6</v>
      </c>
      <c r="F31" s="28">
        <f t="shared" si="3"/>
        <v>14154.31</v>
      </c>
      <c r="G31" s="28">
        <f t="shared" si="3"/>
        <v>25413.599999999999</v>
      </c>
      <c r="H31" s="28">
        <f t="shared" si="3"/>
        <v>847590.78</v>
      </c>
      <c r="I31" s="28">
        <f t="shared" si="3"/>
        <v>10770.75</v>
      </c>
      <c r="J31" s="28">
        <f t="shared" si="3"/>
        <v>12485.5</v>
      </c>
      <c r="K31" s="28">
        <f t="shared" si="3"/>
        <v>844078.5</v>
      </c>
      <c r="L31" s="28">
        <f t="shared" si="3"/>
        <v>14904</v>
      </c>
      <c r="M31" s="28">
        <f t="shared" si="3"/>
        <v>126265</v>
      </c>
      <c r="N31" s="28">
        <f t="shared" si="3"/>
        <v>855232.37</v>
      </c>
      <c r="O31" s="81">
        <f>SUM(O16:O30)</f>
        <v>3774313.14</v>
      </c>
    </row>
    <row r="32" spans="1:24">
      <c r="A32" s="38" t="s">
        <v>98</v>
      </c>
      <c r="B32" s="10"/>
      <c r="C32" s="29">
        <f t="shared" ref="C32:N32" si="4">C31+C12</f>
        <v>1006718.31</v>
      </c>
      <c r="D32" s="29">
        <f t="shared" si="4"/>
        <v>848794.01000000013</v>
      </c>
      <c r="E32" s="29">
        <f t="shared" si="4"/>
        <v>1479346.6900000002</v>
      </c>
      <c r="F32" s="29">
        <f t="shared" si="4"/>
        <v>1192189.4000000004</v>
      </c>
      <c r="G32" s="29">
        <f t="shared" si="4"/>
        <v>939792.37000000034</v>
      </c>
      <c r="H32" s="29">
        <f t="shared" si="4"/>
        <v>1524380.7200000002</v>
      </c>
      <c r="I32" s="29">
        <f t="shared" si="4"/>
        <v>1275254.2700000003</v>
      </c>
      <c r="J32" s="29">
        <f t="shared" si="4"/>
        <v>921931.04000000027</v>
      </c>
      <c r="K32" s="29">
        <f t="shared" si="4"/>
        <v>1548284.2000000002</v>
      </c>
      <c r="L32" s="29">
        <f t="shared" si="4"/>
        <v>1284132.4360256412</v>
      </c>
      <c r="M32" s="29">
        <f t="shared" si="4"/>
        <v>1145434.6720512821</v>
      </c>
      <c r="N32" s="29">
        <f t="shared" si="4"/>
        <v>1660079.0719230771</v>
      </c>
      <c r="O32" s="81">
        <f>O31+C12</f>
        <v>4769324.6400000006</v>
      </c>
      <c r="T32" s="37">
        <f>SUM(T16:T31)</f>
        <v>3774313.14</v>
      </c>
    </row>
    <row r="33" spans="1:23">
      <c r="B33" s="8"/>
    </row>
    <row r="34" spans="1:23">
      <c r="A34" s="4" t="s">
        <v>99</v>
      </c>
      <c r="B34" s="8"/>
      <c r="O34" s="106" t="s">
        <v>15</v>
      </c>
    </row>
    <row r="35" spans="1:23">
      <c r="A35" s="19" t="s">
        <v>92</v>
      </c>
      <c r="B35" s="8" t="s">
        <v>92</v>
      </c>
    </row>
    <row r="36" spans="1:23" hidden="1">
      <c r="B36" s="9" t="s">
        <v>22</v>
      </c>
      <c r="C36" s="26">
        <v>4160</v>
      </c>
      <c r="D36" s="26">
        <f>$P36*D$9</f>
        <v>6923.0769230769229</v>
      </c>
      <c r="E36" s="26">
        <f t="shared" ref="E36:N50" si="5">$P36*E$9</f>
        <v>4615.3846153846152</v>
      </c>
      <c r="F36" s="26">
        <f t="shared" si="5"/>
        <v>4615.3846153846152</v>
      </c>
      <c r="G36" s="26">
        <f t="shared" si="5"/>
        <v>4615.3846153846152</v>
      </c>
      <c r="H36" s="26">
        <f t="shared" si="5"/>
        <v>4615.3846153846152</v>
      </c>
      <c r="I36" s="26">
        <f t="shared" si="5"/>
        <v>4615.3846153846152</v>
      </c>
      <c r="J36" s="26">
        <f t="shared" si="5"/>
        <v>4615.3846153846152</v>
      </c>
      <c r="K36" s="26">
        <f t="shared" si="5"/>
        <v>4615.3846153846152</v>
      </c>
      <c r="L36" s="26">
        <f t="shared" si="5"/>
        <v>4615.3846153846152</v>
      </c>
      <c r="M36" s="26">
        <f t="shared" si="5"/>
        <v>6923.0769230769229</v>
      </c>
      <c r="N36" s="26">
        <f t="shared" si="5"/>
        <v>4615.3846153846152</v>
      </c>
      <c r="O36" s="37">
        <v>60000</v>
      </c>
      <c r="P36" s="37">
        <f>O36/26</f>
        <v>2307.6923076923076</v>
      </c>
      <c r="T36" s="37">
        <f t="shared" ref="T36:T98" si="6">SUM(C36:N36)</f>
        <v>59544.61538461539</v>
      </c>
      <c r="W36" s="37">
        <f>SUM(C36:N36)</f>
        <v>59544.61538461539</v>
      </c>
    </row>
    <row r="37" spans="1:23" hidden="1">
      <c r="B37" s="9" t="s">
        <v>158</v>
      </c>
      <c r="C37" s="26">
        <v>4800</v>
      </c>
      <c r="D37" s="26">
        <f>$P37*D$9</f>
        <v>8076.9230769230771</v>
      </c>
      <c r="E37" s="26">
        <f t="shared" si="5"/>
        <v>5384.6153846153848</v>
      </c>
      <c r="F37" s="26">
        <f t="shared" si="5"/>
        <v>5384.6153846153848</v>
      </c>
      <c r="G37" s="26">
        <f t="shared" si="5"/>
        <v>5384.6153846153848</v>
      </c>
      <c r="H37" s="26">
        <f t="shared" si="5"/>
        <v>5384.6153846153848</v>
      </c>
      <c r="I37" s="26">
        <f t="shared" si="5"/>
        <v>5384.6153846153848</v>
      </c>
      <c r="J37" s="26">
        <f t="shared" si="5"/>
        <v>5384.6153846153848</v>
      </c>
      <c r="K37" s="26">
        <f t="shared" si="5"/>
        <v>5384.6153846153848</v>
      </c>
      <c r="L37" s="26">
        <f t="shared" si="5"/>
        <v>5384.6153846153848</v>
      </c>
      <c r="M37" s="26">
        <f t="shared" si="5"/>
        <v>8076.9230769230771</v>
      </c>
      <c r="N37" s="26">
        <f t="shared" si="5"/>
        <v>5384.6153846153848</v>
      </c>
      <c r="O37" s="37">
        <v>70000</v>
      </c>
      <c r="P37" s="37">
        <f t="shared" ref="P37:P50" si="7">O37/26</f>
        <v>2692.3076923076924</v>
      </c>
      <c r="T37" s="37">
        <f t="shared" si="6"/>
        <v>69415.38461538461</v>
      </c>
      <c r="W37" s="37">
        <f t="shared" ref="W37:W99" si="8">SUM(C37:N37)</f>
        <v>69415.38461538461</v>
      </c>
    </row>
    <row r="38" spans="1:23" hidden="1">
      <c r="B38" s="9" t="s">
        <v>224</v>
      </c>
      <c r="C38" s="26">
        <v>3615.38</v>
      </c>
      <c r="D38" s="26">
        <f>$P38*D$9</f>
        <v>5400</v>
      </c>
      <c r="E38" s="26">
        <f t="shared" si="5"/>
        <v>3600</v>
      </c>
      <c r="F38" s="26">
        <f t="shared" si="5"/>
        <v>3600</v>
      </c>
      <c r="G38" s="26">
        <f t="shared" si="5"/>
        <v>3600</v>
      </c>
      <c r="H38" s="26">
        <f t="shared" si="5"/>
        <v>3600</v>
      </c>
      <c r="I38" s="26">
        <f t="shared" si="5"/>
        <v>3600</v>
      </c>
      <c r="J38" s="26">
        <f t="shared" si="5"/>
        <v>3600</v>
      </c>
      <c r="K38" s="26">
        <f t="shared" si="5"/>
        <v>3600</v>
      </c>
      <c r="L38" s="26">
        <f t="shared" si="5"/>
        <v>3600</v>
      </c>
      <c r="M38" s="26">
        <f t="shared" si="5"/>
        <v>5400</v>
      </c>
      <c r="N38" s="26">
        <f t="shared" si="5"/>
        <v>3600</v>
      </c>
      <c r="O38" s="37">
        <v>46800</v>
      </c>
      <c r="P38" s="37">
        <f t="shared" si="7"/>
        <v>1800</v>
      </c>
      <c r="T38" s="37">
        <f t="shared" si="6"/>
        <v>46815.380000000005</v>
      </c>
      <c r="W38" s="37">
        <f t="shared" si="8"/>
        <v>46815.380000000005</v>
      </c>
    </row>
    <row r="39" spans="1:23" hidden="1">
      <c r="B39" s="9" t="s">
        <v>217</v>
      </c>
      <c r="C39" s="26">
        <v>3461.54</v>
      </c>
      <c r="D39" s="26">
        <f t="shared" ref="D39:D50" si="9">$P39*D$9</f>
        <v>5538.461538461539</v>
      </c>
      <c r="E39" s="26">
        <f t="shared" si="5"/>
        <v>3692.3076923076924</v>
      </c>
      <c r="F39" s="26">
        <f t="shared" si="5"/>
        <v>3692.3076923076924</v>
      </c>
      <c r="G39" s="26">
        <f t="shared" si="5"/>
        <v>3692.3076923076924</v>
      </c>
      <c r="H39" s="26">
        <f t="shared" si="5"/>
        <v>3692.3076923076924</v>
      </c>
      <c r="I39" s="26">
        <f t="shared" si="5"/>
        <v>3692.3076923076924</v>
      </c>
      <c r="J39" s="26">
        <f t="shared" si="5"/>
        <v>3692.3076923076924</v>
      </c>
      <c r="K39" s="26">
        <f t="shared" si="5"/>
        <v>3692.3076923076924</v>
      </c>
      <c r="L39" s="26">
        <f t="shared" si="5"/>
        <v>3692.3076923076924</v>
      </c>
      <c r="M39" s="26">
        <f t="shared" si="5"/>
        <v>5538.461538461539</v>
      </c>
      <c r="N39" s="26">
        <f t="shared" si="5"/>
        <v>3692.3076923076924</v>
      </c>
      <c r="O39" s="37">
        <v>48000</v>
      </c>
      <c r="P39" s="37">
        <f t="shared" si="7"/>
        <v>1846.1538461538462</v>
      </c>
      <c r="T39" s="37">
        <f t="shared" si="6"/>
        <v>47769.232307692313</v>
      </c>
      <c r="W39" s="37">
        <f t="shared" si="8"/>
        <v>47769.232307692313</v>
      </c>
    </row>
    <row r="40" spans="1:23" hidden="1">
      <c r="B40" s="74" t="s">
        <v>235</v>
      </c>
      <c r="C40" s="26"/>
      <c r="D40" s="26">
        <f t="shared" si="9"/>
        <v>1442.3076923076924</v>
      </c>
      <c r="E40" s="26">
        <f t="shared" si="5"/>
        <v>961.53846153846155</v>
      </c>
      <c r="F40" s="26">
        <f t="shared" si="5"/>
        <v>961.53846153846155</v>
      </c>
      <c r="G40" s="26">
        <f t="shared" si="5"/>
        <v>961.53846153846155</v>
      </c>
      <c r="H40" s="26">
        <f t="shared" si="5"/>
        <v>961.53846153846155</v>
      </c>
      <c r="I40" s="26">
        <f t="shared" si="5"/>
        <v>961.53846153846155</v>
      </c>
      <c r="J40" s="26">
        <f t="shared" si="5"/>
        <v>961.53846153846155</v>
      </c>
      <c r="K40" s="26">
        <f t="shared" si="5"/>
        <v>961.53846153846155</v>
      </c>
      <c r="L40" s="26">
        <f t="shared" si="5"/>
        <v>961.53846153846155</v>
      </c>
      <c r="M40" s="26">
        <f t="shared" si="5"/>
        <v>1442.3076923076924</v>
      </c>
      <c r="N40" s="26">
        <f t="shared" si="5"/>
        <v>961.53846153846155</v>
      </c>
      <c r="O40" s="37">
        <v>12500</v>
      </c>
      <c r="P40" s="37">
        <f t="shared" si="7"/>
        <v>480.76923076923077</v>
      </c>
      <c r="T40" s="37">
        <f t="shared" si="6"/>
        <v>11538.461538461539</v>
      </c>
      <c r="W40" s="37">
        <f t="shared" si="8"/>
        <v>11538.461538461539</v>
      </c>
    </row>
    <row r="41" spans="1:23" hidden="1">
      <c r="B41" s="9" t="s">
        <v>200</v>
      </c>
      <c r="C41" s="26">
        <v>1782</v>
      </c>
      <c r="D41" s="26">
        <f t="shared" si="9"/>
        <v>3363.84</v>
      </c>
      <c r="E41" s="26">
        <f t="shared" si="5"/>
        <v>2242.56</v>
      </c>
      <c r="F41" s="26">
        <f t="shared" si="5"/>
        <v>2242.56</v>
      </c>
      <c r="G41" s="26">
        <f t="shared" si="5"/>
        <v>2242.56</v>
      </c>
      <c r="H41" s="26">
        <f t="shared" si="5"/>
        <v>2242.56</v>
      </c>
      <c r="I41" s="26">
        <f t="shared" si="5"/>
        <v>2242.56</v>
      </c>
      <c r="J41" s="26">
        <f t="shared" si="5"/>
        <v>2242.56</v>
      </c>
      <c r="K41" s="26">
        <f t="shared" si="5"/>
        <v>2242.56</v>
      </c>
      <c r="L41" s="26">
        <f t="shared" si="5"/>
        <v>2242.56</v>
      </c>
      <c r="M41" s="26">
        <f t="shared" si="5"/>
        <v>3363.84</v>
      </c>
      <c r="N41" s="26">
        <f t="shared" si="5"/>
        <v>2242.56</v>
      </c>
      <c r="O41" s="37">
        <v>29153.279999999999</v>
      </c>
      <c r="P41" s="37">
        <f t="shared" si="7"/>
        <v>1121.28</v>
      </c>
      <c r="T41" s="37">
        <f t="shared" si="6"/>
        <v>28692.720000000001</v>
      </c>
      <c r="W41" s="37">
        <f t="shared" si="8"/>
        <v>28692.720000000001</v>
      </c>
    </row>
    <row r="42" spans="1:23" hidden="1">
      <c r="B42" s="9" t="s">
        <v>225</v>
      </c>
      <c r="C42" s="26">
        <v>6190.46</v>
      </c>
      <c r="D42" s="26">
        <f t="shared" si="9"/>
        <v>12830.76923076923</v>
      </c>
      <c r="E42" s="26">
        <f t="shared" si="5"/>
        <v>8553.8461538461543</v>
      </c>
      <c r="F42" s="26">
        <f t="shared" si="5"/>
        <v>8553.8461538461543</v>
      </c>
      <c r="G42" s="26">
        <f t="shared" si="5"/>
        <v>8553.8461538461543</v>
      </c>
      <c r="H42" s="26">
        <f t="shared" si="5"/>
        <v>8553.8461538461543</v>
      </c>
      <c r="I42" s="26">
        <f t="shared" si="5"/>
        <v>8553.8461538461543</v>
      </c>
      <c r="J42" s="26">
        <f t="shared" si="5"/>
        <v>8553.8461538461543</v>
      </c>
      <c r="K42" s="26">
        <f t="shared" si="5"/>
        <v>8553.8461538461543</v>
      </c>
      <c r="L42" s="26">
        <f t="shared" si="5"/>
        <v>8553.8461538461543</v>
      </c>
      <c r="M42" s="26">
        <f t="shared" si="5"/>
        <v>12830.76923076923</v>
      </c>
      <c r="N42" s="26">
        <f t="shared" si="5"/>
        <v>8553.8461538461543</v>
      </c>
      <c r="O42" s="37">
        <v>111200</v>
      </c>
      <c r="P42" s="37">
        <f t="shared" si="7"/>
        <v>4276.9230769230771</v>
      </c>
      <c r="T42" s="37">
        <f t="shared" si="6"/>
        <v>108836.61384615386</v>
      </c>
      <c r="W42" s="37">
        <f t="shared" si="8"/>
        <v>108836.61384615386</v>
      </c>
    </row>
    <row r="43" spans="1:23" hidden="1">
      <c r="B43" s="9" t="s">
        <v>187</v>
      </c>
      <c r="C43" s="26">
        <v>4730.7700000000004</v>
      </c>
      <c r="D43" s="26">
        <f t="shared" si="9"/>
        <v>7301.538461538461</v>
      </c>
      <c r="E43" s="26">
        <f t="shared" si="5"/>
        <v>4867.6923076923076</v>
      </c>
      <c r="F43" s="26">
        <f t="shared" si="5"/>
        <v>4867.6923076923076</v>
      </c>
      <c r="G43" s="26">
        <f t="shared" si="5"/>
        <v>4867.6923076923076</v>
      </c>
      <c r="H43" s="26">
        <f t="shared" si="5"/>
        <v>4867.6923076923076</v>
      </c>
      <c r="I43" s="26">
        <f t="shared" si="5"/>
        <v>4867.6923076923076</v>
      </c>
      <c r="J43" s="26">
        <f t="shared" si="5"/>
        <v>4867.6923076923076</v>
      </c>
      <c r="K43" s="26">
        <f t="shared" si="5"/>
        <v>4867.6923076923076</v>
      </c>
      <c r="L43" s="26">
        <f t="shared" si="5"/>
        <v>4867.6923076923076</v>
      </c>
      <c r="M43" s="26">
        <f t="shared" si="5"/>
        <v>7301.538461538461</v>
      </c>
      <c r="N43" s="26">
        <f t="shared" si="5"/>
        <v>4867.6923076923076</v>
      </c>
      <c r="O43" s="37">
        <v>63280</v>
      </c>
      <c r="P43" s="37">
        <f t="shared" si="7"/>
        <v>2433.8461538461538</v>
      </c>
      <c r="T43" s="37">
        <f t="shared" si="6"/>
        <v>63143.077692307685</v>
      </c>
      <c r="W43" s="37">
        <f t="shared" si="8"/>
        <v>63143.077692307685</v>
      </c>
    </row>
    <row r="44" spans="1:23" hidden="1">
      <c r="B44" s="9" t="s">
        <v>194</v>
      </c>
      <c r="C44" s="26">
        <v>87394.15</v>
      </c>
      <c r="D44" s="26">
        <f t="shared" si="9"/>
        <v>136614.24</v>
      </c>
      <c r="E44" s="26">
        <f t="shared" si="5"/>
        <v>91076.160000000003</v>
      </c>
      <c r="F44" s="26">
        <f t="shared" si="5"/>
        <v>91076.160000000003</v>
      </c>
      <c r="G44" s="26">
        <f t="shared" si="5"/>
        <v>91076.160000000003</v>
      </c>
      <c r="H44" s="26">
        <f t="shared" si="5"/>
        <v>91076.160000000003</v>
      </c>
      <c r="I44" s="26">
        <f t="shared" si="5"/>
        <v>91076.160000000003</v>
      </c>
      <c r="J44" s="26">
        <f t="shared" si="5"/>
        <v>91076.160000000003</v>
      </c>
      <c r="K44" s="26">
        <f t="shared" si="5"/>
        <v>91076.160000000003</v>
      </c>
      <c r="L44" s="26">
        <f t="shared" si="5"/>
        <v>91076.160000000003</v>
      </c>
      <c r="M44" s="26">
        <f t="shared" si="5"/>
        <v>136614.24</v>
      </c>
      <c r="N44" s="26">
        <f t="shared" si="5"/>
        <v>91076.160000000003</v>
      </c>
      <c r="O44" s="37">
        <v>1183990.08</v>
      </c>
      <c r="P44" s="37">
        <f t="shared" si="7"/>
        <v>45538.080000000002</v>
      </c>
      <c r="T44" s="37">
        <f t="shared" si="6"/>
        <v>1180308.07</v>
      </c>
      <c r="W44" s="37">
        <f t="shared" si="8"/>
        <v>1180308.07</v>
      </c>
    </row>
    <row r="45" spans="1:23" hidden="1">
      <c r="B45" s="9" t="s">
        <v>236</v>
      </c>
      <c r="C45" s="26">
        <f>35000/12</f>
        <v>2916.6666666666665</v>
      </c>
      <c r="D45" s="26">
        <f t="shared" si="9"/>
        <v>8040</v>
      </c>
      <c r="E45" s="26">
        <f t="shared" si="5"/>
        <v>5360</v>
      </c>
      <c r="F45" s="26">
        <f t="shared" si="5"/>
        <v>5360</v>
      </c>
      <c r="G45" s="26">
        <f t="shared" si="5"/>
        <v>5360</v>
      </c>
      <c r="H45" s="26">
        <f t="shared" si="5"/>
        <v>5360</v>
      </c>
      <c r="I45" s="26">
        <f t="shared" si="5"/>
        <v>5360</v>
      </c>
      <c r="J45" s="26">
        <f t="shared" si="5"/>
        <v>5360</v>
      </c>
      <c r="K45" s="26">
        <f t="shared" si="5"/>
        <v>5360</v>
      </c>
      <c r="L45" s="26">
        <f t="shared" si="5"/>
        <v>5360</v>
      </c>
      <c r="M45" s="26">
        <f t="shared" si="5"/>
        <v>8040</v>
      </c>
      <c r="N45" s="26">
        <f t="shared" si="5"/>
        <v>5360</v>
      </c>
      <c r="O45" s="37">
        <v>69680</v>
      </c>
      <c r="P45" s="37">
        <f t="shared" si="7"/>
        <v>2680</v>
      </c>
      <c r="T45" s="37">
        <f t="shared" si="6"/>
        <v>67236.666666666657</v>
      </c>
      <c r="W45" s="37">
        <f t="shared" si="8"/>
        <v>67236.666666666657</v>
      </c>
    </row>
    <row r="46" spans="1:23" hidden="1">
      <c r="B46" s="9" t="s">
        <v>169</v>
      </c>
      <c r="C46" s="26">
        <v>6842.31</v>
      </c>
      <c r="D46" s="26">
        <f t="shared" si="9"/>
        <v>10399.846153846154</v>
      </c>
      <c r="E46" s="26">
        <f t="shared" si="5"/>
        <v>6933.2307692307695</v>
      </c>
      <c r="F46" s="26">
        <f t="shared" si="5"/>
        <v>6933.2307692307695</v>
      </c>
      <c r="G46" s="26">
        <f t="shared" si="5"/>
        <v>6933.2307692307695</v>
      </c>
      <c r="H46" s="26">
        <f t="shared" si="5"/>
        <v>6933.2307692307695</v>
      </c>
      <c r="I46" s="26">
        <f t="shared" si="5"/>
        <v>6933.2307692307695</v>
      </c>
      <c r="J46" s="26">
        <f t="shared" si="5"/>
        <v>6933.2307692307695</v>
      </c>
      <c r="K46" s="26">
        <f t="shared" si="5"/>
        <v>6933.2307692307695</v>
      </c>
      <c r="L46" s="26">
        <f t="shared" si="5"/>
        <v>6933.2307692307695</v>
      </c>
      <c r="M46" s="26">
        <f t="shared" si="5"/>
        <v>10399.846153846154</v>
      </c>
      <c r="N46" s="26">
        <f t="shared" si="5"/>
        <v>6933.2307692307695</v>
      </c>
      <c r="O46" s="37">
        <v>90132</v>
      </c>
      <c r="P46" s="37">
        <f t="shared" si="7"/>
        <v>3466.6153846153848</v>
      </c>
      <c r="T46" s="37">
        <f t="shared" si="6"/>
        <v>90041.079230769217</v>
      </c>
      <c r="W46" s="37">
        <f t="shared" si="8"/>
        <v>90041.079230769217</v>
      </c>
    </row>
    <row r="47" spans="1:23" hidden="1">
      <c r="B47" s="9" t="s">
        <v>226</v>
      </c>
      <c r="C47" s="26">
        <v>5476.92</v>
      </c>
      <c r="D47" s="26">
        <f t="shared" si="9"/>
        <v>10176.923076923078</v>
      </c>
      <c r="E47" s="26">
        <f t="shared" si="5"/>
        <v>6784.6153846153848</v>
      </c>
      <c r="F47" s="26">
        <f t="shared" si="5"/>
        <v>6784.6153846153848</v>
      </c>
      <c r="G47" s="26">
        <f t="shared" si="5"/>
        <v>6784.6153846153848</v>
      </c>
      <c r="H47" s="26">
        <f t="shared" si="5"/>
        <v>6784.6153846153848</v>
      </c>
      <c r="I47" s="26">
        <f t="shared" si="5"/>
        <v>6784.6153846153848</v>
      </c>
      <c r="J47" s="26">
        <f t="shared" si="5"/>
        <v>6784.6153846153848</v>
      </c>
      <c r="K47" s="26">
        <f t="shared" si="5"/>
        <v>6784.6153846153848</v>
      </c>
      <c r="L47" s="26">
        <f t="shared" si="5"/>
        <v>6784.6153846153848</v>
      </c>
      <c r="M47" s="26">
        <f t="shared" si="5"/>
        <v>10176.923076923078</v>
      </c>
      <c r="N47" s="26">
        <f t="shared" si="5"/>
        <v>6784.6153846153848</v>
      </c>
      <c r="O47" s="37">
        <v>88200</v>
      </c>
      <c r="P47" s="37">
        <f t="shared" si="7"/>
        <v>3392.3076923076924</v>
      </c>
      <c r="T47" s="37">
        <f t="shared" si="6"/>
        <v>86892.304615384623</v>
      </c>
      <c r="W47" s="37">
        <f t="shared" si="8"/>
        <v>86892.304615384623</v>
      </c>
    </row>
    <row r="48" spans="1:23" hidden="1">
      <c r="B48" s="9" t="s">
        <v>227</v>
      </c>
      <c r="C48" s="26">
        <v>3807.69</v>
      </c>
      <c r="D48" s="26">
        <f t="shared" si="9"/>
        <v>6807.6923076923067</v>
      </c>
      <c r="E48" s="26">
        <f t="shared" si="5"/>
        <v>4538.4615384615381</v>
      </c>
      <c r="F48" s="26">
        <f t="shared" si="5"/>
        <v>4538.4615384615381</v>
      </c>
      <c r="G48" s="26">
        <f t="shared" si="5"/>
        <v>4538.4615384615381</v>
      </c>
      <c r="H48" s="26">
        <f t="shared" si="5"/>
        <v>4538.4615384615381</v>
      </c>
      <c r="I48" s="26">
        <f t="shared" si="5"/>
        <v>4538.4615384615381</v>
      </c>
      <c r="J48" s="26">
        <f t="shared" si="5"/>
        <v>4538.4615384615381</v>
      </c>
      <c r="K48" s="26">
        <f t="shared" si="5"/>
        <v>4538.4615384615381</v>
      </c>
      <c r="L48" s="26">
        <f t="shared" si="5"/>
        <v>4538.4615384615381</v>
      </c>
      <c r="M48" s="26">
        <f t="shared" si="5"/>
        <v>6807.6923076923067</v>
      </c>
      <c r="N48" s="26">
        <f t="shared" si="5"/>
        <v>4538.4615384615381</v>
      </c>
      <c r="O48" s="37">
        <v>59000</v>
      </c>
      <c r="P48" s="37">
        <f t="shared" si="7"/>
        <v>2269.2307692307691</v>
      </c>
      <c r="T48" s="37">
        <f t="shared" si="6"/>
        <v>58269.228461538463</v>
      </c>
      <c r="W48" s="37">
        <f t="shared" si="8"/>
        <v>58269.228461538463</v>
      </c>
    </row>
    <row r="49" spans="1:26" hidden="1">
      <c r="B49" s="9" t="s">
        <v>228</v>
      </c>
      <c r="C49" s="26">
        <v>2153.85</v>
      </c>
      <c r="D49" s="26">
        <f t="shared" si="9"/>
        <v>3360</v>
      </c>
      <c r="E49" s="26">
        <f t="shared" si="5"/>
        <v>2240</v>
      </c>
      <c r="F49" s="26">
        <f t="shared" si="5"/>
        <v>2240</v>
      </c>
      <c r="G49" s="26">
        <f t="shared" si="5"/>
        <v>2240</v>
      </c>
      <c r="H49" s="26">
        <f t="shared" si="5"/>
        <v>2240</v>
      </c>
      <c r="I49" s="26">
        <f t="shared" si="5"/>
        <v>2240</v>
      </c>
      <c r="J49" s="26">
        <f t="shared" si="5"/>
        <v>2240</v>
      </c>
      <c r="K49" s="26">
        <f t="shared" si="5"/>
        <v>2240</v>
      </c>
      <c r="L49" s="26">
        <f t="shared" si="5"/>
        <v>2240</v>
      </c>
      <c r="M49" s="26">
        <f t="shared" si="5"/>
        <v>3360</v>
      </c>
      <c r="N49" s="26">
        <f t="shared" si="5"/>
        <v>2240</v>
      </c>
      <c r="O49" s="37">
        <v>29120</v>
      </c>
      <c r="P49" s="37">
        <f t="shared" si="7"/>
        <v>1120</v>
      </c>
      <c r="T49" s="37">
        <f t="shared" si="6"/>
        <v>29033.85</v>
      </c>
      <c r="W49" s="37">
        <f t="shared" si="8"/>
        <v>29033.85</v>
      </c>
    </row>
    <row r="50" spans="1:26" hidden="1">
      <c r="B50" s="9" t="s">
        <v>30</v>
      </c>
      <c r="C50" s="26">
        <v>2000</v>
      </c>
      <c r="D50" s="26">
        <f t="shared" si="9"/>
        <v>3600</v>
      </c>
      <c r="E50" s="26">
        <f t="shared" si="5"/>
        <v>2400</v>
      </c>
      <c r="F50" s="26">
        <f t="shared" si="5"/>
        <v>2400</v>
      </c>
      <c r="G50" s="26">
        <f t="shared" si="5"/>
        <v>2400</v>
      </c>
      <c r="H50" s="26">
        <f t="shared" si="5"/>
        <v>2400</v>
      </c>
      <c r="I50" s="26">
        <f t="shared" si="5"/>
        <v>2400</v>
      </c>
      <c r="J50" s="26">
        <f t="shared" si="5"/>
        <v>2400</v>
      </c>
      <c r="K50" s="26">
        <f t="shared" si="5"/>
        <v>2400</v>
      </c>
      <c r="L50" s="26">
        <f t="shared" si="5"/>
        <v>2400</v>
      </c>
      <c r="M50" s="26">
        <f t="shared" si="5"/>
        <v>3600</v>
      </c>
      <c r="N50" s="26">
        <f t="shared" si="5"/>
        <v>2400</v>
      </c>
      <c r="O50" s="37">
        <v>31200</v>
      </c>
      <c r="P50" s="37">
        <f t="shared" si="7"/>
        <v>1200</v>
      </c>
      <c r="T50" s="37">
        <f t="shared" si="6"/>
        <v>30800</v>
      </c>
      <c r="W50" s="37">
        <f t="shared" si="8"/>
        <v>30800</v>
      </c>
    </row>
    <row r="51" spans="1:26" hidden="1">
      <c r="B51" s="9" t="s">
        <v>50</v>
      </c>
      <c r="C51" s="26">
        <v>321</v>
      </c>
      <c r="D51" s="26">
        <v>321</v>
      </c>
      <c r="E51" s="26">
        <v>321</v>
      </c>
      <c r="F51" s="26">
        <v>321</v>
      </c>
      <c r="G51" s="26">
        <v>321</v>
      </c>
      <c r="H51" s="26">
        <v>321</v>
      </c>
      <c r="I51" s="26">
        <v>321</v>
      </c>
      <c r="J51" s="26">
        <v>321</v>
      </c>
      <c r="K51" s="26">
        <v>321</v>
      </c>
      <c r="L51" s="26">
        <v>321</v>
      </c>
      <c r="M51" s="26">
        <v>321</v>
      </c>
      <c r="N51" s="26">
        <v>321</v>
      </c>
      <c r="O51" s="37">
        <f>SUM(C51:N51)</f>
        <v>3852</v>
      </c>
      <c r="Q51" s="9" t="s">
        <v>50</v>
      </c>
      <c r="T51" s="37">
        <f>SUM(C51:N51)</f>
        <v>3852</v>
      </c>
      <c r="W51" s="37">
        <f>SUM(C51:N51)</f>
        <v>3852</v>
      </c>
      <c r="X51">
        <v>3852</v>
      </c>
      <c r="Y51" s="37">
        <f>X51-SUM(C51+D51)</f>
        <v>3210</v>
      </c>
      <c r="Z51" s="37">
        <f>Y51/10</f>
        <v>321</v>
      </c>
    </row>
    <row r="52" spans="1:26" hidden="1">
      <c r="B52" s="9" t="s">
        <v>32</v>
      </c>
      <c r="C52" s="26">
        <v>3737.47</v>
      </c>
      <c r="D52" s="26">
        <f t="shared" ref="D52:N52" si="10">$O$52/12</f>
        <v>5632.4016666666676</v>
      </c>
      <c r="E52" s="26">
        <f t="shared" si="10"/>
        <v>5632.4016666666676</v>
      </c>
      <c r="F52" s="26">
        <f t="shared" si="10"/>
        <v>5632.4016666666676</v>
      </c>
      <c r="G52" s="26">
        <f t="shared" si="10"/>
        <v>5632.4016666666676</v>
      </c>
      <c r="H52" s="26">
        <f t="shared" si="10"/>
        <v>5632.4016666666676</v>
      </c>
      <c r="I52" s="26">
        <f t="shared" si="10"/>
        <v>5632.4016666666676</v>
      </c>
      <c r="J52" s="26">
        <f t="shared" si="10"/>
        <v>5632.4016666666676</v>
      </c>
      <c r="K52" s="26">
        <f t="shared" si="10"/>
        <v>5632.4016666666676</v>
      </c>
      <c r="L52" s="26">
        <f t="shared" si="10"/>
        <v>5632.4016666666676</v>
      </c>
      <c r="M52" s="26">
        <f t="shared" si="10"/>
        <v>5632.4016666666676</v>
      </c>
      <c r="N52" s="26">
        <f t="shared" si="10"/>
        <v>5632.4016666666676</v>
      </c>
      <c r="O52" s="37">
        <f>45615.82+4368+17605</f>
        <v>67588.820000000007</v>
      </c>
      <c r="Q52" s="37">
        <f>SUM(O36:O50)</f>
        <v>1992255.36</v>
      </c>
      <c r="T52" s="37">
        <f t="shared" si="6"/>
        <v>65693.888333333336</v>
      </c>
      <c r="W52" s="37">
        <f t="shared" si="8"/>
        <v>65693.888333333336</v>
      </c>
    </row>
    <row r="53" spans="1:26" hidden="1">
      <c r="B53" s="9" t="s">
        <v>33</v>
      </c>
      <c r="C53" s="26">
        <f>$O$53/12</f>
        <v>1000</v>
      </c>
      <c r="D53" s="26">
        <f t="shared" ref="D53:N53" si="11">$O$53/12</f>
        <v>1000</v>
      </c>
      <c r="E53" s="26">
        <f t="shared" si="11"/>
        <v>1000</v>
      </c>
      <c r="F53" s="26">
        <f t="shared" si="11"/>
        <v>1000</v>
      </c>
      <c r="G53" s="26">
        <f t="shared" si="11"/>
        <v>1000</v>
      </c>
      <c r="H53" s="26">
        <f t="shared" si="11"/>
        <v>1000</v>
      </c>
      <c r="I53" s="26">
        <f t="shared" si="11"/>
        <v>1000</v>
      </c>
      <c r="J53" s="26">
        <f t="shared" si="11"/>
        <v>1000</v>
      </c>
      <c r="K53" s="26">
        <f t="shared" si="11"/>
        <v>1000</v>
      </c>
      <c r="L53" s="26">
        <f t="shared" si="11"/>
        <v>1000</v>
      </c>
      <c r="M53" s="26">
        <f t="shared" si="11"/>
        <v>1000</v>
      </c>
      <c r="N53" s="26">
        <f t="shared" si="11"/>
        <v>1000</v>
      </c>
      <c r="O53" s="37">
        <v>12000</v>
      </c>
      <c r="T53" s="37">
        <f t="shared" si="6"/>
        <v>12000</v>
      </c>
      <c r="W53" s="37">
        <f t="shared" si="8"/>
        <v>12000</v>
      </c>
    </row>
    <row r="54" spans="1:26" hidden="1">
      <c r="B54" s="9" t="s">
        <v>34</v>
      </c>
      <c r="C54" s="5">
        <v>1251.93</v>
      </c>
      <c r="D54" s="5">
        <v>1525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7">
        <f t="shared" ref="O54:O74" si="12">SUM(C54:N54)</f>
        <v>2776.9300000000003</v>
      </c>
      <c r="T54" s="37">
        <f t="shared" si="6"/>
        <v>2776.9300000000003</v>
      </c>
      <c r="W54" s="37">
        <f t="shared" si="8"/>
        <v>2776.9300000000003</v>
      </c>
      <c r="X54" s="59" t="s">
        <v>257</v>
      </c>
      <c r="Y54" s="59" t="s">
        <v>255</v>
      </c>
      <c r="Z54" t="s">
        <v>92</v>
      </c>
    </row>
    <row r="55" spans="1:26" hidden="1">
      <c r="B55" s="9" t="s">
        <v>35</v>
      </c>
      <c r="C55" s="40">
        <v>18436</v>
      </c>
      <c r="D55" s="40">
        <f t="shared" ref="D55:N55" si="13">$O$55/12</f>
        <v>22312.399999999998</v>
      </c>
      <c r="E55" s="40">
        <f t="shared" si="13"/>
        <v>22312.399999999998</v>
      </c>
      <c r="F55" s="40">
        <f t="shared" si="13"/>
        <v>22312.399999999998</v>
      </c>
      <c r="G55" s="40">
        <f t="shared" si="13"/>
        <v>22312.399999999998</v>
      </c>
      <c r="H55" s="40">
        <f t="shared" si="13"/>
        <v>22312.399999999998</v>
      </c>
      <c r="I55" s="40">
        <f>22155+19618.07+4059</f>
        <v>45832.07</v>
      </c>
      <c r="J55" s="40">
        <v>22312</v>
      </c>
      <c r="K55" s="40">
        <f t="shared" si="13"/>
        <v>22312.399999999998</v>
      </c>
      <c r="L55" s="40">
        <f t="shared" si="13"/>
        <v>22312.399999999998</v>
      </c>
      <c r="M55" s="40">
        <f t="shared" si="13"/>
        <v>22312.399999999998</v>
      </c>
      <c r="N55" s="40">
        <f t="shared" si="13"/>
        <v>22312.399999999998</v>
      </c>
      <c r="O55" s="37">
        <v>267748.8</v>
      </c>
      <c r="T55" s="37">
        <f t="shared" si="6"/>
        <v>287391.67</v>
      </c>
      <c r="W55" s="37">
        <f t="shared" si="8"/>
        <v>287391.67</v>
      </c>
      <c r="X55" s="103" t="s">
        <v>94</v>
      </c>
      <c r="Y55" s="103" t="s">
        <v>256</v>
      </c>
      <c r="Z55" s="103" t="s">
        <v>92</v>
      </c>
    </row>
    <row r="56" spans="1:26">
      <c r="B56" s="9" t="s">
        <v>305</v>
      </c>
      <c r="C56" s="26">
        <f>9168.42+95.5+42549.45+145.28+3154+11977.54+10399.41+100.25+46045.93+17195.18+922.66+38.4+3260.11</f>
        <v>145052.12999999998</v>
      </c>
      <c r="D56" s="26">
        <f>11227.4+91.25+47836.09+894.63+942.04+159.12+1493.7+9736.47+88.05+44230.83+16269.35+12257.94+119+46392.66+7014.84-869.35+12150.57</f>
        <v>210034.59</v>
      </c>
      <c r="E56" s="26">
        <f>12714.09+109.35+53468.22+2859.41+28275.5+13619.21+118.35+56120.32+3088.86+2306+3647.77</f>
        <v>176327.08</v>
      </c>
      <c r="F56" s="26">
        <f>521.64+32.4+1655.93+13065.47+106+53888.7+333.25+18590.09+21186.69+13299.53+125.25+53505.28+5732.17+13936.52+178.62</f>
        <v>196157.53999999998</v>
      </c>
      <c r="G56" s="26">
        <f>13259.75+110.8+52908.98+5659.27+3314+12807.02+121.9+52637.68+5238.89+25703.55+3870.6</f>
        <v>175632.44</v>
      </c>
      <c r="H56" s="26">
        <f>12815.83+113+54506.24+3934.32+2496+13326.96+122.25+57197.95+2950.27+4892.43</f>
        <v>152355.24999999997</v>
      </c>
      <c r="I56" s="26">
        <f>12315.92+109.8+52753.8+2110.89+22155+13531.99+13535.33+14298.4+114.35+56237.88+4225.42+19618.07+4059+13772.04+13745.3+125.85+53978.4+4081.73-2982.99</f>
        <v>297786.18000000005</v>
      </c>
      <c r="J56" s="26">
        <f>14850.57+519.85+58599.05+4132.72+12921.17+127.15+55429.92+1349.38+2520.22+949.73</f>
        <v>151399.76</v>
      </c>
      <c r="K56" s="26">
        <f>SUM(K36:K55)</f>
        <v>182516.21397435898</v>
      </c>
      <c r="L56" s="26">
        <f>SUM(L36:L55)</f>
        <v>182516.21397435898</v>
      </c>
      <c r="M56" s="26">
        <f>SUM(M36:M55)</f>
        <v>259141.42012820512</v>
      </c>
      <c r="N56" s="26">
        <f>SUM(N36:N55)</f>
        <v>182516.21397435898</v>
      </c>
      <c r="O56" s="81">
        <f t="shared" si="12"/>
        <v>2311435.032051282</v>
      </c>
      <c r="T56" s="37">
        <f t="shared" si="6"/>
        <v>2311435.032051282</v>
      </c>
      <c r="W56" s="37">
        <f t="shared" si="8"/>
        <v>2311435.032051282</v>
      </c>
      <c r="X56">
        <v>2322679.9</v>
      </c>
      <c r="Y56" s="37">
        <f>X56-SUM(C56+D56)</f>
        <v>1967593.18</v>
      </c>
      <c r="Z56" s="37" t="s">
        <v>92</v>
      </c>
    </row>
    <row r="57" spans="1:26">
      <c r="B57" s="9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37"/>
      <c r="T57" s="37">
        <f t="shared" si="6"/>
        <v>0</v>
      </c>
      <c r="W57" s="37">
        <f t="shared" si="8"/>
        <v>0</v>
      </c>
    </row>
    <row r="58" spans="1:26">
      <c r="A58" s="8"/>
      <c r="B58" s="41" t="s">
        <v>36</v>
      </c>
      <c r="C58" s="26">
        <f>207+4586.96</f>
        <v>4793.96</v>
      </c>
      <c r="D58" s="26">
        <f>207+1723+914+3129.16+96.96+1280.75+529.37</f>
        <v>7880.24</v>
      </c>
      <c r="E58" s="26">
        <f>207+2025.28+1262.97+181.81+2364.2+239.88</f>
        <v>6281.14</v>
      </c>
      <c r="F58" s="26">
        <f>103.91+127+207+335.83+2626.04</f>
        <v>3399.7799999999997</v>
      </c>
      <c r="G58" s="26">
        <f>207+260.83</f>
        <v>467.83</v>
      </c>
      <c r="H58" s="26">
        <v>207</v>
      </c>
      <c r="I58" s="26">
        <f>467.83+260.83+297.28</f>
        <v>1025.94</v>
      </c>
      <c r="J58" s="26">
        <f>207+260.83</f>
        <v>467.83</v>
      </c>
      <c r="K58" s="26">
        <v>1800</v>
      </c>
      <c r="L58" s="26">
        <v>207</v>
      </c>
      <c r="M58" s="26">
        <v>207</v>
      </c>
      <c r="N58" s="26">
        <v>1800</v>
      </c>
      <c r="O58" s="37">
        <f t="shared" si="12"/>
        <v>28537.72</v>
      </c>
      <c r="Q58" s="41" t="s">
        <v>36</v>
      </c>
      <c r="T58" s="37">
        <f t="shared" si="6"/>
        <v>28537.72</v>
      </c>
      <c r="W58" s="37">
        <f t="shared" si="8"/>
        <v>28537.72</v>
      </c>
      <c r="X58">
        <v>36849</v>
      </c>
      <c r="Y58" s="37">
        <f t="shared" ref="Y58:Y63" si="14">X58-SUM(C58:N58)</f>
        <v>8311.2799999999988</v>
      </c>
      <c r="Z58" s="37"/>
    </row>
    <row r="59" spans="1:26">
      <c r="A59" s="8"/>
      <c r="B59" s="41" t="s">
        <v>37</v>
      </c>
      <c r="C59" s="26">
        <v>467.5</v>
      </c>
      <c r="D59" s="26">
        <v>0</v>
      </c>
      <c r="E59" s="26">
        <v>0</v>
      </c>
      <c r="F59" s="26">
        <f>342.94+55+128.13</f>
        <v>526.06999999999994</v>
      </c>
      <c r="G59" s="26">
        <v>0</v>
      </c>
      <c r="H59" s="26">
        <v>0</v>
      </c>
      <c r="I59" s="26">
        <v>0</v>
      </c>
      <c r="J59" s="26">
        <v>0</v>
      </c>
      <c r="K59" s="26">
        <v>500</v>
      </c>
      <c r="L59" s="26">
        <v>0</v>
      </c>
      <c r="M59" s="26">
        <v>0</v>
      </c>
      <c r="N59" s="26">
        <v>0</v>
      </c>
      <c r="O59" s="37">
        <f t="shared" si="12"/>
        <v>1493.57</v>
      </c>
      <c r="Q59" s="41" t="s">
        <v>37</v>
      </c>
      <c r="T59" s="37">
        <f t="shared" si="6"/>
        <v>1493.57</v>
      </c>
      <c r="W59" s="37">
        <f t="shared" si="8"/>
        <v>1493.57</v>
      </c>
      <c r="X59">
        <v>1500</v>
      </c>
      <c r="Y59" s="37">
        <f t="shared" si="14"/>
        <v>6.4300000000000637</v>
      </c>
      <c r="Z59" s="37"/>
    </row>
    <row r="60" spans="1:26">
      <c r="A60" s="8"/>
      <c r="B60" s="41" t="s">
        <v>38</v>
      </c>
      <c r="C60" s="105">
        <f>150+1242.98+264.56+77.5+495+47.73+776.88</f>
        <v>3054.65</v>
      </c>
      <c r="D60" s="105">
        <f>720+189.2+495+264.56+848.72+950+25.06+571.64+275.07+275+305.61+437.02+265+123+67.85</f>
        <v>5812.73</v>
      </c>
      <c r="E60" s="105">
        <f>3245+25.94+234+500+6900+264.56+240+155+124.95+220+156.48+140+315+825.66</f>
        <v>13346.59</v>
      </c>
      <c r="F60" s="105">
        <f>82+495+136.99+236.98+77.5+264.56+118.96+266+156.48+1068.61</f>
        <v>2903.08</v>
      </c>
      <c r="G60" s="105">
        <f>264.56+569.3+77.5+890+120+205+166.48+495</f>
        <v>2787.8399999999997</v>
      </c>
      <c r="H60" s="105">
        <f>264.56+1330.13+265.44+426.53+358+77.5+456.92</f>
        <v>3179.08</v>
      </c>
      <c r="I60" s="105">
        <f>1376+267.68+1850+77.5+75+1165.05+1053.73+140+874+106.99+293+60.9+1850</f>
        <v>9189.85</v>
      </c>
      <c r="J60" s="105">
        <f>460+1037+493.32+77.5+267.68+2386+343.68+82.95+283+616.25</f>
        <v>6047.38</v>
      </c>
      <c r="K60" s="105">
        <v>3000</v>
      </c>
      <c r="L60" s="105">
        <v>3000</v>
      </c>
      <c r="M60" s="105">
        <v>3000</v>
      </c>
      <c r="N60" s="105">
        <v>3000</v>
      </c>
      <c r="O60" s="37">
        <f t="shared" si="12"/>
        <v>58321.2</v>
      </c>
      <c r="Q60" s="41" t="s">
        <v>38</v>
      </c>
      <c r="T60" s="37">
        <f t="shared" si="6"/>
        <v>58321.2</v>
      </c>
      <c r="W60" s="37">
        <f t="shared" si="8"/>
        <v>58321.2</v>
      </c>
      <c r="X60" s="107">
        <v>36000</v>
      </c>
      <c r="Y60" s="108">
        <f t="shared" si="14"/>
        <v>-22321.199999999997</v>
      </c>
      <c r="Z60" s="37" t="s">
        <v>261</v>
      </c>
    </row>
    <row r="61" spans="1:26">
      <c r="A61" s="8"/>
      <c r="B61" s="41" t="s">
        <v>100</v>
      </c>
      <c r="C61" s="26">
        <f>7339.7+200</f>
        <v>7539.7</v>
      </c>
      <c r="D61" s="26">
        <f>38435.1+300</f>
        <v>38735.1</v>
      </c>
      <c r="E61" s="26">
        <f>1485+3153.6+5681</f>
        <v>10319.6</v>
      </c>
      <c r="F61" s="26">
        <f>2125+1287.77</f>
        <v>3412.77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37">
        <f t="shared" si="12"/>
        <v>60007.169999999991</v>
      </c>
      <c r="Q61" s="41" t="s">
        <v>100</v>
      </c>
      <c r="T61" s="37">
        <f t="shared" si="6"/>
        <v>60007.169999999991</v>
      </c>
      <c r="W61" s="37">
        <f t="shared" si="8"/>
        <v>60007.169999999991</v>
      </c>
      <c r="X61">
        <v>70000</v>
      </c>
      <c r="Y61" s="37">
        <f t="shared" si="14"/>
        <v>9992.830000000009</v>
      </c>
      <c r="Z61" s="37"/>
    </row>
    <row r="62" spans="1:26">
      <c r="A62" s="8"/>
      <c r="B62" s="41" t="s">
        <v>39</v>
      </c>
      <c r="C62" s="26">
        <f>2227.21+34.17</f>
        <v>2261.38</v>
      </c>
      <c r="D62" s="26">
        <f>1827.61+13.1+1932.5</f>
        <v>3773.21</v>
      </c>
      <c r="E62" s="26">
        <f>2278.81+18.17</f>
        <v>2296.98</v>
      </c>
      <c r="F62" s="26">
        <f>2824.72+41.19</f>
        <v>2865.91</v>
      </c>
      <c r="G62" s="26">
        <f>2196.7+128.42</f>
        <v>2325.12</v>
      </c>
      <c r="H62" s="26">
        <f>1580.21+651.31</f>
        <v>2231.52</v>
      </c>
      <c r="I62" s="26">
        <f>1522.2+1102.39</f>
        <v>2624.59</v>
      </c>
      <c r="J62" s="26">
        <f>1964.4+1610.01</f>
        <v>3574.41</v>
      </c>
      <c r="K62" s="26">
        <v>5000</v>
      </c>
      <c r="L62" s="26">
        <v>4000</v>
      </c>
      <c r="M62" s="26">
        <v>3000</v>
      </c>
      <c r="N62" s="26">
        <v>3000</v>
      </c>
      <c r="O62" s="37">
        <f t="shared" si="12"/>
        <v>36953.119999999995</v>
      </c>
      <c r="Q62" s="41" t="s">
        <v>39</v>
      </c>
      <c r="T62" s="37">
        <f t="shared" si="6"/>
        <v>36953.119999999995</v>
      </c>
      <c r="W62" s="37">
        <f t="shared" si="8"/>
        <v>36953.119999999995</v>
      </c>
      <c r="X62">
        <v>43000</v>
      </c>
      <c r="Y62" s="37">
        <f t="shared" si="14"/>
        <v>6046.8800000000047</v>
      </c>
      <c r="Z62" s="37"/>
    </row>
    <row r="63" spans="1:26">
      <c r="A63" s="8"/>
      <c r="B63" s="9" t="s">
        <v>149</v>
      </c>
      <c r="C63" s="5">
        <f t="shared" ref="C63:J63" si="15">11104.68+3536+5325</f>
        <v>19965.68</v>
      </c>
      <c r="D63" s="5">
        <f t="shared" si="15"/>
        <v>19965.68</v>
      </c>
      <c r="E63" s="5">
        <f t="shared" si="15"/>
        <v>19965.68</v>
      </c>
      <c r="F63" s="5">
        <f t="shared" si="15"/>
        <v>19965.68</v>
      </c>
      <c r="G63" s="5">
        <f t="shared" si="15"/>
        <v>19965.68</v>
      </c>
      <c r="H63" s="5">
        <f t="shared" si="15"/>
        <v>19965.68</v>
      </c>
      <c r="I63" s="5">
        <f t="shared" si="15"/>
        <v>19965.68</v>
      </c>
      <c r="J63" s="5">
        <f t="shared" si="15"/>
        <v>19965.68</v>
      </c>
      <c r="K63" s="5">
        <v>19925</v>
      </c>
      <c r="L63" s="5">
        <v>19925</v>
      </c>
      <c r="M63" s="5">
        <v>19925</v>
      </c>
      <c r="N63" s="5">
        <v>19925</v>
      </c>
      <c r="O63" s="37">
        <f t="shared" si="12"/>
        <v>239425.43999999997</v>
      </c>
      <c r="Q63" s="9" t="s">
        <v>149</v>
      </c>
      <c r="T63" s="37">
        <f t="shared" si="6"/>
        <v>239425.43999999997</v>
      </c>
      <c r="W63" s="37">
        <f t="shared" si="8"/>
        <v>239425.43999999997</v>
      </c>
      <c r="X63">
        <v>239100</v>
      </c>
      <c r="Y63" s="37">
        <f t="shared" si="14"/>
        <v>-325.43999999997322</v>
      </c>
      <c r="Z63" s="37"/>
    </row>
    <row r="64" spans="1:26" hidden="1">
      <c r="B64" s="9" t="s">
        <v>41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37">
        <f t="shared" si="12"/>
        <v>0</v>
      </c>
      <c r="Q64" s="9" t="s">
        <v>41</v>
      </c>
      <c r="T64" s="37">
        <f t="shared" si="6"/>
        <v>0</v>
      </c>
      <c r="W64" s="37">
        <f t="shared" si="8"/>
        <v>0</v>
      </c>
      <c r="Y64" s="37">
        <f t="shared" ref="Y64:Y69" si="16">X64-SUM(C64+D64)</f>
        <v>0</v>
      </c>
      <c r="Z64" s="37"/>
    </row>
    <row r="65" spans="2:26" hidden="1">
      <c r="B65" s="9" t="s">
        <v>42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37">
        <f t="shared" si="12"/>
        <v>0</v>
      </c>
      <c r="Q65" s="9" t="s">
        <v>42</v>
      </c>
      <c r="T65" s="37">
        <f t="shared" si="6"/>
        <v>0</v>
      </c>
      <c r="W65" s="37">
        <f t="shared" si="8"/>
        <v>0</v>
      </c>
      <c r="Y65" s="37">
        <f t="shared" si="16"/>
        <v>0</v>
      </c>
      <c r="Z65" s="37"/>
    </row>
    <row r="66" spans="2:26" hidden="1">
      <c r="B66" s="9" t="s">
        <v>43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7">
        <f t="shared" si="12"/>
        <v>0</v>
      </c>
      <c r="Q66" s="9" t="s">
        <v>43</v>
      </c>
      <c r="T66" s="37">
        <f t="shared" si="6"/>
        <v>0</v>
      </c>
      <c r="W66" s="37">
        <f t="shared" si="8"/>
        <v>0</v>
      </c>
      <c r="Y66" s="37">
        <f t="shared" si="16"/>
        <v>0</v>
      </c>
      <c r="Z66" s="37"/>
    </row>
    <row r="67" spans="2:26" hidden="1">
      <c r="B67" s="9" t="s">
        <v>44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7">
        <f t="shared" si="12"/>
        <v>0</v>
      </c>
      <c r="Q67" s="9" t="s">
        <v>44</v>
      </c>
      <c r="T67" s="37">
        <f t="shared" si="6"/>
        <v>0</v>
      </c>
      <c r="W67" s="37">
        <f t="shared" si="8"/>
        <v>0</v>
      </c>
      <c r="Y67" s="37">
        <f t="shared" si="16"/>
        <v>0</v>
      </c>
      <c r="Z67" s="37"/>
    </row>
    <row r="68" spans="2:26" hidden="1">
      <c r="B68" s="9" t="s">
        <v>45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37">
        <f t="shared" si="12"/>
        <v>0</v>
      </c>
      <c r="Q68" s="9" t="s">
        <v>45</v>
      </c>
      <c r="T68" s="37">
        <f t="shared" si="6"/>
        <v>0</v>
      </c>
      <c r="W68" s="37">
        <f t="shared" si="8"/>
        <v>0</v>
      </c>
      <c r="Y68" s="37">
        <f t="shared" si="16"/>
        <v>0</v>
      </c>
      <c r="Z68" s="37"/>
    </row>
    <row r="69" spans="2:26" hidden="1">
      <c r="B69" s="9" t="s">
        <v>46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7">
        <f t="shared" si="12"/>
        <v>0</v>
      </c>
      <c r="Q69" s="9" t="s">
        <v>46</v>
      </c>
      <c r="T69" s="37">
        <f t="shared" si="6"/>
        <v>0</v>
      </c>
      <c r="W69" s="37">
        <f t="shared" si="8"/>
        <v>0</v>
      </c>
      <c r="Y69" s="37">
        <f t="shared" si="16"/>
        <v>0</v>
      </c>
      <c r="Z69" s="37"/>
    </row>
    <row r="70" spans="2:26">
      <c r="B70" s="9" t="s">
        <v>47</v>
      </c>
      <c r="C70" s="26">
        <v>0</v>
      </c>
      <c r="D70" s="26">
        <v>0</v>
      </c>
      <c r="E70" s="26">
        <v>0</v>
      </c>
      <c r="F70" s="26">
        <f>3500+3000</f>
        <v>6500</v>
      </c>
      <c r="G70" s="26">
        <v>1500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37">
        <f t="shared" si="12"/>
        <v>8000</v>
      </c>
      <c r="Q70" s="9" t="s">
        <v>47</v>
      </c>
      <c r="T70" s="37">
        <f t="shared" si="6"/>
        <v>8000</v>
      </c>
      <c r="W70" s="37">
        <f t="shared" si="8"/>
        <v>8000</v>
      </c>
      <c r="X70">
        <v>10000</v>
      </c>
      <c r="Y70" s="37">
        <f>X70-SUM(C70:N70)</f>
        <v>2000</v>
      </c>
      <c r="Z70" s="37"/>
    </row>
    <row r="71" spans="2:26">
      <c r="B71" s="9" t="s">
        <v>48</v>
      </c>
      <c r="C71" s="26">
        <v>1200</v>
      </c>
      <c r="D71" s="26">
        <f>600</f>
        <v>600</v>
      </c>
      <c r="E71" s="26">
        <f>2900+600</f>
        <v>3500</v>
      </c>
      <c r="F71" s="26">
        <f>600+600</f>
        <v>1200</v>
      </c>
      <c r="G71" s="26">
        <f>600+600</f>
        <v>1200</v>
      </c>
      <c r="H71" s="26">
        <f>600+600</f>
        <v>1200</v>
      </c>
      <c r="I71" s="26">
        <f>600+400</f>
        <v>1000</v>
      </c>
      <c r="J71" s="26">
        <f>200+600</f>
        <v>800</v>
      </c>
      <c r="K71" s="26">
        <v>1300</v>
      </c>
      <c r="L71" s="26">
        <v>1300</v>
      </c>
      <c r="M71" s="26">
        <v>1300</v>
      </c>
      <c r="N71" s="26">
        <v>1300</v>
      </c>
      <c r="O71" s="37">
        <f t="shared" si="12"/>
        <v>15900</v>
      </c>
      <c r="Q71" s="9" t="s">
        <v>48</v>
      </c>
      <c r="T71" s="37">
        <f t="shared" si="6"/>
        <v>15900</v>
      </c>
      <c r="W71" s="37">
        <f t="shared" si="8"/>
        <v>15900</v>
      </c>
      <c r="X71">
        <v>15600</v>
      </c>
      <c r="Y71" s="37">
        <f t="shared" ref="Y71:Y114" si="17">X71-SUM(C71:N71)</f>
        <v>-300</v>
      </c>
      <c r="Z71" s="37"/>
    </row>
    <row r="72" spans="2:26">
      <c r="B72" s="9" t="s">
        <v>49</v>
      </c>
      <c r="C72" s="26">
        <f>300+3900+682.5+137.5</f>
        <v>5020</v>
      </c>
      <c r="D72" s="26">
        <v>400</v>
      </c>
      <c r="E72" s="26">
        <f>400+2500+2535+624</f>
        <v>6059</v>
      </c>
      <c r="F72" s="26">
        <f>58.5+1384.5+800+400</f>
        <v>2643</v>
      </c>
      <c r="G72" s="26">
        <f>400+9712.36</f>
        <v>10112.36</v>
      </c>
      <c r="H72" s="26">
        <f>400+6642.69+3589.5+19402.5</f>
        <v>30034.69</v>
      </c>
      <c r="I72" s="26">
        <f>400+3276</f>
        <v>3676</v>
      </c>
      <c r="J72" s="26">
        <f>400+2425</f>
        <v>2825</v>
      </c>
      <c r="K72" s="26">
        <v>10000</v>
      </c>
      <c r="L72" s="26">
        <v>10000</v>
      </c>
      <c r="M72" s="26">
        <v>10000</v>
      </c>
      <c r="N72" s="26">
        <v>10000</v>
      </c>
      <c r="O72" s="37">
        <f t="shared" si="12"/>
        <v>100770.05</v>
      </c>
      <c r="Q72" s="9" t="s">
        <v>49</v>
      </c>
      <c r="T72" s="37">
        <f t="shared" si="6"/>
        <v>100770.05</v>
      </c>
      <c r="W72" s="37">
        <f t="shared" si="8"/>
        <v>100770.05</v>
      </c>
      <c r="X72">
        <v>120000</v>
      </c>
      <c r="Y72" s="37">
        <f t="shared" si="17"/>
        <v>19229.949999999997</v>
      </c>
      <c r="Z72" s="37"/>
    </row>
    <row r="73" spans="2:26" hidden="1">
      <c r="B73" s="9" t="s">
        <v>51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37">
        <f t="shared" si="12"/>
        <v>0</v>
      </c>
      <c r="Q73" s="9" t="s">
        <v>51</v>
      </c>
      <c r="T73" s="37">
        <f t="shared" si="6"/>
        <v>0</v>
      </c>
      <c r="W73" s="37">
        <f t="shared" si="8"/>
        <v>0</v>
      </c>
      <c r="Y73" s="37">
        <f t="shared" si="17"/>
        <v>0</v>
      </c>
      <c r="Z73" s="37"/>
    </row>
    <row r="74" spans="2:26">
      <c r="B74" s="9" t="s">
        <v>52</v>
      </c>
      <c r="C74" s="26">
        <v>0</v>
      </c>
      <c r="D74" s="26">
        <v>371.25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1000</v>
      </c>
      <c r="L74" s="26">
        <v>0</v>
      </c>
      <c r="M74" s="26">
        <v>0</v>
      </c>
      <c r="N74" s="26">
        <v>0</v>
      </c>
      <c r="O74" s="37">
        <f t="shared" si="12"/>
        <v>1371.25</v>
      </c>
      <c r="Q74" s="9" t="s">
        <v>52</v>
      </c>
      <c r="T74" s="37">
        <f t="shared" si="6"/>
        <v>1371.25</v>
      </c>
      <c r="W74" s="37">
        <f t="shared" si="8"/>
        <v>1371.25</v>
      </c>
      <c r="X74">
        <v>5000</v>
      </c>
      <c r="Y74" s="37">
        <f t="shared" si="17"/>
        <v>3628.75</v>
      </c>
      <c r="Z74" s="37"/>
    </row>
    <row r="75" spans="2:26">
      <c r="B75" s="9" t="s">
        <v>53</v>
      </c>
      <c r="C75" s="26">
        <v>0</v>
      </c>
      <c r="D75" s="26">
        <v>0</v>
      </c>
      <c r="E75" s="26">
        <v>3002</v>
      </c>
      <c r="F75" s="26">
        <v>128</v>
      </c>
      <c r="G75" s="26">
        <v>0</v>
      </c>
      <c r="H75" s="26">
        <v>0</v>
      </c>
      <c r="I75" s="26">
        <v>4000</v>
      </c>
      <c r="J75" s="26">
        <v>79</v>
      </c>
      <c r="K75" s="26">
        <v>0</v>
      </c>
      <c r="L75" s="26">
        <v>0</v>
      </c>
      <c r="M75" s="26">
        <v>0</v>
      </c>
      <c r="N75" s="26">
        <v>0</v>
      </c>
      <c r="O75" s="37">
        <f t="shared" ref="O75:O107" si="18">SUM(C75:N75)</f>
        <v>7209</v>
      </c>
      <c r="Q75" s="9" t="s">
        <v>53</v>
      </c>
      <c r="T75" s="37">
        <f t="shared" si="6"/>
        <v>7209</v>
      </c>
      <c r="W75" s="37">
        <f t="shared" si="8"/>
        <v>7209</v>
      </c>
      <c r="X75">
        <v>6000</v>
      </c>
      <c r="Y75" s="37">
        <f t="shared" si="17"/>
        <v>-1209</v>
      </c>
      <c r="Z75" s="37"/>
    </row>
    <row r="76" spans="2:26">
      <c r="B76" s="9" t="s">
        <v>54</v>
      </c>
      <c r="C76" s="26">
        <f>1715.19+179.94+63.86</f>
        <v>1958.99</v>
      </c>
      <c r="D76" s="26">
        <f>27.3+968.51+60.03+243.35+582.2+21.92+156.24+443.54+185.51</f>
        <v>2688.6000000000004</v>
      </c>
      <c r="E76" s="26">
        <f>466.64+465.13+87.45+730.87+518.16+1400.6+95.83</f>
        <v>3764.68</v>
      </c>
      <c r="F76" s="26">
        <f>70.83+100+1019.73</f>
        <v>1190.56</v>
      </c>
      <c r="G76" s="26">
        <f>125+22.25+12.88</f>
        <v>160.13</v>
      </c>
      <c r="H76" s="26">
        <f>32.68+66.44+59.17+19.05+34.68+1266.38</f>
        <v>1478.4</v>
      </c>
      <c r="I76" s="26">
        <f>31.49+1795.32+74.76</f>
        <v>1901.57</v>
      </c>
      <c r="J76" s="26">
        <f>57.76+53.61+495.64+8.32+2927.23-104.1</f>
        <v>3438.46</v>
      </c>
      <c r="K76" s="26">
        <v>1000</v>
      </c>
      <c r="L76" s="26">
        <v>1000</v>
      </c>
      <c r="M76" s="26">
        <v>1000</v>
      </c>
      <c r="N76" s="26">
        <v>1000</v>
      </c>
      <c r="O76" s="37">
        <f t="shared" si="18"/>
        <v>20581.39</v>
      </c>
      <c r="Q76" s="9" t="s">
        <v>54</v>
      </c>
      <c r="T76" s="37">
        <f t="shared" si="6"/>
        <v>20581.39</v>
      </c>
      <c r="W76" s="37">
        <f t="shared" si="8"/>
        <v>20581.39</v>
      </c>
      <c r="X76">
        <v>17000</v>
      </c>
      <c r="Y76" s="37">
        <f t="shared" si="17"/>
        <v>-3581.3899999999994</v>
      </c>
      <c r="Z76" s="37" t="s">
        <v>262</v>
      </c>
    </row>
    <row r="77" spans="2:26">
      <c r="B77" s="9" t="s">
        <v>55</v>
      </c>
      <c r="C77" s="26">
        <f>559.59+199.15</f>
        <v>758.74</v>
      </c>
      <c r="D77" s="26">
        <f>199.15+822.29+562.43</f>
        <v>1583.87</v>
      </c>
      <c r="E77" s="26">
        <f>199.22</f>
        <v>199.22</v>
      </c>
      <c r="F77" s="26">
        <f>683.98+199.56+100</f>
        <v>983.54</v>
      </c>
      <c r="G77" s="26">
        <f>688.36+199.56</f>
        <v>887.92000000000007</v>
      </c>
      <c r="H77" s="26">
        <f>682.23+199.56</f>
        <v>881.79</v>
      </c>
      <c r="I77" s="26">
        <f>687.35+199.42+689.66</f>
        <v>1576.4299999999998</v>
      </c>
      <c r="J77" s="26">
        <f>199.42</f>
        <v>199.42</v>
      </c>
      <c r="K77" s="26">
        <v>800</v>
      </c>
      <c r="L77" s="26">
        <v>800</v>
      </c>
      <c r="M77" s="26">
        <v>800</v>
      </c>
      <c r="N77" s="26">
        <v>800</v>
      </c>
      <c r="O77" s="37">
        <f t="shared" si="18"/>
        <v>10270.929999999998</v>
      </c>
      <c r="Q77" s="9" t="s">
        <v>55</v>
      </c>
      <c r="T77" s="37">
        <f t="shared" si="6"/>
        <v>10270.929999999998</v>
      </c>
      <c r="W77" s="37">
        <f t="shared" si="8"/>
        <v>10270.929999999998</v>
      </c>
      <c r="X77">
        <v>9600</v>
      </c>
      <c r="Y77" s="37">
        <f t="shared" si="17"/>
        <v>-670.92999999999847</v>
      </c>
      <c r="Z77" s="37"/>
    </row>
    <row r="78" spans="2:26" hidden="1">
      <c r="B78" s="9" t="s">
        <v>56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37">
        <f t="shared" si="18"/>
        <v>0</v>
      </c>
      <c r="Q78" s="9" t="s">
        <v>56</v>
      </c>
      <c r="T78" s="37">
        <f t="shared" si="6"/>
        <v>0</v>
      </c>
      <c r="W78" s="37">
        <f t="shared" si="8"/>
        <v>0</v>
      </c>
      <c r="Y78" s="37">
        <f t="shared" si="17"/>
        <v>0</v>
      </c>
      <c r="Z78" s="37"/>
    </row>
    <row r="79" spans="2:26">
      <c r="B79" s="9" t="s">
        <v>57</v>
      </c>
      <c r="C79" s="75">
        <v>605.9</v>
      </c>
      <c r="D79" s="26">
        <f>65.5+30.3+11.5+145.73</f>
        <v>253.02999999999997</v>
      </c>
      <c r="E79" s="26">
        <f>36.75+2.5+5.75+1117.51</f>
        <v>1162.51</v>
      </c>
      <c r="F79" s="26">
        <f>13.85+28.32+147.1</f>
        <v>189.26999999999998</v>
      </c>
      <c r="G79" s="26">
        <v>58.53</v>
      </c>
      <c r="H79" s="26">
        <f>49.87+120.25</f>
        <v>170.12</v>
      </c>
      <c r="I79" s="26">
        <f>30.7+147.5</f>
        <v>178.2</v>
      </c>
      <c r="J79" s="26">
        <f>410.09+79.2</f>
        <v>489.28999999999996</v>
      </c>
      <c r="K79" s="26">
        <v>400</v>
      </c>
      <c r="L79" s="26">
        <v>400</v>
      </c>
      <c r="M79" s="26">
        <v>400</v>
      </c>
      <c r="N79" s="26">
        <v>400</v>
      </c>
      <c r="O79" s="37">
        <f t="shared" si="18"/>
        <v>4706.8500000000004</v>
      </c>
      <c r="Q79" s="9" t="s">
        <v>57</v>
      </c>
      <c r="T79" s="37">
        <f t="shared" si="6"/>
        <v>4706.8500000000004</v>
      </c>
      <c r="W79" s="37">
        <f t="shared" si="8"/>
        <v>4706.8500000000004</v>
      </c>
      <c r="X79">
        <v>5000</v>
      </c>
      <c r="Y79" s="37">
        <f t="shared" si="17"/>
        <v>293.14999999999964</v>
      </c>
      <c r="Z79" s="37"/>
    </row>
    <row r="80" spans="2:26" hidden="1">
      <c r="B80" s="9" t="s">
        <v>58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37">
        <f t="shared" si="18"/>
        <v>0</v>
      </c>
      <c r="Q80" s="9" t="s">
        <v>58</v>
      </c>
      <c r="T80" s="37">
        <f t="shared" si="6"/>
        <v>0</v>
      </c>
      <c r="W80" s="37">
        <f t="shared" si="8"/>
        <v>0</v>
      </c>
      <c r="Y80" s="37">
        <f t="shared" si="17"/>
        <v>0</v>
      </c>
      <c r="Z80" s="37"/>
    </row>
    <row r="81" spans="2:26" hidden="1">
      <c r="B81" s="9" t="s">
        <v>59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37">
        <f t="shared" si="18"/>
        <v>0</v>
      </c>
      <c r="Q81" s="9" t="s">
        <v>59</v>
      </c>
      <c r="T81" s="37">
        <f t="shared" si="6"/>
        <v>0</v>
      </c>
      <c r="W81" s="37">
        <f t="shared" si="8"/>
        <v>0</v>
      </c>
      <c r="Y81" s="37">
        <f t="shared" si="17"/>
        <v>0</v>
      </c>
      <c r="Z81" s="37"/>
    </row>
    <row r="82" spans="2:26">
      <c r="B82" s="9" t="s">
        <v>60</v>
      </c>
      <c r="C82" s="26">
        <v>0</v>
      </c>
      <c r="D82" s="26">
        <v>845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823.98</v>
      </c>
      <c r="K82" s="26">
        <v>2000</v>
      </c>
      <c r="L82" s="26">
        <v>0</v>
      </c>
      <c r="M82" s="26">
        <v>0</v>
      </c>
      <c r="N82" s="26">
        <v>0</v>
      </c>
      <c r="O82" s="37">
        <f t="shared" si="18"/>
        <v>3668.98</v>
      </c>
      <c r="Q82" s="9" t="s">
        <v>60</v>
      </c>
      <c r="T82" s="37">
        <f t="shared" si="6"/>
        <v>3668.98</v>
      </c>
      <c r="W82" s="37">
        <f t="shared" si="8"/>
        <v>3668.98</v>
      </c>
      <c r="X82">
        <v>6000</v>
      </c>
      <c r="Y82" s="37">
        <f t="shared" si="17"/>
        <v>2331.02</v>
      </c>
      <c r="Z82" s="37"/>
    </row>
    <row r="83" spans="2:26" hidden="1">
      <c r="B83" s="9" t="s">
        <v>61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37">
        <f t="shared" si="18"/>
        <v>0</v>
      </c>
      <c r="Q83" s="9" t="s">
        <v>61</v>
      </c>
      <c r="T83" s="37">
        <f t="shared" si="6"/>
        <v>0</v>
      </c>
      <c r="W83" s="37">
        <f t="shared" si="8"/>
        <v>0</v>
      </c>
      <c r="Y83" s="37">
        <f t="shared" si="17"/>
        <v>0</v>
      </c>
      <c r="Z83" s="37"/>
    </row>
    <row r="84" spans="2:26" hidden="1">
      <c r="B84" s="9" t="s">
        <v>62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37">
        <f t="shared" si="18"/>
        <v>0</v>
      </c>
      <c r="Q84" s="9" t="s">
        <v>62</v>
      </c>
      <c r="T84" s="37">
        <f t="shared" si="6"/>
        <v>0</v>
      </c>
      <c r="W84" s="37">
        <f t="shared" si="8"/>
        <v>0</v>
      </c>
      <c r="Y84" s="37">
        <f t="shared" si="17"/>
        <v>0</v>
      </c>
      <c r="Z84" s="37"/>
    </row>
    <row r="85" spans="2:26">
      <c r="B85" s="9" t="s">
        <v>63</v>
      </c>
      <c r="C85" s="26">
        <f>49+59+12.81</f>
        <v>120.81</v>
      </c>
      <c r="D85" s="26">
        <f>78.19+806.68+323.41+121.9+106+15.27+598.7+233.66</f>
        <v>2283.81</v>
      </c>
      <c r="E85" s="26">
        <f>115+100+638.36</f>
        <v>853.36</v>
      </c>
      <c r="F85" s="26">
        <v>240</v>
      </c>
      <c r="G85" s="26">
        <v>0</v>
      </c>
      <c r="H85" s="26">
        <f>115+1200+680+200</f>
        <v>2195</v>
      </c>
      <c r="I85" s="26">
        <f>106+83</f>
        <v>189</v>
      </c>
      <c r="J85" s="26">
        <f>84.86+2800+274.17</f>
        <v>3159.03</v>
      </c>
      <c r="K85" s="26">
        <v>4000</v>
      </c>
      <c r="L85" s="26">
        <v>0</v>
      </c>
      <c r="M85" s="26">
        <v>0</v>
      </c>
      <c r="N85" s="26">
        <v>0</v>
      </c>
      <c r="O85" s="37">
        <f t="shared" si="18"/>
        <v>13041.01</v>
      </c>
      <c r="Q85" s="9" t="s">
        <v>63</v>
      </c>
      <c r="T85" s="37">
        <f t="shared" si="6"/>
        <v>13041.01</v>
      </c>
      <c r="W85" s="37">
        <f t="shared" si="8"/>
        <v>13041.01</v>
      </c>
      <c r="X85">
        <v>22000</v>
      </c>
      <c r="Y85" s="37">
        <f t="shared" si="17"/>
        <v>8958.99</v>
      </c>
      <c r="Z85" s="37"/>
    </row>
    <row r="86" spans="2:26">
      <c r="B86" s="9" t="s">
        <v>64</v>
      </c>
      <c r="C86" s="26">
        <v>1000</v>
      </c>
      <c r="D86" s="26">
        <v>6930.65</v>
      </c>
      <c r="E86" s="26">
        <v>2520.25</v>
      </c>
      <c r="F86" s="26">
        <v>2520.2199999999998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7">
        <f t="shared" si="18"/>
        <v>12971.119999999999</v>
      </c>
      <c r="Q86" s="9" t="s">
        <v>64</v>
      </c>
      <c r="T86" s="37">
        <f t="shared" si="6"/>
        <v>12971.119999999999</v>
      </c>
      <c r="W86" s="37">
        <f t="shared" si="8"/>
        <v>12971.119999999999</v>
      </c>
      <c r="X86">
        <v>13000</v>
      </c>
      <c r="Y86" s="104">
        <f t="shared" si="17"/>
        <v>28.880000000001019</v>
      </c>
      <c r="Z86" s="104" t="s">
        <v>259</v>
      </c>
    </row>
    <row r="87" spans="2:26">
      <c r="B87" s="9" t="s">
        <v>65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37">
        <f t="shared" si="18"/>
        <v>0</v>
      </c>
      <c r="Q87" s="9" t="s">
        <v>65</v>
      </c>
      <c r="T87" s="37">
        <f t="shared" si="6"/>
        <v>0</v>
      </c>
      <c r="W87" s="37">
        <f t="shared" si="8"/>
        <v>0</v>
      </c>
      <c r="X87">
        <v>2500</v>
      </c>
      <c r="Y87" s="37">
        <f t="shared" si="17"/>
        <v>2500</v>
      </c>
      <c r="Z87" s="37"/>
    </row>
    <row r="88" spans="2:26">
      <c r="B88" s="9" t="s">
        <v>66</v>
      </c>
      <c r="C88" s="26">
        <v>0</v>
      </c>
      <c r="D88" s="26">
        <v>0</v>
      </c>
      <c r="E88" s="26">
        <v>0</v>
      </c>
      <c r="F88" s="26">
        <v>0</v>
      </c>
      <c r="G88" s="26">
        <v>2520.2199999999998</v>
      </c>
      <c r="H88" s="26">
        <v>2520.2199999999998</v>
      </c>
      <c r="I88" s="26">
        <v>2520.2199999999998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37">
        <f t="shared" si="18"/>
        <v>7560.66</v>
      </c>
      <c r="Q88" s="9" t="s">
        <v>66</v>
      </c>
      <c r="T88" s="37">
        <f t="shared" si="6"/>
        <v>7560.66</v>
      </c>
      <c r="W88" s="37">
        <f t="shared" si="8"/>
        <v>7560.66</v>
      </c>
      <c r="X88">
        <v>8000</v>
      </c>
      <c r="Y88" s="104">
        <f t="shared" si="17"/>
        <v>439.34000000000015</v>
      </c>
      <c r="Z88" s="37"/>
    </row>
    <row r="89" spans="2:26" hidden="1">
      <c r="B89" s="9" t="s">
        <v>67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7">
        <f t="shared" si="18"/>
        <v>0</v>
      </c>
      <c r="Q89" s="9" t="s">
        <v>67</v>
      </c>
      <c r="T89" s="37">
        <f t="shared" si="6"/>
        <v>0</v>
      </c>
      <c r="W89" s="37">
        <f t="shared" si="8"/>
        <v>0</v>
      </c>
      <c r="Y89" s="37">
        <f t="shared" si="17"/>
        <v>0</v>
      </c>
      <c r="Z89" s="37"/>
    </row>
    <row r="90" spans="2:26" hidden="1">
      <c r="B90" s="9" t="s">
        <v>68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37">
        <f t="shared" si="18"/>
        <v>0</v>
      </c>
      <c r="Q90" s="9" t="s">
        <v>68</v>
      </c>
      <c r="T90" s="37">
        <f t="shared" si="6"/>
        <v>0</v>
      </c>
      <c r="W90" s="37">
        <f t="shared" si="8"/>
        <v>0</v>
      </c>
      <c r="Y90" s="37">
        <f t="shared" si="17"/>
        <v>0</v>
      </c>
      <c r="Z90" s="37"/>
    </row>
    <row r="91" spans="2:26">
      <c r="B91" s="9" t="s">
        <v>69</v>
      </c>
      <c r="C91" s="26">
        <v>0</v>
      </c>
      <c r="D91" s="26">
        <f>52.66+79.88</f>
        <v>132.54</v>
      </c>
      <c r="E91" s="26">
        <v>22.42</v>
      </c>
      <c r="F91" s="26">
        <v>30.62</v>
      </c>
      <c r="G91" s="26">
        <v>27.97</v>
      </c>
      <c r="H91" s="26">
        <v>257.92</v>
      </c>
      <c r="I91" s="26">
        <v>0</v>
      </c>
      <c r="J91" s="26">
        <v>60.9</v>
      </c>
      <c r="K91" s="26">
        <v>100</v>
      </c>
      <c r="L91" s="26">
        <v>100</v>
      </c>
      <c r="M91" s="26">
        <v>100</v>
      </c>
      <c r="N91" s="26">
        <v>100</v>
      </c>
      <c r="O91" s="37">
        <f t="shared" si="18"/>
        <v>932.37</v>
      </c>
      <c r="Q91" s="9" t="s">
        <v>69</v>
      </c>
      <c r="T91" s="37">
        <f t="shared" si="6"/>
        <v>932.37</v>
      </c>
      <c r="W91" s="37">
        <f t="shared" si="8"/>
        <v>932.37</v>
      </c>
      <c r="X91">
        <v>1200</v>
      </c>
      <c r="Y91" s="37">
        <f t="shared" si="17"/>
        <v>267.63</v>
      </c>
      <c r="Z91" s="37"/>
    </row>
    <row r="92" spans="2:26" hidden="1">
      <c r="B92" s="9" t="s">
        <v>70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37">
        <f t="shared" si="18"/>
        <v>0</v>
      </c>
      <c r="Q92" s="9" t="s">
        <v>70</v>
      </c>
      <c r="T92" s="37">
        <f t="shared" si="6"/>
        <v>0</v>
      </c>
      <c r="W92" s="37">
        <f t="shared" si="8"/>
        <v>0</v>
      </c>
      <c r="Y92" s="37">
        <f t="shared" si="17"/>
        <v>0</v>
      </c>
      <c r="Z92" s="37"/>
    </row>
    <row r="93" spans="2:26">
      <c r="B93" s="9" t="s">
        <v>71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5000</v>
      </c>
      <c r="L93" s="26">
        <v>0</v>
      </c>
      <c r="M93" s="26">
        <v>0</v>
      </c>
      <c r="N93" s="26">
        <v>0</v>
      </c>
      <c r="O93" s="37">
        <f t="shared" si="18"/>
        <v>5000</v>
      </c>
      <c r="Q93" s="9" t="s">
        <v>71</v>
      </c>
      <c r="T93" s="37">
        <f t="shared" si="6"/>
        <v>5000</v>
      </c>
      <c r="W93" s="37">
        <f t="shared" si="8"/>
        <v>5000</v>
      </c>
      <c r="X93">
        <v>15000</v>
      </c>
      <c r="Y93" s="37">
        <f t="shared" si="17"/>
        <v>10000</v>
      </c>
      <c r="Z93" s="37"/>
    </row>
    <row r="94" spans="2:26">
      <c r="B94" s="9" t="s">
        <v>72</v>
      </c>
      <c r="C94" s="26">
        <v>0</v>
      </c>
      <c r="D94" s="26">
        <v>4500</v>
      </c>
      <c r="E94" s="26">
        <f>83.88+5000</f>
        <v>5083.88</v>
      </c>
      <c r="F94" s="26">
        <v>0</v>
      </c>
      <c r="G94" s="26">
        <v>0</v>
      </c>
      <c r="H94" s="105">
        <v>5000</v>
      </c>
      <c r="I94" s="105">
        <v>0</v>
      </c>
      <c r="J94" s="105">
        <v>0</v>
      </c>
      <c r="K94" s="105">
        <v>2000</v>
      </c>
      <c r="L94" s="105">
        <v>2000</v>
      </c>
      <c r="M94" s="105">
        <v>2000</v>
      </c>
      <c r="N94" s="105">
        <v>2000</v>
      </c>
      <c r="O94" s="37">
        <f t="shared" si="18"/>
        <v>22583.88</v>
      </c>
      <c r="Q94" s="41" t="s">
        <v>72</v>
      </c>
      <c r="T94" s="37">
        <f t="shared" si="6"/>
        <v>22583.88</v>
      </c>
      <c r="W94" s="37">
        <f t="shared" si="8"/>
        <v>22583.88</v>
      </c>
      <c r="X94">
        <v>22000</v>
      </c>
      <c r="Y94" s="37">
        <f t="shared" si="17"/>
        <v>-583.88000000000102</v>
      </c>
      <c r="Z94" s="37"/>
    </row>
    <row r="95" spans="2:26">
      <c r="B95" s="9" t="s">
        <v>73</v>
      </c>
      <c r="C95" s="26">
        <f>547+150</f>
        <v>697</v>
      </c>
      <c r="D95" s="26">
        <v>0</v>
      </c>
      <c r="E95" s="26">
        <f>2075+97.6+107.06</f>
        <v>2279.66</v>
      </c>
      <c r="F95" s="26">
        <f>476.74+148.7-105</f>
        <v>520.44000000000005</v>
      </c>
      <c r="G95" s="26">
        <f>140+537.28+228.67</f>
        <v>905.94999999999993</v>
      </c>
      <c r="H95" s="26">
        <f>200+34.1+1045+74.73</f>
        <v>1353.83</v>
      </c>
      <c r="I95" s="26">
        <v>225</v>
      </c>
      <c r="J95" s="26">
        <f>430+438</f>
        <v>868</v>
      </c>
      <c r="K95" s="26">
        <v>1150</v>
      </c>
      <c r="L95" s="26">
        <v>1150</v>
      </c>
      <c r="M95" s="26">
        <v>1150</v>
      </c>
      <c r="N95" s="26">
        <v>1150</v>
      </c>
      <c r="O95" s="37">
        <f t="shared" si="18"/>
        <v>11449.880000000001</v>
      </c>
      <c r="Q95" s="9" t="s">
        <v>73</v>
      </c>
      <c r="T95" s="37">
        <f t="shared" si="6"/>
        <v>11449.880000000001</v>
      </c>
      <c r="W95" s="37">
        <f t="shared" si="8"/>
        <v>11449.880000000001</v>
      </c>
      <c r="X95">
        <v>25350</v>
      </c>
      <c r="Y95" s="37">
        <f t="shared" si="17"/>
        <v>13900.119999999999</v>
      </c>
      <c r="Z95" s="37"/>
    </row>
    <row r="96" spans="2:26">
      <c r="B96" s="9" t="s">
        <v>74</v>
      </c>
      <c r="C96" s="26">
        <f>56.25+1100+2047.5</f>
        <v>3203.75</v>
      </c>
      <c r="D96" s="26">
        <f>1200+7968.75</f>
        <v>9168.75</v>
      </c>
      <c r="E96" s="26">
        <f>550</f>
        <v>550</v>
      </c>
      <c r="F96" s="26">
        <f>623+2970+4333.75+2997.93</f>
        <v>10924.68</v>
      </c>
      <c r="G96" s="26">
        <f>3675+4620+206.25+2470+1762.5</f>
        <v>12733.75</v>
      </c>
      <c r="H96" s="26">
        <f>1537+3240+3152.5</f>
        <v>7929.5</v>
      </c>
      <c r="I96" s="26">
        <f>272.52+1210+3191.25</f>
        <v>4673.7700000000004</v>
      </c>
      <c r="J96" s="26">
        <f>337.5+4926.25+40+225+5060+75.56</f>
        <v>10664.31</v>
      </c>
      <c r="K96" s="26">
        <v>15000</v>
      </c>
      <c r="L96" s="26">
        <v>15000</v>
      </c>
      <c r="M96" s="26">
        <v>15000</v>
      </c>
      <c r="N96" s="26">
        <v>15000</v>
      </c>
      <c r="O96" s="37">
        <v>150000</v>
      </c>
      <c r="Q96" s="9" t="s">
        <v>74</v>
      </c>
      <c r="T96" s="37">
        <f t="shared" si="6"/>
        <v>119848.51</v>
      </c>
      <c r="W96" s="37">
        <f t="shared" si="8"/>
        <v>119848.51</v>
      </c>
      <c r="X96">
        <v>150000</v>
      </c>
      <c r="Y96" s="37">
        <f t="shared" si="17"/>
        <v>30151.490000000005</v>
      </c>
      <c r="Z96" s="37"/>
    </row>
    <row r="97" spans="1:26">
      <c r="B97" s="9" t="s">
        <v>75</v>
      </c>
      <c r="C97" s="26">
        <f>300+95.63</f>
        <v>395.63</v>
      </c>
      <c r="D97" s="26">
        <f>95.63+8.47+80</f>
        <v>184.1</v>
      </c>
      <c r="E97" s="26">
        <f>125+42.88</f>
        <v>167.88</v>
      </c>
      <c r="F97" s="26">
        <f>92.73+125+87.4+18.29+27.18+18.35</f>
        <v>368.95000000000005</v>
      </c>
      <c r="G97" s="26">
        <f>64.96</f>
        <v>64.959999999999994</v>
      </c>
      <c r="H97" s="26">
        <v>41.95</v>
      </c>
      <c r="I97" s="26">
        <f>32.03+9.05+219.35</f>
        <v>260.43</v>
      </c>
      <c r="J97" s="26">
        <v>0</v>
      </c>
      <c r="K97" s="26">
        <v>300</v>
      </c>
      <c r="L97" s="26">
        <v>300</v>
      </c>
      <c r="M97" s="26">
        <v>300</v>
      </c>
      <c r="N97" s="26">
        <v>300</v>
      </c>
      <c r="O97" s="37">
        <f t="shared" si="18"/>
        <v>2683.9</v>
      </c>
      <c r="P97" s="27"/>
      <c r="Q97" s="9" t="s">
        <v>75</v>
      </c>
      <c r="T97" s="37">
        <f t="shared" si="6"/>
        <v>2683.9</v>
      </c>
      <c r="W97" s="37">
        <f t="shared" si="8"/>
        <v>2683.9</v>
      </c>
      <c r="X97">
        <v>3600</v>
      </c>
      <c r="Y97" s="37">
        <f t="shared" si="17"/>
        <v>916.09999999999991</v>
      </c>
      <c r="Z97" s="37"/>
    </row>
    <row r="98" spans="1:26">
      <c r="A98" s="31"/>
      <c r="B98" s="30" t="s">
        <v>76</v>
      </c>
      <c r="C98" s="55">
        <f>30+23.86+49+20+39+22.9+13.45+179.45+54.1</f>
        <v>431.76</v>
      </c>
      <c r="D98" s="55">
        <f>36.79+151.88+188.4+102.57</f>
        <v>479.64</v>
      </c>
      <c r="E98" s="55">
        <v>0</v>
      </c>
      <c r="F98" s="55">
        <f>371.76</f>
        <v>371.76</v>
      </c>
      <c r="G98" s="55">
        <f>54.7+187+217.15+15+49.71</f>
        <v>523.56000000000006</v>
      </c>
      <c r="H98" s="55">
        <v>481.02</v>
      </c>
      <c r="I98" s="55">
        <v>21.94</v>
      </c>
      <c r="J98" s="55">
        <f>173.29+461.77</f>
        <v>635.05999999999995</v>
      </c>
      <c r="K98" s="55">
        <v>315</v>
      </c>
      <c r="L98" s="55">
        <v>315</v>
      </c>
      <c r="M98" s="55">
        <v>315</v>
      </c>
      <c r="N98" s="55">
        <v>315</v>
      </c>
      <c r="O98" s="116">
        <v>3780</v>
      </c>
      <c r="P98" s="37"/>
      <c r="Q98" s="9" t="s">
        <v>76</v>
      </c>
      <c r="T98" s="37">
        <f t="shared" si="6"/>
        <v>4204.74</v>
      </c>
      <c r="W98" s="37">
        <f t="shared" si="8"/>
        <v>4204.74</v>
      </c>
      <c r="X98">
        <v>3780</v>
      </c>
      <c r="Y98" s="37">
        <f t="shared" si="17"/>
        <v>-424.73999999999978</v>
      </c>
      <c r="Z98" s="37"/>
    </row>
    <row r="99" spans="1:26">
      <c r="A99" s="31"/>
      <c r="B99" s="30" t="s">
        <v>77</v>
      </c>
      <c r="C99" s="55">
        <v>0</v>
      </c>
      <c r="D99" s="55">
        <f>5.36+111.38+249+79.34+458.9+324.49+2826.97+784.83+50+112.5+80.12+129.95+331.44+299.99+95.49+1847.43+83.48+971.52+1263.79+707.08+129.72+491.39-1491.98</f>
        <v>9942.1899999999987</v>
      </c>
      <c r="E99" s="55">
        <f>81.7+538.43+7295.61+63.12+397+39.31+646.99+1038.4+101.98+145.69+755.58+324.9+1579.7+1394.15+34.74+1278.8+89+112+92.41+8195.59+107.25+518.56+24.06+2645.88+428.73+325</f>
        <v>28254.58</v>
      </c>
      <c r="F99" s="55">
        <f>151.25+1098.7+400.85+209+425+24.8+140.47+370+7.2+26.1+201.9+318.95+75.84+56.37+63.91+22.45+440.21+2408.59</f>
        <v>6441.59</v>
      </c>
      <c r="G99" s="55">
        <f>2192.68+62.97+218.15+730.21+4197.48+750.2+461.34+128.74+350+1500+303.45+171.1+128.74+37.92+192+73.96+3450.93+501.16+1079+35.5+158.15+47.99+50+178.15-2902.02</f>
        <v>14097.800000000003</v>
      </c>
      <c r="H99" s="55">
        <f>205.29+559.58+498.41+304.99+444.14+1169.3+1712.54+3770+1535.1+98.1+1015.11+1422.6+166.31</f>
        <v>12901.470000000001</v>
      </c>
      <c r="I99" s="55">
        <f>47.26+84.15+309.12+55.7+525+1500+281.25+120.95</f>
        <v>2923.43</v>
      </c>
      <c r="J99" s="55">
        <f>43.48+226.2+63.45+39</f>
        <v>372.13</v>
      </c>
      <c r="K99" s="55">
        <v>5000</v>
      </c>
      <c r="L99" s="55">
        <v>5000</v>
      </c>
      <c r="M99" s="55">
        <v>5000</v>
      </c>
      <c r="N99" s="55">
        <v>5000</v>
      </c>
      <c r="O99" s="116">
        <v>75000</v>
      </c>
      <c r="P99" s="37"/>
      <c r="Q99" s="41" t="s">
        <v>77</v>
      </c>
      <c r="T99" s="37">
        <f t="shared" ref="T99:T114" si="19">SUM(C99:N99)</f>
        <v>94933.19</v>
      </c>
      <c r="W99" s="37">
        <f t="shared" si="8"/>
        <v>94933.19</v>
      </c>
      <c r="X99">
        <v>75000</v>
      </c>
      <c r="Y99" s="37">
        <f t="shared" si="17"/>
        <v>-19933.190000000002</v>
      </c>
      <c r="Z99" s="37"/>
    </row>
    <row r="100" spans="1:26">
      <c r="A100" s="31"/>
      <c r="B100" s="30" t="s">
        <v>78</v>
      </c>
      <c r="C100" s="55">
        <v>626.6</v>
      </c>
      <c r="D100" s="55">
        <f>150.4+562.37+417.19+2690.95</f>
        <v>3820.91</v>
      </c>
      <c r="E100" s="55">
        <v>5215.3100000000004</v>
      </c>
      <c r="F100" s="55">
        <f>1123.8+121.98</f>
        <v>1245.78</v>
      </c>
      <c r="G100" s="55">
        <f>976.5+3000</f>
        <v>3976.5</v>
      </c>
      <c r="H100" s="55">
        <f>560+232.27</f>
        <v>792.27</v>
      </c>
      <c r="I100" s="55">
        <v>0</v>
      </c>
      <c r="J100" s="55">
        <v>493.47</v>
      </c>
      <c r="K100" s="55">
        <v>2500</v>
      </c>
      <c r="L100" s="55">
        <v>2500</v>
      </c>
      <c r="M100" s="55">
        <v>2500</v>
      </c>
      <c r="N100" s="55">
        <v>1000</v>
      </c>
      <c r="O100" s="116">
        <v>41000</v>
      </c>
      <c r="P100" s="52"/>
      <c r="Q100" s="41" t="s">
        <v>78</v>
      </c>
      <c r="T100" s="37">
        <f t="shared" si="19"/>
        <v>24670.84</v>
      </c>
      <c r="W100" s="37">
        <f t="shared" ref="W100:W114" si="20">SUM(C100:N100)</f>
        <v>24670.84</v>
      </c>
      <c r="X100">
        <v>41000</v>
      </c>
      <c r="Y100" s="37">
        <f t="shared" si="17"/>
        <v>16329.16</v>
      </c>
      <c r="Z100" s="37"/>
    </row>
    <row r="101" spans="1:26" hidden="1">
      <c r="A101" s="31"/>
      <c r="B101" s="30" t="s">
        <v>79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116">
        <f t="shared" si="18"/>
        <v>0</v>
      </c>
      <c r="P101" s="37"/>
      <c r="Q101" s="9" t="s">
        <v>79</v>
      </c>
      <c r="T101" s="37">
        <f t="shared" si="19"/>
        <v>0</v>
      </c>
      <c r="W101" s="37">
        <f t="shared" si="20"/>
        <v>0</v>
      </c>
      <c r="Y101" s="37">
        <f t="shared" si="17"/>
        <v>0</v>
      </c>
      <c r="Z101" s="37"/>
    </row>
    <row r="102" spans="1:26">
      <c r="A102" s="31"/>
      <c r="B102" s="30" t="s">
        <v>80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111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116">
        <f t="shared" si="18"/>
        <v>0</v>
      </c>
      <c r="Q102" s="9" t="s">
        <v>80</v>
      </c>
      <c r="T102" s="37">
        <f t="shared" si="19"/>
        <v>0</v>
      </c>
      <c r="W102" s="37">
        <f t="shared" si="20"/>
        <v>0</v>
      </c>
      <c r="Y102" s="37">
        <f t="shared" si="17"/>
        <v>0</v>
      </c>
      <c r="Z102" s="37"/>
    </row>
    <row r="103" spans="1:26">
      <c r="B103" s="9" t="s">
        <v>82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4000</v>
      </c>
      <c r="O103" s="37">
        <f t="shared" si="18"/>
        <v>4000</v>
      </c>
      <c r="Q103" s="9" t="s">
        <v>82</v>
      </c>
      <c r="T103" s="37">
        <f t="shared" si="19"/>
        <v>4000</v>
      </c>
      <c r="W103" s="37">
        <f t="shared" si="20"/>
        <v>4000</v>
      </c>
      <c r="X103">
        <v>4000</v>
      </c>
      <c r="Y103" s="37">
        <f t="shared" si="17"/>
        <v>0</v>
      </c>
      <c r="Z103" s="37"/>
    </row>
    <row r="104" spans="1:26">
      <c r="B104" s="9" t="s">
        <v>83</v>
      </c>
      <c r="C104" s="26">
        <f>1000+234.6</f>
        <v>1234.5999999999999</v>
      </c>
      <c r="D104" s="26">
        <f>100+2400</f>
        <v>2500</v>
      </c>
      <c r="E104" s="26">
        <f>826.94+121.9+500+800+182.32+100.01</f>
        <v>2531.1700000000005</v>
      </c>
      <c r="F104" s="26">
        <f>1200+279+204.7+62+100.01</f>
        <v>1845.71</v>
      </c>
      <c r="G104" s="26">
        <v>1500</v>
      </c>
      <c r="H104" s="26">
        <f>2000+527.33</f>
        <v>2527.33</v>
      </c>
      <c r="I104" s="26">
        <v>1500</v>
      </c>
      <c r="J104" s="26">
        <f>340.08</f>
        <v>340.08</v>
      </c>
      <c r="K104" s="26">
        <v>4000</v>
      </c>
      <c r="L104" s="26">
        <v>5000</v>
      </c>
      <c r="M104" s="26">
        <v>5000</v>
      </c>
      <c r="N104" s="26">
        <v>4000</v>
      </c>
      <c r="O104" s="37">
        <f t="shared" si="18"/>
        <v>31978.89</v>
      </c>
      <c r="Q104" s="9" t="s">
        <v>83</v>
      </c>
      <c r="T104" s="37">
        <f t="shared" si="19"/>
        <v>31978.89</v>
      </c>
      <c r="W104" s="37">
        <f t="shared" si="20"/>
        <v>31978.89</v>
      </c>
      <c r="X104">
        <v>50000</v>
      </c>
      <c r="Y104" s="37">
        <f t="shared" si="17"/>
        <v>18021.11</v>
      </c>
      <c r="Z104" s="37"/>
    </row>
    <row r="105" spans="1:26">
      <c r="B105" s="9" t="s">
        <v>155</v>
      </c>
      <c r="C105" s="49">
        <v>1179.45</v>
      </c>
      <c r="D105" s="49">
        <v>1179</v>
      </c>
      <c r="E105" s="49">
        <v>1179</v>
      </c>
      <c r="F105" s="49">
        <v>1179</v>
      </c>
      <c r="G105" s="49">
        <v>1179.45</v>
      </c>
      <c r="H105" s="49">
        <v>1179</v>
      </c>
      <c r="I105" s="49">
        <v>1179.45</v>
      </c>
      <c r="J105" s="49">
        <v>1179.45</v>
      </c>
      <c r="K105" s="49">
        <v>1179</v>
      </c>
      <c r="L105" s="49">
        <v>1179</v>
      </c>
      <c r="M105" s="49">
        <v>1179</v>
      </c>
      <c r="N105" s="49">
        <v>1179</v>
      </c>
      <c r="O105" s="37">
        <f>SUM(C105:N105)</f>
        <v>14149.800000000001</v>
      </c>
      <c r="Q105" s="9" t="s">
        <v>155</v>
      </c>
      <c r="T105" s="37">
        <f t="shared" si="19"/>
        <v>14149.800000000001</v>
      </c>
      <c r="W105" s="37">
        <f t="shared" si="20"/>
        <v>14149.800000000001</v>
      </c>
      <c r="X105">
        <v>14148</v>
      </c>
      <c r="Y105" s="37">
        <f t="shared" si="17"/>
        <v>-1.8000000000010914</v>
      </c>
      <c r="Z105" s="37"/>
    </row>
    <row r="106" spans="1:26">
      <c r="B106" s="9" t="s">
        <v>84</v>
      </c>
      <c r="C106" s="26">
        <v>0</v>
      </c>
      <c r="D106" s="26">
        <v>0</v>
      </c>
      <c r="E106" s="26">
        <v>35.5</v>
      </c>
      <c r="F106" s="26">
        <f>159.5+90.33+577.39</f>
        <v>827.22</v>
      </c>
      <c r="G106" s="26">
        <v>85.75</v>
      </c>
      <c r="H106" s="26">
        <f>1095+61.07+2192.77+835.05</f>
        <v>4183.8900000000003</v>
      </c>
      <c r="I106" s="26">
        <v>0</v>
      </c>
      <c r="J106" s="26">
        <v>0</v>
      </c>
      <c r="K106" s="26">
        <v>400</v>
      </c>
      <c r="L106" s="26">
        <v>400</v>
      </c>
      <c r="M106" s="26">
        <v>400</v>
      </c>
      <c r="N106" s="26">
        <v>400</v>
      </c>
      <c r="O106" s="37">
        <f t="shared" si="18"/>
        <v>6732.3600000000006</v>
      </c>
      <c r="Q106" s="9" t="s">
        <v>84</v>
      </c>
      <c r="T106" s="37">
        <f t="shared" si="19"/>
        <v>6732.3600000000006</v>
      </c>
      <c r="W106" s="37">
        <f t="shared" si="20"/>
        <v>6732.3600000000006</v>
      </c>
      <c r="X106">
        <v>4800</v>
      </c>
      <c r="Y106" s="37">
        <f t="shared" si="17"/>
        <v>-1932.3600000000006</v>
      </c>
      <c r="Z106" s="37"/>
    </row>
    <row r="107" spans="1:26">
      <c r="B107" s="9" t="s">
        <v>85</v>
      </c>
      <c r="C107" s="26">
        <v>0</v>
      </c>
      <c r="D107" s="26">
        <v>28.48</v>
      </c>
      <c r="E107" s="26">
        <f>110.37+1278.8+167.36+130.16+1989+2361+130.17-1278.8+90+45.5</f>
        <v>5023.5600000000004</v>
      </c>
      <c r="F107" s="26">
        <f>150.24+2095+188.8+114.12+2064+1418+190.2+9.9+660+56.95</f>
        <v>6947.2099999999991</v>
      </c>
      <c r="G107" s="26">
        <f>190.2+171.18+2139+155.52+2251+77.76+77.76+1899+735</f>
        <v>7696.42</v>
      </c>
      <c r="H107" s="26">
        <f>155.52+2183+196.6+2328+196.6</f>
        <v>5059.72</v>
      </c>
      <c r="I107" s="26">
        <f>157.28+1136+916.25+137.62+1386+2580+367.65</f>
        <v>6680.7999999999993</v>
      </c>
      <c r="J107" s="26">
        <f>38.7+627+193.5+153.68+134.57+2916+1638</f>
        <v>5701.45</v>
      </c>
      <c r="K107" s="26">
        <v>6500</v>
      </c>
      <c r="L107" s="26">
        <v>6500</v>
      </c>
      <c r="M107" s="26">
        <v>6500</v>
      </c>
      <c r="N107" s="26">
        <v>6500</v>
      </c>
      <c r="O107" s="37">
        <f t="shared" si="18"/>
        <v>63137.64</v>
      </c>
      <c r="P107" s="27"/>
      <c r="Q107" s="9" t="s">
        <v>85</v>
      </c>
      <c r="T107" s="37">
        <f t="shared" si="19"/>
        <v>63137.64</v>
      </c>
      <c r="W107" s="37">
        <f t="shared" si="20"/>
        <v>63137.64</v>
      </c>
      <c r="X107">
        <v>65000</v>
      </c>
      <c r="Y107" s="37">
        <f t="shared" si="17"/>
        <v>1862.3600000000006</v>
      </c>
      <c r="Z107" s="37"/>
    </row>
    <row r="108" spans="1:26" hidden="1">
      <c r="B108" s="9" t="s">
        <v>86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37">
        <f t="shared" ref="O108:O113" si="21">SUM(C108:N108)</f>
        <v>0</v>
      </c>
      <c r="Q108" s="9" t="s">
        <v>86</v>
      </c>
      <c r="T108" s="37">
        <f t="shared" si="19"/>
        <v>0</v>
      </c>
      <c r="W108" s="37">
        <f t="shared" si="20"/>
        <v>0</v>
      </c>
      <c r="Y108" s="37">
        <f t="shared" si="17"/>
        <v>0</v>
      </c>
      <c r="Z108" s="37"/>
    </row>
    <row r="109" spans="1:26" hidden="1">
      <c r="B109" s="9" t="s">
        <v>87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37">
        <f t="shared" si="21"/>
        <v>0</v>
      </c>
      <c r="Q109" s="9" t="s">
        <v>87</v>
      </c>
      <c r="T109" s="37">
        <f t="shared" si="19"/>
        <v>0</v>
      </c>
      <c r="W109" s="37">
        <f t="shared" si="20"/>
        <v>0</v>
      </c>
      <c r="Y109" s="37">
        <f t="shared" si="17"/>
        <v>0</v>
      </c>
      <c r="Z109" s="37"/>
    </row>
    <row r="110" spans="1:26" hidden="1">
      <c r="B110" s="9" t="s">
        <v>88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1089</v>
      </c>
      <c r="K110" s="26">
        <v>0</v>
      </c>
      <c r="L110" s="26">
        <v>0</v>
      </c>
      <c r="M110" s="26">
        <v>0</v>
      </c>
      <c r="N110" s="26">
        <v>0</v>
      </c>
      <c r="O110" s="37">
        <f t="shared" si="21"/>
        <v>1089</v>
      </c>
      <c r="Q110" s="9" t="s">
        <v>88</v>
      </c>
      <c r="T110" s="37">
        <f t="shared" si="19"/>
        <v>1089</v>
      </c>
      <c r="W110" s="37">
        <f t="shared" si="20"/>
        <v>1089</v>
      </c>
      <c r="Y110" s="37">
        <f t="shared" si="17"/>
        <v>-1089</v>
      </c>
      <c r="Z110" s="37"/>
    </row>
    <row r="111" spans="1:26">
      <c r="B111" s="9" t="s">
        <v>89</v>
      </c>
      <c r="C111" s="26">
        <f>14+250+310+15+65+24.74</f>
        <v>678.74</v>
      </c>
      <c r="D111" s="26">
        <v>2</v>
      </c>
      <c r="E111" s="26">
        <v>0</v>
      </c>
      <c r="F111" s="26">
        <f>210+402+300</f>
        <v>912</v>
      </c>
      <c r="G111" s="26">
        <v>1222</v>
      </c>
      <c r="H111" s="26">
        <v>400</v>
      </c>
      <c r="I111" s="26">
        <f>1190+150</f>
        <v>1340</v>
      </c>
      <c r="J111" s="26">
        <f>300+385+742+255</f>
        <v>1682</v>
      </c>
      <c r="K111" s="26">
        <v>1000</v>
      </c>
      <c r="L111" s="26">
        <v>1000</v>
      </c>
      <c r="M111" s="26">
        <v>1000</v>
      </c>
      <c r="N111" s="26">
        <v>550</v>
      </c>
      <c r="O111" s="37">
        <f t="shared" si="21"/>
        <v>9786.74</v>
      </c>
      <c r="Q111" s="9" t="s">
        <v>89</v>
      </c>
      <c r="T111" s="37">
        <f t="shared" si="19"/>
        <v>9786.74</v>
      </c>
      <c r="W111" s="37">
        <f t="shared" si="20"/>
        <v>9786.74</v>
      </c>
      <c r="X111">
        <v>11550</v>
      </c>
      <c r="Y111" s="37">
        <f t="shared" si="17"/>
        <v>1763.2600000000002</v>
      </c>
      <c r="Z111" s="37"/>
    </row>
    <row r="112" spans="1:26" hidden="1">
      <c r="B112" s="9" t="s">
        <v>90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37">
        <f t="shared" si="21"/>
        <v>0</v>
      </c>
      <c r="Q112" s="9" t="s">
        <v>90</v>
      </c>
      <c r="T112" s="37">
        <f t="shared" si="19"/>
        <v>0</v>
      </c>
      <c r="W112" s="37">
        <f t="shared" si="20"/>
        <v>0</v>
      </c>
      <c r="Y112" s="37">
        <f t="shared" si="17"/>
        <v>0</v>
      </c>
      <c r="Z112" s="37"/>
    </row>
    <row r="113" spans="1:26" hidden="1">
      <c r="B113" s="9" t="s">
        <v>91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37">
        <f t="shared" si="21"/>
        <v>0</v>
      </c>
      <c r="Q113" s="9" t="s">
        <v>91</v>
      </c>
      <c r="T113" s="37">
        <f t="shared" si="19"/>
        <v>0</v>
      </c>
      <c r="W113" s="37">
        <f t="shared" si="20"/>
        <v>0</v>
      </c>
      <c r="Y113" s="37">
        <f t="shared" si="17"/>
        <v>0</v>
      </c>
      <c r="Z113" s="37"/>
    </row>
    <row r="114" spans="1:26">
      <c r="B114" s="9" t="s">
        <v>102</v>
      </c>
      <c r="C114" s="26">
        <v>1370.25</v>
      </c>
      <c r="D114" s="26">
        <v>1370.55</v>
      </c>
      <c r="E114" s="26">
        <v>1370.55</v>
      </c>
      <c r="F114" s="26">
        <v>1370.25</v>
      </c>
      <c r="G114" s="26">
        <v>1370.25</v>
      </c>
      <c r="H114" s="26">
        <v>1370.55</v>
      </c>
      <c r="I114" s="26">
        <v>1370.25</v>
      </c>
      <c r="J114" s="26">
        <v>1370.25</v>
      </c>
      <c r="K114" s="26">
        <v>1370.55</v>
      </c>
      <c r="L114" s="26">
        <v>1370.55</v>
      </c>
      <c r="M114" s="26">
        <v>1370.55</v>
      </c>
      <c r="N114" s="26">
        <v>1370.55</v>
      </c>
      <c r="O114" s="37">
        <f>N114*12</f>
        <v>16446.599999999999</v>
      </c>
      <c r="Q114" s="9" t="s">
        <v>102</v>
      </c>
      <c r="T114" s="52">
        <f t="shared" si="19"/>
        <v>16445.099999999999</v>
      </c>
      <c r="W114" s="37">
        <f t="shared" si="20"/>
        <v>16445.099999999999</v>
      </c>
      <c r="X114">
        <v>16446.599999999999</v>
      </c>
      <c r="Y114" s="37">
        <f t="shared" si="17"/>
        <v>1.5</v>
      </c>
      <c r="Z114" s="37"/>
    </row>
    <row r="115" spans="1:26">
      <c r="A115" t="s">
        <v>97</v>
      </c>
      <c r="B115" s="9"/>
      <c r="C115" s="28">
        <f>SUM(C56:C114)</f>
        <v>203617.21999999997</v>
      </c>
      <c r="D115" s="28">
        <f t="shared" ref="D115:N115" si="22">SUM(D56:D114)</f>
        <v>335465.91999999993</v>
      </c>
      <c r="E115" s="28">
        <f t="shared" si="22"/>
        <v>301311.59999999998</v>
      </c>
      <c r="F115" s="28">
        <f t="shared" si="22"/>
        <v>277810.63</v>
      </c>
      <c r="G115" s="28">
        <f t="shared" si="22"/>
        <v>263002.43000000005</v>
      </c>
      <c r="H115" s="28">
        <f t="shared" si="22"/>
        <v>259897.19999999992</v>
      </c>
      <c r="I115" s="28">
        <f t="shared" si="22"/>
        <v>365808.73000000004</v>
      </c>
      <c r="J115" s="28">
        <f t="shared" si="22"/>
        <v>217725.34000000003</v>
      </c>
      <c r="K115" s="28">
        <f t="shared" si="22"/>
        <v>279055.76397435897</v>
      </c>
      <c r="L115" s="28">
        <f t="shared" si="22"/>
        <v>264962.76397435897</v>
      </c>
      <c r="M115" s="28">
        <f t="shared" si="22"/>
        <v>340587.97012820508</v>
      </c>
      <c r="N115" s="28">
        <f t="shared" si="22"/>
        <v>266605.76397435897</v>
      </c>
      <c r="O115" s="81">
        <f>SUM(O58:O114)</f>
        <v>1090540.5200000003</v>
      </c>
      <c r="T115" s="37">
        <f>SUM(T56:T114)</f>
        <v>3375851.3320512823</v>
      </c>
      <c r="W115" s="37">
        <f>SUM(W56:W114)</f>
        <v>3375851.3320512823</v>
      </c>
    </row>
    <row r="116" spans="1:26">
      <c r="A116" t="s">
        <v>104</v>
      </c>
      <c r="B116" s="10"/>
      <c r="C116" s="29">
        <f t="shared" ref="C116:N116" si="23">C32-C115</f>
        <v>803101.09000000008</v>
      </c>
      <c r="D116" s="29">
        <f t="shared" si="23"/>
        <v>513328.0900000002</v>
      </c>
      <c r="E116" s="29">
        <f t="shared" si="23"/>
        <v>1178035.0900000003</v>
      </c>
      <c r="F116" s="29">
        <f t="shared" si="23"/>
        <v>914378.77000000037</v>
      </c>
      <c r="G116" s="39">
        <f t="shared" si="23"/>
        <v>676789.94000000029</v>
      </c>
      <c r="H116" s="29">
        <f t="shared" si="23"/>
        <v>1264483.5200000003</v>
      </c>
      <c r="I116" s="29">
        <f t="shared" si="23"/>
        <v>909445.54000000027</v>
      </c>
      <c r="J116" s="39">
        <f t="shared" si="23"/>
        <v>704205.70000000019</v>
      </c>
      <c r="K116" s="29">
        <f t="shared" si="23"/>
        <v>1269228.4360256412</v>
      </c>
      <c r="L116" s="29">
        <f t="shared" si="23"/>
        <v>1019169.6720512821</v>
      </c>
      <c r="M116" s="29">
        <f t="shared" si="23"/>
        <v>804846.70192307699</v>
      </c>
      <c r="N116" s="29">
        <f t="shared" si="23"/>
        <v>1393473.3079487181</v>
      </c>
      <c r="O116" s="81">
        <f>O32-O56-O115</f>
        <v>1367349.0879487183</v>
      </c>
      <c r="T116" s="37">
        <f>T32-T115</f>
        <v>398461.80794871785</v>
      </c>
      <c r="U116" t="s">
        <v>253</v>
      </c>
      <c r="W116" s="37">
        <f>T32-W115</f>
        <v>398461.80794871785</v>
      </c>
    </row>
    <row r="117" spans="1:26">
      <c r="B117" s="8"/>
      <c r="O117" t="s">
        <v>92</v>
      </c>
      <c r="T117" s="37" t="s">
        <v>92</v>
      </c>
    </row>
    <row r="118" spans="1:26">
      <c r="B118" s="8"/>
      <c r="H118" t="s">
        <v>92</v>
      </c>
      <c r="O118" s="13"/>
    </row>
    <row r="119" spans="1:26">
      <c r="F119" t="s">
        <v>92</v>
      </c>
      <c r="H119" t="s">
        <v>92</v>
      </c>
      <c r="I119" t="s">
        <v>92</v>
      </c>
    </row>
    <row r="120" spans="1:26">
      <c r="F120" t="s">
        <v>92</v>
      </c>
      <c r="H120" t="s">
        <v>92</v>
      </c>
      <c r="I120" t="s">
        <v>92</v>
      </c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  <c r="O182" s="15"/>
    </row>
    <row r="183" spans="2:15">
      <c r="B183" s="8"/>
      <c r="O183" s="15"/>
    </row>
    <row r="184" spans="2:15">
      <c r="B184" s="8"/>
      <c r="O184" s="15"/>
    </row>
    <row r="185" spans="2:15">
      <c r="B185" s="8"/>
      <c r="O185" s="15"/>
    </row>
    <row r="186" spans="2:15">
      <c r="B186" s="8"/>
      <c r="O186" s="15"/>
    </row>
    <row r="187" spans="2:15">
      <c r="B187" s="8"/>
      <c r="O187" s="15"/>
    </row>
    <row r="188" spans="2:15">
      <c r="B188" s="8"/>
      <c r="O188" s="15"/>
    </row>
    <row r="189" spans="2:15">
      <c r="B189" s="8"/>
      <c r="O189" s="15"/>
    </row>
    <row r="190" spans="2:15">
      <c r="B190" s="8"/>
      <c r="O190" s="15"/>
    </row>
    <row r="191" spans="2:15">
      <c r="B191" s="8"/>
      <c r="O191" s="15"/>
    </row>
    <row r="192" spans="2:15">
      <c r="B192" s="8"/>
      <c r="O192" s="15"/>
    </row>
    <row r="193" spans="2:15">
      <c r="B193" s="8"/>
      <c r="O193" s="15"/>
    </row>
    <row r="194" spans="2:15">
      <c r="B194" s="8"/>
      <c r="O194" s="15"/>
    </row>
    <row r="195" spans="2:15">
      <c r="B195" s="8"/>
      <c r="O195" s="15"/>
    </row>
    <row r="196" spans="2:15">
      <c r="B196" s="8"/>
      <c r="O196" s="15"/>
    </row>
    <row r="197" spans="2:15">
      <c r="B197" s="8"/>
      <c r="O197" s="15"/>
    </row>
    <row r="198" spans="2:15">
      <c r="B198" s="8"/>
      <c r="O198" s="15"/>
    </row>
    <row r="199" spans="2:15">
      <c r="B199" s="8"/>
      <c r="O199" s="15"/>
    </row>
    <row r="200" spans="2:15">
      <c r="B200" s="8"/>
      <c r="O200" s="15"/>
    </row>
    <row r="201" spans="2:15">
      <c r="B201" s="8"/>
      <c r="O201" s="15"/>
    </row>
    <row r="202" spans="2:15">
      <c r="B202" s="8"/>
      <c r="O202" s="15"/>
    </row>
    <row r="203" spans="2:15">
      <c r="B203" s="8"/>
      <c r="O203" s="15"/>
    </row>
    <row r="204" spans="2:15">
      <c r="B204" s="8"/>
      <c r="O204" s="15"/>
    </row>
    <row r="205" spans="2:15">
      <c r="B205" s="8"/>
      <c r="O205" s="15"/>
    </row>
    <row r="206" spans="2:15">
      <c r="B206" s="8"/>
    </row>
    <row r="207" spans="2:15">
      <c r="B207" s="8"/>
    </row>
    <row r="208" spans="2:15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tabSelected="1" zoomScaleNormal="100" workbookViewId="0">
      <selection sqref="A1:N1"/>
    </sheetView>
  </sheetViews>
  <sheetFormatPr defaultColWidth="11.42578125" defaultRowHeight="12.75"/>
  <cols>
    <col min="1" max="1" width="8.7109375" customWidth="1"/>
    <col min="2" max="2" width="15.7109375" customWidth="1"/>
    <col min="3" max="3" width="12.7109375" customWidth="1"/>
    <col min="4" max="4" width="12.28515625" customWidth="1"/>
    <col min="5" max="5" width="11.42578125" customWidth="1"/>
    <col min="6" max="6" width="12.140625" customWidth="1"/>
    <col min="7" max="7" width="12.42578125" customWidth="1"/>
    <col min="8" max="8" width="13.140625" customWidth="1"/>
    <col min="9" max="9" width="13.42578125" customWidth="1"/>
    <col min="10" max="11" width="11.85546875" customWidth="1"/>
    <col min="12" max="12" width="12.140625" customWidth="1"/>
    <col min="13" max="13" width="12.42578125" customWidth="1"/>
    <col min="14" max="14" width="12.7109375" customWidth="1"/>
    <col min="15" max="16" width="15.7109375" customWidth="1"/>
    <col min="17" max="18" width="11.4257812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164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 t="s">
        <v>298</v>
      </c>
      <c r="C8">
        <v>2</v>
      </c>
      <c r="D8">
        <v>3</v>
      </c>
      <c r="E8">
        <v>2</v>
      </c>
      <c r="F8">
        <v>2</v>
      </c>
      <c r="G8">
        <v>2</v>
      </c>
      <c r="H8">
        <v>2</v>
      </c>
      <c r="I8">
        <v>3</v>
      </c>
      <c r="J8">
        <v>2</v>
      </c>
      <c r="K8">
        <v>2</v>
      </c>
      <c r="L8">
        <v>2</v>
      </c>
      <c r="M8">
        <v>2</v>
      </c>
      <c r="N8">
        <v>2</v>
      </c>
      <c r="O8">
        <f>SUM(C8:N8)</f>
        <v>26</v>
      </c>
    </row>
    <row r="9" spans="1:16">
      <c r="B9" s="8"/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</row>
    <row r="11" spans="1:16">
      <c r="B11" s="8"/>
      <c r="C11" s="25" t="s">
        <v>124</v>
      </c>
      <c r="D11" s="69" t="s">
        <v>124</v>
      </c>
      <c r="E11" s="69" t="s">
        <v>124</v>
      </c>
      <c r="F11" s="69" t="s">
        <v>124</v>
      </c>
      <c r="G11" s="69" t="s">
        <v>124</v>
      </c>
      <c r="H11" s="69" t="s">
        <v>124</v>
      </c>
      <c r="I11" s="123" t="s">
        <v>124</v>
      </c>
      <c r="J11" s="69" t="s">
        <v>124</v>
      </c>
      <c r="K11" s="69" t="s">
        <v>124</v>
      </c>
      <c r="L11" s="69" t="s">
        <v>124</v>
      </c>
      <c r="M11" s="51" t="s">
        <v>15</v>
      </c>
      <c r="N11" s="51" t="s">
        <v>15</v>
      </c>
    </row>
    <row r="12" spans="1:16">
      <c r="A12" s="18" t="s">
        <v>95</v>
      </c>
      <c r="B12" s="8"/>
      <c r="C12" s="112">
        <v>1370326.65</v>
      </c>
      <c r="D12" s="20">
        <f t="shared" ref="D12:N12" si="0">C90</f>
        <v>1151499.5099999998</v>
      </c>
      <c r="E12" s="20">
        <f t="shared" si="0"/>
        <v>788235.45999999973</v>
      </c>
      <c r="F12" s="20">
        <f t="shared" si="0"/>
        <v>1516990.5399999998</v>
      </c>
      <c r="G12" s="20">
        <f t="shared" si="0"/>
        <v>1174349.2799999998</v>
      </c>
      <c r="H12" s="20">
        <f t="shared" si="0"/>
        <v>872136.78999999992</v>
      </c>
      <c r="I12" s="20">
        <f t="shared" si="0"/>
        <v>1518990.81</v>
      </c>
      <c r="J12" s="20">
        <f t="shared" si="0"/>
        <v>1129391.1200000001</v>
      </c>
      <c r="K12" s="20">
        <f t="shared" si="0"/>
        <v>511586.66000000003</v>
      </c>
      <c r="L12" s="20">
        <f t="shared" si="0"/>
        <v>239046.99999999994</v>
      </c>
      <c r="M12" s="20">
        <f t="shared" si="0"/>
        <v>1293954.67</v>
      </c>
      <c r="N12" s="20">
        <f t="shared" si="0"/>
        <v>697968.96239230759</v>
      </c>
    </row>
    <row r="13" spans="1:16">
      <c r="A13" s="4" t="s">
        <v>92</v>
      </c>
      <c r="B13" s="8"/>
    </row>
    <row r="14" spans="1:16">
      <c r="B14" s="8"/>
      <c r="O14" t="s">
        <v>15</v>
      </c>
    </row>
    <row r="15" spans="1:16">
      <c r="A15" s="38" t="s">
        <v>143</v>
      </c>
      <c r="B15" s="8"/>
    </row>
    <row r="16" spans="1:16">
      <c r="A16">
        <v>330</v>
      </c>
      <c r="B16" s="9" t="s">
        <v>17</v>
      </c>
      <c r="C16" s="26">
        <v>0</v>
      </c>
      <c r="D16" s="26">
        <v>0</v>
      </c>
      <c r="E16" s="26">
        <v>1048732</v>
      </c>
      <c r="F16" s="26">
        <v>0</v>
      </c>
      <c r="G16" s="26">
        <v>0</v>
      </c>
      <c r="H16" s="26">
        <v>984079</v>
      </c>
      <c r="I16" s="26">
        <v>0</v>
      </c>
      <c r="J16" s="26">
        <v>0</v>
      </c>
      <c r="K16" s="26">
        <v>0</v>
      </c>
      <c r="L16" s="26">
        <v>985155</v>
      </c>
      <c r="M16" s="113">
        <v>0</v>
      </c>
      <c r="N16" s="26">
        <v>985155</v>
      </c>
      <c r="O16" s="37">
        <f>SUM(C16:N16)</f>
        <v>4003121</v>
      </c>
      <c r="P16" t="s">
        <v>138</v>
      </c>
    </row>
    <row r="17" spans="1:17">
      <c r="B17" s="9" t="s">
        <v>178</v>
      </c>
      <c r="I17">
        <v>0</v>
      </c>
      <c r="J17">
        <v>0</v>
      </c>
      <c r="K17">
        <v>41628</v>
      </c>
      <c r="M17" s="114">
        <v>0</v>
      </c>
      <c r="O17" s="37">
        <f t="shared" ref="O17:O30" si="1">SUM(C17:N17)</f>
        <v>41628</v>
      </c>
      <c r="P17" t="s">
        <v>139</v>
      </c>
    </row>
    <row r="18" spans="1:17">
      <c r="B18" s="9" t="s">
        <v>170</v>
      </c>
      <c r="C18" s="26"/>
      <c r="D18" s="26"/>
      <c r="E18" s="26">
        <v>4400</v>
      </c>
      <c r="F18" s="26"/>
      <c r="G18" s="26">
        <v>2916</v>
      </c>
      <c r="H18" s="26"/>
      <c r="I18" s="26"/>
      <c r="J18" s="26">
        <v>0</v>
      </c>
      <c r="K18" s="26">
        <v>0</v>
      </c>
      <c r="L18" s="26">
        <v>0</v>
      </c>
      <c r="M18" s="115">
        <v>1653</v>
      </c>
      <c r="N18" s="26"/>
      <c r="O18" s="37">
        <f t="shared" si="1"/>
        <v>8969</v>
      </c>
      <c r="P18" s="37">
        <f>SUM(C18:N18)</f>
        <v>8969</v>
      </c>
    </row>
    <row r="19" spans="1:17">
      <c r="B19" s="9" t="s">
        <v>162</v>
      </c>
      <c r="C19" s="26"/>
      <c r="D19" s="26"/>
      <c r="E19" s="26"/>
      <c r="F19" s="26"/>
      <c r="G19" s="26"/>
      <c r="H19" s="26"/>
      <c r="I19" s="26"/>
      <c r="J19" s="26">
        <v>0</v>
      </c>
      <c r="K19" s="26">
        <v>0</v>
      </c>
      <c r="L19" s="26">
        <v>0</v>
      </c>
      <c r="M19" s="115">
        <v>0</v>
      </c>
      <c r="N19" s="26"/>
      <c r="O19" s="37">
        <f t="shared" si="1"/>
        <v>0</v>
      </c>
      <c r="P19" s="37">
        <f t="shared" ref="P19:P30" si="2">SUM(C19:N19)</f>
        <v>0</v>
      </c>
    </row>
    <row r="20" spans="1:17">
      <c r="B20" s="101" t="s">
        <v>244</v>
      </c>
      <c r="C20" s="26"/>
      <c r="D20" s="26"/>
      <c r="E20" s="26"/>
      <c r="F20" s="26">
        <f>150+1350</f>
        <v>1500</v>
      </c>
      <c r="G20" s="26"/>
      <c r="H20" s="26"/>
      <c r="I20" s="26"/>
      <c r="J20" s="26">
        <v>0</v>
      </c>
      <c r="K20" s="26">
        <v>0</v>
      </c>
      <c r="L20" s="26"/>
      <c r="M20" s="115">
        <v>2740</v>
      </c>
      <c r="N20" s="26"/>
      <c r="O20" s="37">
        <f t="shared" si="1"/>
        <v>4240</v>
      </c>
      <c r="P20" s="37">
        <f t="shared" si="2"/>
        <v>4240</v>
      </c>
    </row>
    <row r="21" spans="1:17">
      <c r="B21" s="101" t="s">
        <v>277</v>
      </c>
      <c r="C21" s="26"/>
      <c r="D21" s="26"/>
      <c r="E21" s="26"/>
      <c r="F21" s="26"/>
      <c r="G21" s="26"/>
      <c r="H21" s="26"/>
      <c r="I21" s="26"/>
      <c r="J21" s="26">
        <v>0</v>
      </c>
      <c r="K21" s="26">
        <v>0</v>
      </c>
      <c r="L21" s="26"/>
      <c r="M21" s="115">
        <v>2500</v>
      </c>
      <c r="N21" s="26"/>
      <c r="O21" s="37">
        <f t="shared" si="1"/>
        <v>2500</v>
      </c>
      <c r="P21" s="37">
        <f t="shared" si="2"/>
        <v>2500</v>
      </c>
    </row>
    <row r="22" spans="1:17">
      <c r="B22" s="9" t="s">
        <v>243</v>
      </c>
      <c r="C22">
        <v>50936</v>
      </c>
      <c r="F22">
        <v>2664</v>
      </c>
      <c r="G22">
        <v>178</v>
      </c>
      <c r="J22" s="27">
        <v>0</v>
      </c>
      <c r="K22" s="27">
        <v>0</v>
      </c>
      <c r="M22" s="114">
        <v>0</v>
      </c>
      <c r="O22" s="37">
        <f t="shared" si="1"/>
        <v>53778</v>
      </c>
      <c r="P22" s="37">
        <f t="shared" si="2"/>
        <v>53778</v>
      </c>
    </row>
    <row r="23" spans="1:17">
      <c r="B23" s="9" t="s">
        <v>343</v>
      </c>
      <c r="C23" s="26"/>
      <c r="D23" s="26"/>
      <c r="E23" s="26"/>
      <c r="F23" s="26"/>
      <c r="G23" s="26"/>
      <c r="H23" s="26"/>
      <c r="I23" s="26"/>
      <c r="J23" s="26">
        <v>0</v>
      </c>
      <c r="K23" s="26">
        <f>500+1978</f>
        <v>2478</v>
      </c>
      <c r="L23" s="26">
        <v>29000</v>
      </c>
      <c r="M23" s="113">
        <v>0</v>
      </c>
      <c r="N23" s="26"/>
      <c r="O23" s="37">
        <f t="shared" si="1"/>
        <v>31478</v>
      </c>
      <c r="P23" s="37">
        <f t="shared" si="2"/>
        <v>31478</v>
      </c>
    </row>
    <row r="24" spans="1:17">
      <c r="B24" s="9" t="s">
        <v>278</v>
      </c>
      <c r="C24" s="26">
        <f>2838</f>
        <v>2838</v>
      </c>
      <c r="D24" s="26">
        <f>7281.34</f>
        <v>7281.34</v>
      </c>
      <c r="E24" s="26">
        <f>7636.67+634+463.33+634</f>
        <v>9368</v>
      </c>
      <c r="F24" s="26">
        <f>258.34+192-426+292.66</f>
        <v>317</v>
      </c>
      <c r="G24" s="26">
        <f>853+420+2503+265+920+91.5</f>
        <v>5052.5</v>
      </c>
      <c r="H24" s="26">
        <f>1413.33+1580.67+2347.5+167+1392.58+32</f>
        <v>6933.08</v>
      </c>
      <c r="I24" s="26">
        <f>2008+150+1251+348</f>
        <v>3757</v>
      </c>
      <c r="J24" s="26">
        <f>880+427+623+188+24+112+116</f>
        <v>2370</v>
      </c>
      <c r="K24" s="26">
        <f>3493.33+74.75+3051.5+1377.25+623+147+205</f>
        <v>8971.83</v>
      </c>
      <c r="L24" s="26">
        <f>3948+651+1234+1432+250+2369+230+381.5+180.25+278+456+125.5-200</f>
        <v>11335.25</v>
      </c>
      <c r="M24" s="26">
        <v>8000</v>
      </c>
      <c r="N24" s="26">
        <v>0</v>
      </c>
      <c r="O24" s="37">
        <v>62900</v>
      </c>
      <c r="P24" s="37">
        <f t="shared" si="2"/>
        <v>66224</v>
      </c>
      <c r="Q24" s="37">
        <f>P24/320</f>
        <v>206.95</v>
      </c>
    </row>
    <row r="25" spans="1:17">
      <c r="B25" s="9" t="s">
        <v>279</v>
      </c>
      <c r="C25" s="26"/>
      <c r="D25" s="26">
        <f>1705</f>
        <v>1705</v>
      </c>
      <c r="E25" s="26">
        <f>135.75+143.5+317.5+349.5+538.75+2111.5</f>
        <v>3596.5</v>
      </c>
      <c r="F25" s="26">
        <f>1957.15+1222.7+771.5+1065.25+4215.9-26.5</f>
        <v>9206</v>
      </c>
      <c r="G25" s="26">
        <v>3706.35</v>
      </c>
      <c r="H25" s="26">
        <f>4655.1+7.25</f>
        <v>4662.3500000000004</v>
      </c>
      <c r="I25" s="26">
        <f>379.5+105+2743.5+1+40.21</f>
        <v>3269.21</v>
      </c>
      <c r="J25" s="26">
        <f>532.5+4422.65</f>
        <v>4955.1499999999996</v>
      </c>
      <c r="K25" s="26">
        <v>3334.5</v>
      </c>
      <c r="L25" s="26">
        <f>4599.9+42</f>
        <v>4641.8999999999996</v>
      </c>
      <c r="M25" s="26"/>
      <c r="N25" s="26"/>
      <c r="O25" s="37">
        <f t="shared" si="1"/>
        <v>39076.959999999999</v>
      </c>
      <c r="P25" s="37">
        <f t="shared" si="2"/>
        <v>39076.959999999999</v>
      </c>
      <c r="Q25" s="37">
        <f>P25/320</f>
        <v>122.1155</v>
      </c>
    </row>
    <row r="26" spans="1:17">
      <c r="B26" s="9" t="s">
        <v>19</v>
      </c>
      <c r="C26" s="26"/>
      <c r="D26" s="26">
        <v>0</v>
      </c>
      <c r="E26" s="26">
        <f>1230+1060+2120+80+40+280+200+663.03</f>
        <v>5673.03</v>
      </c>
      <c r="F26" s="26">
        <v>0</v>
      </c>
      <c r="G26" s="26">
        <v>201</v>
      </c>
      <c r="H26" s="26">
        <v>0</v>
      </c>
      <c r="I26" s="26">
        <v>2150</v>
      </c>
      <c r="J26" s="26">
        <f>15+342.5</f>
        <v>357.5</v>
      </c>
      <c r="K26" s="26">
        <v>0</v>
      </c>
      <c r="L26" s="26">
        <v>0</v>
      </c>
      <c r="M26" s="26">
        <v>1000</v>
      </c>
      <c r="N26" s="26"/>
      <c r="O26" s="37">
        <f t="shared" si="1"/>
        <v>9381.5299999999988</v>
      </c>
      <c r="P26" s="37">
        <f t="shared" si="2"/>
        <v>9381.5299999999988</v>
      </c>
    </row>
    <row r="27" spans="1:17">
      <c r="B27" s="9" t="s">
        <v>20</v>
      </c>
      <c r="C27" s="26">
        <f>200+200</f>
        <v>400</v>
      </c>
      <c r="D27" s="26">
        <f>1885</f>
        <v>1885</v>
      </c>
      <c r="E27" s="26">
        <f>3845+1790+830+760+1226+260</f>
        <v>8711</v>
      </c>
      <c r="F27" s="26">
        <f>2725+260+1880</f>
        <v>4865</v>
      </c>
      <c r="G27" s="26">
        <f>1295+2275+285+320+5</f>
        <v>4180</v>
      </c>
      <c r="H27" s="26">
        <f>45+100+120+1085+1505+895</f>
        <v>3750</v>
      </c>
      <c r="I27" s="26">
        <f>1535+875+700+2330+130+100</f>
        <v>5670</v>
      </c>
      <c r="J27" s="26">
        <f>2157+1782</f>
        <v>3939</v>
      </c>
      <c r="K27" s="26">
        <f>110+2790+200+130+705+1375</f>
        <v>5310</v>
      </c>
      <c r="L27" s="26">
        <f>40+150+2350+850+30</f>
        <v>3420</v>
      </c>
      <c r="M27" s="26">
        <v>4500</v>
      </c>
      <c r="N27" s="26"/>
      <c r="O27" s="37">
        <f t="shared" si="1"/>
        <v>46630</v>
      </c>
      <c r="P27" s="37">
        <f t="shared" si="2"/>
        <v>46630</v>
      </c>
    </row>
    <row r="28" spans="1:17">
      <c r="B28" s="9" t="s">
        <v>247</v>
      </c>
      <c r="C28" s="26">
        <f>1150+600</f>
        <v>1750</v>
      </c>
      <c r="D28" s="26">
        <v>425</v>
      </c>
      <c r="E28" s="26">
        <v>0</v>
      </c>
      <c r="F28" s="26">
        <v>0</v>
      </c>
      <c r="G28" s="26"/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/>
      <c r="N28" s="26">
        <v>5000</v>
      </c>
      <c r="O28" s="37">
        <f t="shared" si="1"/>
        <v>7175</v>
      </c>
      <c r="P28" s="37">
        <f t="shared" si="2"/>
        <v>7175</v>
      </c>
    </row>
    <row r="29" spans="1:17">
      <c r="B29" s="9" t="s">
        <v>21</v>
      </c>
      <c r="C29" s="26">
        <f>4905.39+151+50+105</f>
        <v>5211.3900000000003</v>
      </c>
      <c r="D29" s="26">
        <f>1266+298.1</f>
        <v>1564.1</v>
      </c>
      <c r="E29" s="26">
        <f>905+990+969.22+969.22+10+4883.55</f>
        <v>8726.9900000000016</v>
      </c>
      <c r="F29" s="26">
        <f>290+292+555+15+230</f>
        <v>1382</v>
      </c>
      <c r="G29" s="26">
        <v>1000</v>
      </c>
      <c r="H29" s="26">
        <f>201+220+357.75+323.17+40+980+1000-201</f>
        <v>2920.92</v>
      </c>
      <c r="I29" s="26">
        <f>590+489.35+36+95+2003.6+200</f>
        <v>3413.95</v>
      </c>
      <c r="J29" s="26">
        <v>237.75</v>
      </c>
      <c r="K29" s="26">
        <f>150+39+750+260+246+222+260.52</f>
        <v>1927.52</v>
      </c>
      <c r="L29" s="26">
        <f>35+665+2275+180+42</f>
        <v>3197</v>
      </c>
      <c r="M29" s="26">
        <v>500</v>
      </c>
      <c r="N29" s="26">
        <v>500</v>
      </c>
      <c r="O29" s="37">
        <f t="shared" si="1"/>
        <v>30581.620000000003</v>
      </c>
      <c r="P29" s="37">
        <f t="shared" si="2"/>
        <v>30581.620000000003</v>
      </c>
    </row>
    <row r="30" spans="1:17">
      <c r="B30" s="9" t="s">
        <v>356</v>
      </c>
      <c r="C30" s="2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513324.25</v>
      </c>
      <c r="M30" s="26">
        <v>0</v>
      </c>
      <c r="N30" s="26">
        <v>0</v>
      </c>
      <c r="O30" s="37">
        <f t="shared" si="1"/>
        <v>513324.25</v>
      </c>
      <c r="P30" s="37">
        <f t="shared" si="2"/>
        <v>513324.25</v>
      </c>
    </row>
    <row r="31" spans="1:17">
      <c r="A31" s="38" t="s">
        <v>96</v>
      </c>
      <c r="B31" s="9"/>
      <c r="C31" s="28">
        <f t="shared" ref="C31:N31" si="3">SUM(C16:C30)</f>
        <v>61135.39</v>
      </c>
      <c r="D31" s="28">
        <f t="shared" si="3"/>
        <v>12860.44</v>
      </c>
      <c r="E31" s="28">
        <f t="shared" si="3"/>
        <v>1089207.52</v>
      </c>
      <c r="F31" s="28">
        <f t="shared" si="3"/>
        <v>19934</v>
      </c>
      <c r="G31" s="28">
        <f t="shared" si="3"/>
        <v>17233.849999999999</v>
      </c>
      <c r="H31" s="28">
        <f t="shared" si="3"/>
        <v>1002345.35</v>
      </c>
      <c r="I31" s="28">
        <f t="shared" si="3"/>
        <v>18260.16</v>
      </c>
      <c r="J31" s="28">
        <f t="shared" si="3"/>
        <v>11859.4</v>
      </c>
      <c r="K31" s="28">
        <f t="shared" si="3"/>
        <v>63649.85</v>
      </c>
      <c r="L31" s="28">
        <f t="shared" si="3"/>
        <v>1550073.4</v>
      </c>
      <c r="M31" s="28">
        <f t="shared" si="3"/>
        <v>20893</v>
      </c>
      <c r="N31" s="28">
        <f t="shared" si="3"/>
        <v>990655</v>
      </c>
      <c r="O31" s="81">
        <f>SUM(O16:O30)</f>
        <v>4854783.3600000003</v>
      </c>
    </row>
    <row r="32" spans="1:17">
      <c r="A32" s="38" t="s">
        <v>98</v>
      </c>
      <c r="B32" s="10"/>
      <c r="C32" s="29">
        <f t="shared" ref="C32:N32" si="4">C31+C12</f>
        <v>1431462.0399999998</v>
      </c>
      <c r="D32" s="29">
        <f t="shared" si="4"/>
        <v>1164359.9499999997</v>
      </c>
      <c r="E32" s="29">
        <f t="shared" si="4"/>
        <v>1877442.9799999997</v>
      </c>
      <c r="F32" s="29">
        <f t="shared" si="4"/>
        <v>1536924.5399999998</v>
      </c>
      <c r="G32" s="29">
        <f t="shared" si="4"/>
        <v>1191583.1299999999</v>
      </c>
      <c r="H32" s="29">
        <f t="shared" si="4"/>
        <v>1874482.14</v>
      </c>
      <c r="I32" s="29">
        <f t="shared" si="4"/>
        <v>1537250.97</v>
      </c>
      <c r="J32" s="29">
        <f t="shared" si="4"/>
        <v>1141250.52</v>
      </c>
      <c r="K32" s="29">
        <f t="shared" si="4"/>
        <v>575236.51</v>
      </c>
      <c r="L32" s="29">
        <f t="shared" si="4"/>
        <v>1789120.4</v>
      </c>
      <c r="M32" s="29">
        <f t="shared" si="4"/>
        <v>1314847.67</v>
      </c>
      <c r="N32" s="29">
        <f t="shared" si="4"/>
        <v>1688623.9623923076</v>
      </c>
    </row>
    <row r="33" spans="1:17">
      <c r="B33" s="8"/>
    </row>
    <row r="34" spans="1:17">
      <c r="A34" s="4" t="s">
        <v>99</v>
      </c>
      <c r="B34" s="8"/>
      <c r="M34" s="196" t="s">
        <v>435</v>
      </c>
    </row>
    <row r="35" spans="1:17">
      <c r="A35" s="19" t="s">
        <v>92</v>
      </c>
      <c r="B35" s="8" t="s">
        <v>92</v>
      </c>
    </row>
    <row r="36" spans="1:17">
      <c r="B36" s="9" t="s">
        <v>304</v>
      </c>
      <c r="C36" s="105">
        <f>12611.08+113.85+56931.12+728.85+3386+33896+12434.06+125.45+58410.16+13561.95+4072.09+21692+3000+750+1500-7500+130.05-27701.18</f>
        <v>188141.48</v>
      </c>
      <c r="D36" s="105">
        <f>107.25+96.75+137.3+52411.08+48898.48+50927.9+21944.9-1938.44+11014.67+10577.79+16807.29+13937.17+278.42-1342.32-0.11+27701-485.92</f>
        <v>251073.21000000005</v>
      </c>
      <c r="E36" s="26">
        <f>124.45+137.4+52594.62+66757.66+13456.88+19381.62+16017.12+15262.99+15642.96+571.99+36361.14+2745</f>
        <v>239053.82999999996</v>
      </c>
      <c r="F36" s="26">
        <f>14977.45+127.1+66334.61+253.96+31857.53+15033.15+137.8+66313.52+588.9+19600.37+5149.85+2608.42+4500</f>
        <v>227482.66</v>
      </c>
      <c r="G36" s="26">
        <f>15143.46+137.8+66050.43+24805.47+17053.54+14614.83+124.6+65279.48+327.84+361.34-1515.17+2275+2209.42</f>
        <v>206868.03999999998</v>
      </c>
      <c r="H36" s="26">
        <f>16704.83+14862.5+126.45+64813.04+192.98+2846+15196.85+133.75+65920.71+217.02+16411.87</f>
        <v>197426</v>
      </c>
      <c r="I36" s="26">
        <f>14936.75+425.3+64271.59+177.63+27402+2361.3+14781.71+124.9+63616.75+1412.91+4821.09+29586+16077.89+141.35+66908.04+1299.76-1000+4500</f>
        <v>311844.97000000003</v>
      </c>
      <c r="J36" s="26">
        <f>13480.95+589.2+57961.87+657.54+1832.33+7614.05+24883.12+14437.93+134+62647.21+1960.5+29574.26+2417.89+2361.3</f>
        <v>220552.15</v>
      </c>
      <c r="K36" s="26">
        <f>246.74+741.05+15052.26+125.1+65977.91+92.34+29755+2361.3+16505.69+15308.49+140.25+66580.8+315.69+2417.89-1200+5250</f>
        <v>219670.51</v>
      </c>
      <c r="L36" s="26">
        <f>16328.42+15284.78+135.1+66371.55+156.99+15552.67+126.2+67072.38+170.25</f>
        <v>181198.34000000003</v>
      </c>
      <c r="M36" s="26">
        <f>Personnel!$G$253*'Cash Flow 2014'!M8+Personnel!$G$250</f>
        <v>211101.9176076923</v>
      </c>
      <c r="N36" s="26">
        <f>Personnel!$G$253*'Cash Flow 2014'!N8+Personnel!$G$250</f>
        <v>211101.9176076923</v>
      </c>
      <c r="O36" s="37">
        <f>SUM(C36:N36)</f>
        <v>2665515.0252153846</v>
      </c>
      <c r="P36" s="37"/>
      <c r="Q36" s="37"/>
    </row>
    <row r="37" spans="1:17">
      <c r="B37" s="9"/>
      <c r="C37" s="105"/>
      <c r="D37" s="105"/>
      <c r="E37" s="26" t="s">
        <v>92</v>
      </c>
      <c r="F37" s="26"/>
      <c r="G37" s="26"/>
      <c r="H37" s="26"/>
      <c r="I37" s="26"/>
      <c r="J37" s="26"/>
      <c r="K37" s="26"/>
      <c r="L37" s="26"/>
      <c r="M37" s="26"/>
      <c r="N37" s="26"/>
      <c r="O37" s="37"/>
    </row>
    <row r="38" spans="1:17">
      <c r="A38" s="8"/>
      <c r="B38" s="41" t="s">
        <v>328</v>
      </c>
      <c r="C38" s="105">
        <f>207+295.83</f>
        <v>502.83</v>
      </c>
      <c r="D38" s="105">
        <f>3070.79+307+260.83</f>
        <v>3638.62</v>
      </c>
      <c r="E38" s="26">
        <f>207+260.83+51.67</f>
        <v>519.5</v>
      </c>
      <c r="F38" s="26">
        <f>207+260.83+410.8</f>
        <v>878.63</v>
      </c>
      <c r="G38" s="26">
        <v>207</v>
      </c>
      <c r="H38" s="26">
        <f>260.83+207</f>
        <v>467.83</v>
      </c>
      <c r="I38" s="26">
        <f>207+260.83+295.83</f>
        <v>763.66</v>
      </c>
      <c r="J38" s="26">
        <f>207+260.83</f>
        <v>467.83</v>
      </c>
      <c r="K38" s="26">
        <f>207+298.58</f>
        <v>505.58</v>
      </c>
      <c r="L38" s="26">
        <v>467.83</v>
      </c>
      <c r="M38" s="26">
        <v>1000</v>
      </c>
      <c r="N38" s="26">
        <v>1000</v>
      </c>
      <c r="O38" s="37">
        <f t="shared" ref="O38:O63" si="5">SUM(C38:N38)</f>
        <v>10419.31</v>
      </c>
    </row>
    <row r="39" spans="1:17">
      <c r="A39" s="8"/>
      <c r="B39" s="41" t="s">
        <v>342</v>
      </c>
      <c r="C39" s="105">
        <v>84.99</v>
      </c>
      <c r="D39" s="105">
        <f>1363.62</f>
        <v>1363.62</v>
      </c>
      <c r="E39" s="26">
        <v>1411</v>
      </c>
      <c r="F39" s="26">
        <f>8000+15215+170+4.99+75+154.95+60.58+702+185.42-15215</f>
        <v>9352.9400000000023</v>
      </c>
      <c r="G39" s="26">
        <v>0</v>
      </c>
      <c r="H39" s="26">
        <v>90.24</v>
      </c>
      <c r="I39" s="26">
        <f>212.85+1059.42+2027.61</f>
        <v>3299.88</v>
      </c>
      <c r="J39" s="26">
        <v>97.92</v>
      </c>
      <c r="K39" s="26">
        <f>4028+139.26+97.92</f>
        <v>4265.18</v>
      </c>
      <c r="L39" s="26">
        <f>270+225+275.98+77.5+166.48+1914.52</f>
        <v>2929.48</v>
      </c>
      <c r="M39" s="26">
        <v>417</v>
      </c>
      <c r="N39" s="26">
        <v>417</v>
      </c>
      <c r="O39" s="37">
        <f t="shared" si="5"/>
        <v>23729.250000000004</v>
      </c>
    </row>
    <row r="40" spans="1:17">
      <c r="A40" s="8"/>
      <c r="B40" s="41" t="s">
        <v>38</v>
      </c>
      <c r="C40" s="105">
        <f>214.94+495+280+606.9+205.24+1660+267.68+77.5+150+668.82+27.59</f>
        <v>4653.67</v>
      </c>
      <c r="D40" s="105">
        <f>495+267.68+275+523.2+112.2+4650+4650+874.18+1769.38+166.48+2500+885+1539+1678.81+77.5+174.16</f>
        <v>20637.59</v>
      </c>
      <c r="E40" s="105">
        <f>2695+267.68+267.68+2160+1074+248.69+885.26+14.45+500+340+284+249.64+88+309.72-526.75</f>
        <v>8857.3699999999972</v>
      </c>
      <c r="F40" s="105">
        <f>175.6+495+1544.38+83.08+77.5+152.95+318.58+130+101.73+10.5+601.03+1602.57</f>
        <v>5292.9199999999992</v>
      </c>
      <c r="G40" s="105">
        <f>890.32+267.68+77.5+88+267.68+1877.52+234.72+495</f>
        <v>4198.42</v>
      </c>
      <c r="H40" s="105">
        <f>1469.54+267.68+240+7215+77.5+1555.62+1471.06+1184+983+1148.7</f>
        <v>15612.1</v>
      </c>
      <c r="I40" s="105">
        <f>1014+279.78+100.3+77.5+275.98+75+266+479+1047.61+1097+212.5+1577.51+575.96+949.27</f>
        <v>8027.41</v>
      </c>
      <c r="J40" s="105">
        <f>825.46+93.54+275.98+1575+77.5+299.23+240+52.99+2751+237.95+3+856.59</f>
        <v>7288.24</v>
      </c>
      <c r="K40" s="105">
        <f>1074.74+20+275.98+77.5+88+267.68+185.82+840.5</f>
        <v>2830.2200000000003</v>
      </c>
      <c r="L40" s="105">
        <f>121.9+946.24</f>
        <v>1068.1400000000001</v>
      </c>
      <c r="M40" s="105">
        <v>3000</v>
      </c>
      <c r="N40" s="105">
        <v>3000</v>
      </c>
      <c r="O40" s="37">
        <f t="shared" si="5"/>
        <v>84466.08</v>
      </c>
    </row>
    <row r="41" spans="1:17">
      <c r="A41" s="8"/>
      <c r="B41" s="41" t="s">
        <v>100</v>
      </c>
      <c r="C41" s="105">
        <f>4750+2985.5</f>
        <v>7735.5</v>
      </c>
      <c r="D41" s="105">
        <f>90.64+5000+937.5+335.05</f>
        <v>6363.1900000000005</v>
      </c>
      <c r="E41" s="105">
        <f>11855</f>
        <v>11855</v>
      </c>
      <c r="F41" s="105">
        <f>29930+1519+2036.02+5017.78</f>
        <v>38502.799999999996</v>
      </c>
      <c r="G41" s="105">
        <v>0</v>
      </c>
      <c r="H41" s="105">
        <f>95.04+22750</f>
        <v>22845.040000000001</v>
      </c>
      <c r="I41" s="105">
        <f>887+1050+21.85+675+10</f>
        <v>2643.85</v>
      </c>
      <c r="J41" s="105">
        <f>325320+1208.75+1386</f>
        <v>327914.75</v>
      </c>
      <c r="K41" s="105">
        <v>1208.75</v>
      </c>
      <c r="L41" s="105">
        <f>618+5880+5008.2+11025.89+146804+1860+960+50000+20</f>
        <v>222176.09</v>
      </c>
      <c r="M41" s="105">
        <v>291148</v>
      </c>
      <c r="N41" s="105">
        <v>0</v>
      </c>
      <c r="O41" s="37">
        <f t="shared" si="5"/>
        <v>932392.97</v>
      </c>
    </row>
    <row r="42" spans="1:17">
      <c r="A42" s="8"/>
      <c r="B42" s="41" t="s">
        <v>39</v>
      </c>
      <c r="C42" s="26">
        <f>53.23+2587.92</f>
        <v>2641.15</v>
      </c>
      <c r="D42" s="26">
        <f>15.02+130.85+153.97+107.1+126.66+112.39+86.04+2134.01</f>
        <v>2866.04</v>
      </c>
      <c r="E42" s="26">
        <f>85+100+89.2+106.19+95.17+2718.86+16.77+12.5</f>
        <v>3223.69</v>
      </c>
      <c r="F42" s="26">
        <f>39.12+174.33+136.03+128.3+116.76+187.44+2500.75+271.05+18.09</f>
        <v>3571.8700000000003</v>
      </c>
      <c r="G42" s="26">
        <f>102.57+108.86+126.5+93.78+165.93+1839.63+80.55</f>
        <v>2517.8200000000006</v>
      </c>
      <c r="H42" s="26">
        <f>644.72+106.45+79.2+74.19+68.1+146.65+1555.62+415.05</f>
        <v>3089.9800000000005</v>
      </c>
      <c r="I42" s="26">
        <f>1253.93+104.46+87.36+71.87+93.38+125.57+1748.99+688.4</f>
        <v>4173.96</v>
      </c>
      <c r="J42" s="26">
        <f>1975.85+108.75+88.64+90.34+149.53+905.12+2405.21</f>
        <v>5723.4400000000005</v>
      </c>
      <c r="K42" s="26">
        <f>114.27+94.46+87.35+98.06+166.71+2520.32+2240.9</f>
        <v>5322.07</v>
      </c>
      <c r="L42" s="26">
        <f>93.46+93.02+83.28+172.85+84.11+1876.97+1930.96+1552.26</f>
        <v>5886.91</v>
      </c>
      <c r="M42" s="26">
        <f>4000+1000</f>
        <v>5000</v>
      </c>
      <c r="N42" s="26">
        <v>5000</v>
      </c>
      <c r="O42" s="37">
        <f t="shared" si="5"/>
        <v>49016.930000000008</v>
      </c>
    </row>
    <row r="43" spans="1:17">
      <c r="A43" s="8"/>
      <c r="B43" s="9" t="s">
        <v>149</v>
      </c>
      <c r="C43" s="26">
        <f t="shared" ref="C43:H43" si="6">11104.68+3536+5325</f>
        <v>19965.68</v>
      </c>
      <c r="D43" s="26">
        <f t="shared" si="6"/>
        <v>19965.68</v>
      </c>
      <c r="E43" s="26">
        <f t="shared" si="6"/>
        <v>19965.68</v>
      </c>
      <c r="F43" s="26">
        <f t="shared" si="6"/>
        <v>19965.68</v>
      </c>
      <c r="G43" s="26">
        <f t="shared" si="6"/>
        <v>19965.68</v>
      </c>
      <c r="H43" s="26">
        <f t="shared" si="6"/>
        <v>19965.68</v>
      </c>
      <c r="I43" s="26">
        <f>11104.68+3536+5325</f>
        <v>19965.68</v>
      </c>
      <c r="J43" s="26">
        <f>11104.68+3536+5325</f>
        <v>19965.68</v>
      </c>
      <c r="K43" s="26">
        <f>11104.68+3536+5325</f>
        <v>19965.68</v>
      </c>
      <c r="L43" s="26">
        <f>11104.68+3536+5325</f>
        <v>19965.68</v>
      </c>
      <c r="M43" s="26">
        <f t="shared" ref="M43:N43" si="7">11104.68+3536+5325</f>
        <v>19965.68</v>
      </c>
      <c r="N43" s="26">
        <f t="shared" si="7"/>
        <v>19965.68</v>
      </c>
      <c r="O43" s="37">
        <f t="shared" si="5"/>
        <v>239588.15999999995</v>
      </c>
    </row>
    <row r="44" spans="1:17" hidden="1">
      <c r="B44" s="9" t="s">
        <v>41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7">
        <f t="shared" si="5"/>
        <v>0</v>
      </c>
    </row>
    <row r="45" spans="1:17" hidden="1">
      <c r="B45" s="9" t="s">
        <v>42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7">
        <f t="shared" si="5"/>
        <v>0</v>
      </c>
    </row>
    <row r="46" spans="1:17" hidden="1">
      <c r="B46" s="9" t="s">
        <v>43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7">
        <f t="shared" si="5"/>
        <v>0</v>
      </c>
    </row>
    <row r="47" spans="1:17" hidden="1">
      <c r="B47" s="9" t="s">
        <v>44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7">
        <f t="shared" si="5"/>
        <v>0</v>
      </c>
    </row>
    <row r="48" spans="1:17" hidden="1">
      <c r="B48" s="9" t="s">
        <v>45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7">
        <f t="shared" si="5"/>
        <v>0</v>
      </c>
    </row>
    <row r="49" spans="2:15" hidden="1">
      <c r="B49" s="9" t="s">
        <v>46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7">
        <f t="shared" si="5"/>
        <v>0</v>
      </c>
    </row>
    <row r="50" spans="2:15">
      <c r="B50" s="9" t="s">
        <v>281</v>
      </c>
      <c r="C50" s="26">
        <f>4800+1000</f>
        <v>5800</v>
      </c>
      <c r="D50" s="26">
        <f>1000+4800</f>
        <v>5800</v>
      </c>
      <c r="E50" s="26">
        <f>1000+4800</f>
        <v>5800</v>
      </c>
      <c r="F50" s="26">
        <f>4800+1000</f>
        <v>5800</v>
      </c>
      <c r="G50" s="26">
        <f>4800+1000</f>
        <v>5800</v>
      </c>
      <c r="H50" s="26">
        <v>5800</v>
      </c>
      <c r="I50" s="26">
        <v>5800</v>
      </c>
      <c r="J50" s="26">
        <v>5800</v>
      </c>
      <c r="K50" s="26">
        <v>5800</v>
      </c>
      <c r="L50" s="26">
        <v>5800</v>
      </c>
      <c r="M50" s="26">
        <v>6000</v>
      </c>
      <c r="N50" s="26">
        <v>6000</v>
      </c>
      <c r="O50" s="37">
        <f t="shared" si="5"/>
        <v>70000</v>
      </c>
    </row>
    <row r="51" spans="2:15">
      <c r="B51" s="9" t="s">
        <v>47</v>
      </c>
      <c r="C51" s="26">
        <v>0</v>
      </c>
      <c r="D51" s="26">
        <v>0</v>
      </c>
      <c r="E51" s="26">
        <v>0</v>
      </c>
      <c r="F51" s="26">
        <v>3500</v>
      </c>
      <c r="G51" s="26">
        <v>4500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7">
        <f t="shared" si="5"/>
        <v>8000</v>
      </c>
    </row>
    <row r="52" spans="2:15">
      <c r="B52" s="9" t="s">
        <v>48</v>
      </c>
      <c r="C52" s="26">
        <f>600+600</f>
        <v>1200</v>
      </c>
      <c r="D52" s="26">
        <f>600</f>
        <v>600</v>
      </c>
      <c r="E52" s="26">
        <f>600+600+600</f>
        <v>1800</v>
      </c>
      <c r="F52" s="26">
        <v>600</v>
      </c>
      <c r="G52" s="26">
        <f>600+600</f>
        <v>1200</v>
      </c>
      <c r="H52" s="26">
        <f>1200+600</f>
        <v>1800</v>
      </c>
      <c r="I52" s="26">
        <f>600+600+600</f>
        <v>1800</v>
      </c>
      <c r="J52" s="26">
        <v>600</v>
      </c>
      <c r="K52" s="26">
        <f>600+600</f>
        <v>1200</v>
      </c>
      <c r="L52" s="26">
        <f>600+704.56</f>
        <v>1304.56</v>
      </c>
      <c r="M52" s="26">
        <v>1516.67</v>
      </c>
      <c r="N52" s="26">
        <v>1516.67</v>
      </c>
      <c r="O52" s="37">
        <f t="shared" si="5"/>
        <v>15137.9</v>
      </c>
    </row>
    <row r="53" spans="2:15">
      <c r="B53" s="9" t="s">
        <v>49</v>
      </c>
      <c r="C53" s="26">
        <v>6795</v>
      </c>
      <c r="D53" s="26">
        <f>1205.17+400+2170</f>
        <v>3775.17</v>
      </c>
      <c r="E53" s="26">
        <f>1225+400+726.59+2500+750</f>
        <v>5601.59</v>
      </c>
      <c r="F53" s="26">
        <v>400</v>
      </c>
      <c r="G53" s="26">
        <v>700</v>
      </c>
      <c r="H53" s="26">
        <f>299+299+400+105+14040</f>
        <v>15143</v>
      </c>
      <c r="I53" s="26">
        <f>1969.5+675+400-1517.49</f>
        <v>1527.01</v>
      </c>
      <c r="J53" s="26">
        <v>400</v>
      </c>
      <c r="K53" s="26">
        <f>19425+6825+400</f>
        <v>26650</v>
      </c>
      <c r="L53" s="26">
        <f>3750+400+136.5</f>
        <v>4286.5</v>
      </c>
      <c r="M53" s="26">
        <v>7500</v>
      </c>
      <c r="N53" s="26">
        <v>7500</v>
      </c>
      <c r="O53" s="37">
        <f t="shared" si="5"/>
        <v>80278.27</v>
      </c>
    </row>
    <row r="54" spans="2:15">
      <c r="B54" s="9" t="s">
        <v>52</v>
      </c>
      <c r="C54" s="26">
        <v>0</v>
      </c>
      <c r="D54" s="26">
        <v>0</v>
      </c>
      <c r="E54" s="26">
        <v>0</v>
      </c>
      <c r="F54" s="26">
        <f>388.12+150.97+168.6+999.38</f>
        <v>1707.0700000000002</v>
      </c>
      <c r="G54" s="26">
        <v>0</v>
      </c>
      <c r="H54" s="26">
        <f>738</f>
        <v>738</v>
      </c>
      <c r="I54" s="26">
        <v>0</v>
      </c>
      <c r="J54" s="26">
        <v>1350</v>
      </c>
      <c r="K54" s="26">
        <f>1350+199</f>
        <v>1549</v>
      </c>
      <c r="L54" s="26">
        <v>0</v>
      </c>
      <c r="M54" s="26">
        <v>500</v>
      </c>
      <c r="N54" s="26">
        <v>500</v>
      </c>
      <c r="O54" s="37">
        <f t="shared" si="5"/>
        <v>6344.07</v>
      </c>
    </row>
    <row r="55" spans="2:15">
      <c r="B55" s="9" t="s">
        <v>53</v>
      </c>
      <c r="C55" s="26">
        <v>0</v>
      </c>
      <c r="D55" s="26">
        <v>0</v>
      </c>
      <c r="E55" s="26">
        <f>699+600</f>
        <v>1299</v>
      </c>
      <c r="F55" s="26">
        <v>0</v>
      </c>
      <c r="G55" s="26">
        <v>4000</v>
      </c>
      <c r="H55" s="26">
        <f>4000+9500</f>
        <v>13500</v>
      </c>
      <c r="I55" s="26">
        <v>79</v>
      </c>
      <c r="J55" s="26">
        <v>0</v>
      </c>
      <c r="K55" s="26">
        <v>0</v>
      </c>
      <c r="L55" s="26">
        <v>800</v>
      </c>
      <c r="M55" s="26">
        <v>2000</v>
      </c>
      <c r="N55" s="26">
        <v>2000</v>
      </c>
      <c r="O55" s="37">
        <f t="shared" si="5"/>
        <v>23678</v>
      </c>
    </row>
    <row r="56" spans="2:15">
      <c r="B56" s="9" t="s">
        <v>338</v>
      </c>
      <c r="C56" s="26">
        <f>58.25+152.6+252.08</f>
        <v>462.93</v>
      </c>
      <c r="D56" s="26">
        <f>60+856.41</f>
        <v>916.41</v>
      </c>
      <c r="E56" s="26">
        <f>920.83+340.6+695</f>
        <v>1956.43</v>
      </c>
      <c r="F56" s="26">
        <f>254.01+797.03+131.51+92.36+166.4+6.5+848</f>
        <v>2295.81</v>
      </c>
      <c r="G56" s="26">
        <f>104.93+19.3+13.71+20+20.01+1246.9+142.16+2176.62+11+125</f>
        <v>3879.63</v>
      </c>
      <c r="H56" s="26">
        <f>360.31+19.1+115.6+111.49+48.23+666.59+138.94+1107.41</f>
        <v>2567.67</v>
      </c>
      <c r="I56" s="26">
        <f>71.44+359.74</f>
        <v>431.18</v>
      </c>
      <c r="J56" s="26">
        <f>17+33.61+1379.61</f>
        <v>1430.2199999999998</v>
      </c>
      <c r="K56" s="26">
        <v>0</v>
      </c>
      <c r="L56" s="26">
        <f>3.09+56.28+1154.89</f>
        <v>1214.2600000000002</v>
      </c>
      <c r="M56" s="26">
        <v>2000</v>
      </c>
      <c r="N56" s="26">
        <v>2000</v>
      </c>
      <c r="O56" s="37">
        <f t="shared" si="5"/>
        <v>19154.54</v>
      </c>
    </row>
    <row r="57" spans="2:15">
      <c r="B57" s="9" t="s">
        <v>55</v>
      </c>
      <c r="C57" s="26">
        <f>695.65+199.17</f>
        <v>894.81999999999994</v>
      </c>
      <c r="D57" s="26">
        <f>199.17+440.99+676.1</f>
        <v>1316.26</v>
      </c>
      <c r="E57" s="26">
        <f>673.65+120.52+199.17</f>
        <v>993.33999999999992</v>
      </c>
      <c r="F57" s="26">
        <f>120.52+698</f>
        <v>818.52</v>
      </c>
      <c r="G57" s="26">
        <f>705.24+120.52+398.56+556.59</f>
        <v>1780.9099999999999</v>
      </c>
      <c r="H57" s="26">
        <f>120.52+95+684.29+209.24+196.69</f>
        <v>1305.74</v>
      </c>
      <c r="I57" s="26">
        <f>120.52+679.32+199.45+179.95</f>
        <v>1179.24</v>
      </c>
      <c r="J57" s="26">
        <f>703.5+120.52+692.5+199.45+195.65</f>
        <v>1911.6200000000001</v>
      </c>
      <c r="K57" s="26">
        <f>120.52+694.31+199.45+196.03</f>
        <v>1210.31</v>
      </c>
      <c r="L57" s="26">
        <f>695.37+199.49+120.52+199.58</f>
        <v>1214.96</v>
      </c>
      <c r="M57" s="26">
        <v>1500</v>
      </c>
      <c r="N57" s="26">
        <v>1500</v>
      </c>
      <c r="O57" s="37">
        <f t="shared" si="5"/>
        <v>15625.720000000001</v>
      </c>
    </row>
    <row r="58" spans="2:15">
      <c r="B58" s="9" t="s">
        <v>57</v>
      </c>
      <c r="C58" s="26">
        <f>286.9+1080+33.04+10.93</f>
        <v>1410.8700000000001</v>
      </c>
      <c r="D58" s="26">
        <v>0</v>
      </c>
      <c r="E58" s="26">
        <f>140.13+326.17</f>
        <v>466.3</v>
      </c>
      <c r="F58" s="26">
        <f>78.49+18.62+216.75</f>
        <v>313.86</v>
      </c>
      <c r="G58" s="26">
        <f>200.59+200.87</f>
        <v>401.46000000000004</v>
      </c>
      <c r="H58" s="26">
        <f>74.04+74.34</f>
        <v>148.38</v>
      </c>
      <c r="I58" s="26">
        <f>94.97+249.73</f>
        <v>344.7</v>
      </c>
      <c r="J58" s="26">
        <f>127+317.88</f>
        <v>444.88</v>
      </c>
      <c r="K58" s="26">
        <f>146.55+265.14+39.56+317.88</f>
        <v>769.13</v>
      </c>
      <c r="L58" s="26">
        <f>30.88+43.42</f>
        <v>74.3</v>
      </c>
      <c r="M58" s="26">
        <v>500</v>
      </c>
      <c r="N58" s="26">
        <v>500</v>
      </c>
      <c r="O58" s="37">
        <f t="shared" si="5"/>
        <v>5373.88</v>
      </c>
    </row>
    <row r="59" spans="2:15">
      <c r="B59" s="9" t="s">
        <v>60</v>
      </c>
      <c r="C59" s="26">
        <v>0</v>
      </c>
      <c r="D59" s="26">
        <v>0</v>
      </c>
      <c r="E59" s="26">
        <v>0</v>
      </c>
      <c r="F59" s="26">
        <f>215.75+57.2+95.1</f>
        <v>368.04999999999995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500</v>
      </c>
      <c r="N59" s="26">
        <v>500</v>
      </c>
      <c r="O59" s="37">
        <f t="shared" si="5"/>
        <v>1368.05</v>
      </c>
    </row>
    <row r="60" spans="2:15">
      <c r="B60" s="9" t="s">
        <v>63</v>
      </c>
      <c r="C60" s="26">
        <f>98+300+746.21</f>
        <v>1144.21</v>
      </c>
      <c r="D60" s="26">
        <f>900+1360</f>
        <v>2260</v>
      </c>
      <c r="E60" s="26">
        <f>900+1500+115+746.21</f>
        <v>3261.21</v>
      </c>
      <c r="F60" s="26">
        <f>240+100</f>
        <v>340</v>
      </c>
      <c r="G60" s="26">
        <f>840+250</f>
        <v>1090</v>
      </c>
      <c r="H60" s="26">
        <f>381.2+389.86+929+517+587.76+1740+50+700</f>
        <v>5294.82</v>
      </c>
      <c r="I60" s="26">
        <f>579.2+416.72+605.92+340+420+820.53</f>
        <v>3182.37</v>
      </c>
      <c r="J60" s="26">
        <f>301.68+310.62+676+1200+945+1620+1316+42.45</f>
        <v>6411.75</v>
      </c>
      <c r="K60" s="26">
        <f>327.84+425.72+878.46+945+1620+316.56+1172+50.43+42.45</f>
        <v>5778.4600000000009</v>
      </c>
      <c r="L60" s="26">
        <f>540+1296+1134+750+552.19+537.19+146.19</f>
        <v>4955.5700000000006</v>
      </c>
      <c r="M60" s="26">
        <v>2000</v>
      </c>
      <c r="N60" s="26">
        <v>1000</v>
      </c>
      <c r="O60" s="37">
        <f t="shared" si="5"/>
        <v>36718.39</v>
      </c>
    </row>
    <row r="61" spans="2:15">
      <c r="B61" s="9" t="s">
        <v>301</v>
      </c>
      <c r="C61" s="26">
        <f>1090+1090</f>
        <v>2180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37">
        <f t="shared" si="5"/>
        <v>2180</v>
      </c>
    </row>
    <row r="62" spans="2:15">
      <c r="B62" s="9" t="s">
        <v>302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37">
        <f t="shared" si="5"/>
        <v>0</v>
      </c>
    </row>
    <row r="63" spans="2:15">
      <c r="B63" s="9" t="s">
        <v>66</v>
      </c>
      <c r="C63" s="26">
        <f>4619</f>
        <v>4619</v>
      </c>
      <c r="D63" s="26">
        <v>2314.5</v>
      </c>
      <c r="E63" s="26">
        <v>2314.5</v>
      </c>
      <c r="F63" s="26">
        <v>0</v>
      </c>
      <c r="G63" s="26">
        <v>4675.8</v>
      </c>
      <c r="H63" s="26">
        <v>2361.3000000000002</v>
      </c>
      <c r="I63" s="26">
        <v>0</v>
      </c>
      <c r="J63" s="26">
        <v>0</v>
      </c>
      <c r="K63" s="79">
        <v>2847</v>
      </c>
      <c r="L63" s="26">
        <v>0</v>
      </c>
      <c r="M63" s="26">
        <v>6000</v>
      </c>
      <c r="N63" s="26">
        <v>0</v>
      </c>
      <c r="O63" s="37">
        <f t="shared" si="5"/>
        <v>25132.1</v>
      </c>
    </row>
    <row r="64" spans="2:15" hidden="1">
      <c r="B64" s="9" t="s">
        <v>67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37">
        <f t="shared" ref="O64:O88" si="8">SUM(C64:N64)</f>
        <v>0</v>
      </c>
    </row>
    <row r="65" spans="2:16" hidden="1">
      <c r="B65" s="9" t="s">
        <v>68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37">
        <f t="shared" si="8"/>
        <v>0</v>
      </c>
    </row>
    <row r="66" spans="2:16">
      <c r="B66" s="9" t="s">
        <v>69</v>
      </c>
      <c r="C66" s="26">
        <v>717.97</v>
      </c>
      <c r="D66" s="26">
        <v>0</v>
      </c>
      <c r="E66" s="26">
        <v>0</v>
      </c>
      <c r="F66" s="26">
        <f>44.14+21.98</f>
        <v>66.12</v>
      </c>
      <c r="G66" s="26">
        <f>203.72+246.41+103.89</f>
        <v>554.02</v>
      </c>
      <c r="H66" s="26">
        <f>1387.81+46.15</f>
        <v>1433.96</v>
      </c>
      <c r="I66" s="26">
        <v>0</v>
      </c>
      <c r="J66" s="26">
        <v>0</v>
      </c>
      <c r="K66" s="26">
        <f>117.68</f>
        <v>117.68</v>
      </c>
      <c r="L66" s="26">
        <v>0</v>
      </c>
      <c r="M66" s="26">
        <v>100</v>
      </c>
      <c r="N66" s="26">
        <v>100</v>
      </c>
      <c r="O66" s="37">
        <f t="shared" si="8"/>
        <v>3089.75</v>
      </c>
    </row>
    <row r="67" spans="2:16">
      <c r="B67" s="9" t="s">
        <v>71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7">
        <f t="shared" si="8"/>
        <v>0</v>
      </c>
    </row>
    <row r="68" spans="2:16">
      <c r="B68" s="9" t="s">
        <v>72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4301.45</v>
      </c>
      <c r="L68" s="26">
        <v>0</v>
      </c>
      <c r="M68" s="26">
        <v>3000</v>
      </c>
      <c r="N68" s="26">
        <v>3000</v>
      </c>
      <c r="O68" s="37">
        <f t="shared" si="8"/>
        <v>10301.450000000001</v>
      </c>
    </row>
    <row r="69" spans="2:16">
      <c r="B69" s="9" t="s">
        <v>73</v>
      </c>
      <c r="C69" s="26">
        <f>378.77+950+970.95</f>
        <v>2299.7200000000003</v>
      </c>
      <c r="D69" s="26">
        <f>400+660.4</f>
        <v>1060.4000000000001</v>
      </c>
      <c r="E69" s="26">
        <f>194+900</f>
        <v>1094</v>
      </c>
      <c r="F69" s="26">
        <f>900+699+1200+2050+329.86+215.81</f>
        <v>5394.67</v>
      </c>
      <c r="G69" s="26">
        <f>229+230+916+1221.12+62.1</f>
        <v>2658.22</v>
      </c>
      <c r="H69" s="26">
        <f>213.86+120+13.25+500+600+600+182.81+1859.11+199.92</f>
        <v>4288.95</v>
      </c>
      <c r="I69" s="26">
        <f>600+273.25+458+83.78</f>
        <v>1415.03</v>
      </c>
      <c r="J69" s="26">
        <f>179.05</f>
        <v>179.05</v>
      </c>
      <c r="K69" s="26">
        <f>48.96+91.43+238.99</f>
        <v>379.38</v>
      </c>
      <c r="L69" s="26">
        <v>75</v>
      </c>
      <c r="M69" s="26">
        <v>1500</v>
      </c>
      <c r="N69" s="26">
        <v>1500</v>
      </c>
      <c r="O69" s="37">
        <f t="shared" si="8"/>
        <v>21844.42</v>
      </c>
    </row>
    <row r="70" spans="2:16">
      <c r="B70" s="9" t="s">
        <v>74</v>
      </c>
      <c r="C70" s="26">
        <f>262.5+900+1910</f>
        <v>3072.5</v>
      </c>
      <c r="D70" s="26">
        <f>126.6+1790</f>
        <v>1916.6</v>
      </c>
      <c r="E70" s="26">
        <v>0</v>
      </c>
      <c r="F70" s="26">
        <f>2802.5+5775</f>
        <v>8577.5</v>
      </c>
      <c r="G70" s="26">
        <f>4085+5000+4593.75</f>
        <v>13678.75</v>
      </c>
      <c r="H70" s="26">
        <f>3895+2643.75</f>
        <v>6538.75</v>
      </c>
      <c r="I70" s="26">
        <f>5320+5137.5+5890+113.75</f>
        <v>16461.25</v>
      </c>
      <c r="J70" s="26">
        <f>650+956.25+542.75+3230+200.36+238.99</f>
        <v>5818.3499999999995</v>
      </c>
      <c r="K70" s="26">
        <f>29.25+1950+918.75+69.14</f>
        <v>2967.14</v>
      </c>
      <c r="L70" s="26">
        <f>2660+2475+3768.75+79.73</f>
        <v>8983.48</v>
      </c>
      <c r="M70" s="26">
        <v>12000</v>
      </c>
      <c r="N70" s="26">
        <v>12000</v>
      </c>
      <c r="O70" s="37">
        <f t="shared" si="8"/>
        <v>92014.319999999992</v>
      </c>
    </row>
    <row r="71" spans="2:16">
      <c r="B71" s="9" t="s">
        <v>75</v>
      </c>
      <c r="C71" s="26">
        <f>425+2234</f>
        <v>2659</v>
      </c>
      <c r="D71" s="26">
        <v>518.96</v>
      </c>
      <c r="E71" s="26">
        <f>1228.69+14.55+147.15</f>
        <v>1390.39</v>
      </c>
      <c r="F71" s="26">
        <f>8.39+159.35+83.78+623.17</f>
        <v>874.68999999999994</v>
      </c>
      <c r="G71" s="26">
        <v>2000</v>
      </c>
      <c r="H71" s="26">
        <v>101.73</v>
      </c>
      <c r="I71" s="26">
        <v>63.19</v>
      </c>
      <c r="J71" s="26">
        <v>57.66</v>
      </c>
      <c r="K71" s="26">
        <f>126.89+57.66</f>
        <v>184.55</v>
      </c>
      <c r="L71" s="26">
        <f>183.59+19.71+194.85</f>
        <v>398.15</v>
      </c>
      <c r="M71" s="26">
        <v>400</v>
      </c>
      <c r="N71" s="26">
        <v>400</v>
      </c>
      <c r="O71" s="37">
        <f>SUM(C71:N71)</f>
        <v>9048.32</v>
      </c>
    </row>
    <row r="72" spans="2:16">
      <c r="B72" s="9" t="s">
        <v>76</v>
      </c>
      <c r="C72" s="26">
        <v>60.61</v>
      </c>
      <c r="D72" s="26">
        <v>11.85</v>
      </c>
      <c r="E72" s="26">
        <v>724</v>
      </c>
      <c r="F72" s="26">
        <f>9.98+70+22.99+102.63</f>
        <v>205.6</v>
      </c>
      <c r="G72" s="26">
        <v>0</v>
      </c>
      <c r="H72" s="26">
        <v>0</v>
      </c>
      <c r="I72" s="26">
        <f>174.5</f>
        <v>174.5</v>
      </c>
      <c r="J72" s="26">
        <v>0</v>
      </c>
      <c r="K72" s="26">
        <f>237.51+290.63</f>
        <v>528.14</v>
      </c>
      <c r="L72" s="26">
        <f>44.82+420.27</f>
        <v>465.09</v>
      </c>
      <c r="M72" s="26">
        <v>550.5</v>
      </c>
      <c r="N72" s="26">
        <v>550.5</v>
      </c>
      <c r="O72" s="37">
        <f t="shared" si="8"/>
        <v>3270.79</v>
      </c>
      <c r="P72" s="37"/>
    </row>
    <row r="73" spans="2:16">
      <c r="B73" s="41" t="s">
        <v>77</v>
      </c>
      <c r="C73" s="105">
        <f>61.12+37.71+220.15+1408.24+472.25+947.4</f>
        <v>3146.8700000000003</v>
      </c>
      <c r="D73" s="105">
        <f>75.45+115.59+667.9+252.89+60+82.77+74.87-298.1+2472.81</f>
        <v>3504.18</v>
      </c>
      <c r="E73" s="105">
        <f>4912.23+90.99+20+278.3+900.9+40.1+48+243.75+365.96+36.85+1350</f>
        <v>8287.08</v>
      </c>
      <c r="F73" s="105">
        <f>131.15+113.66+100+200+136.83+53.11+733.41</f>
        <v>1468.1599999999999</v>
      </c>
      <c r="G73" s="105">
        <f>284.43+244.34+146.92+113.3+43.63+95+83.52+166.46+112.6+133.49+6872.68</f>
        <v>8296.3700000000008</v>
      </c>
      <c r="H73" s="105">
        <f>8.99+484+99.95+261.59+160.94+304.56+15.87+9.32+1394.26+660.42-1557.6</f>
        <v>1842.2999999999997</v>
      </c>
      <c r="I73" s="105">
        <f>637.38+85.5+11.68+1582.69</f>
        <v>2317.25</v>
      </c>
      <c r="J73" s="105">
        <f>69.28+598+116+286.35+240.35</f>
        <v>1309.98</v>
      </c>
      <c r="K73" s="105">
        <f>35+2725.03+51.84+125.59+67.49+106.88+126.1+50.25+240.35</f>
        <v>3528.53</v>
      </c>
      <c r="L73" s="105">
        <f>129.6+804.24+270+45+686.36+83.11+676.65+80+626.39+173.99+220+142.6+1553.22+114.35+1066.5</f>
        <v>6672.01</v>
      </c>
      <c r="M73" s="105">
        <v>5850</v>
      </c>
      <c r="N73" s="105">
        <v>5850</v>
      </c>
      <c r="O73" s="37">
        <f t="shared" si="8"/>
        <v>52072.73</v>
      </c>
      <c r="P73" s="37"/>
    </row>
    <row r="74" spans="2:16">
      <c r="B74" s="41" t="s">
        <v>78</v>
      </c>
      <c r="C74" s="105">
        <f>3331.85+985.6+6885.09+9.45+167.02</f>
        <v>11379.010000000002</v>
      </c>
      <c r="D74" s="105">
        <v>0</v>
      </c>
      <c r="E74" s="105">
        <v>0</v>
      </c>
      <c r="F74" s="105">
        <f>1839.57+97.5+329</f>
        <v>2266.0699999999997</v>
      </c>
      <c r="G74" s="105">
        <v>0</v>
      </c>
      <c r="H74" s="105">
        <f>8237.74</f>
        <v>8237.74</v>
      </c>
      <c r="I74" s="105">
        <v>365.25</v>
      </c>
      <c r="J74" s="105">
        <v>1436.03</v>
      </c>
      <c r="K74" s="105">
        <f>922.14+2098+1436.03-579.17</f>
        <v>3877</v>
      </c>
      <c r="L74" s="105">
        <v>50</v>
      </c>
      <c r="M74" s="105">
        <v>2925</v>
      </c>
      <c r="N74" s="105">
        <v>1170</v>
      </c>
      <c r="O74" s="37">
        <f t="shared" si="8"/>
        <v>31706.1</v>
      </c>
      <c r="P74" s="52"/>
    </row>
    <row r="75" spans="2:16">
      <c r="B75" s="9" t="s">
        <v>82</v>
      </c>
      <c r="C75" s="26">
        <v>0</v>
      </c>
      <c r="D75" s="26">
        <v>4414</v>
      </c>
      <c r="E75" s="26">
        <v>1083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37">
        <f t="shared" si="8"/>
        <v>5497</v>
      </c>
      <c r="P75" s="37"/>
    </row>
    <row r="76" spans="2:16">
      <c r="B76" s="9" t="s">
        <v>83</v>
      </c>
      <c r="C76" s="26">
        <f>20+121.9+1000+485.89+15.18+155.61</f>
        <v>1798.58</v>
      </c>
      <c r="D76" s="26">
        <f>7909+5000</f>
        <v>12909</v>
      </c>
      <c r="E76" s="26">
        <f>5778+40.21+582.7</f>
        <v>6400.91</v>
      </c>
      <c r="F76" s="26">
        <f>11556+122.63</f>
        <v>11678.63</v>
      </c>
      <c r="G76" s="26">
        <f>17334+366.5</f>
        <v>17700.5</v>
      </c>
      <c r="H76" s="26">
        <f>12301+159.57</f>
        <v>12460.57</v>
      </c>
      <c r="I76" s="26">
        <f>121.9+11556+243.33</f>
        <v>11921.23</v>
      </c>
      <c r="J76" s="26">
        <f>11556+202.46</f>
        <v>11758.46</v>
      </c>
      <c r="K76" s="26">
        <f>12311+208.77+286.12</f>
        <v>12805.890000000001</v>
      </c>
      <c r="L76" s="26">
        <f>12321+70.11</f>
        <v>12391.11</v>
      </c>
      <c r="M76" s="26">
        <f t="shared" ref="M76:N76" si="9">5888+5888</f>
        <v>11776</v>
      </c>
      <c r="N76" s="26">
        <f t="shared" si="9"/>
        <v>11776</v>
      </c>
      <c r="O76" s="37">
        <f t="shared" si="8"/>
        <v>135376.88</v>
      </c>
      <c r="P76" s="37">
        <f>O76/12</f>
        <v>11281.406666666668</v>
      </c>
    </row>
    <row r="77" spans="2:16">
      <c r="B77" s="9" t="s">
        <v>155</v>
      </c>
      <c r="C77" s="49">
        <v>1179.45</v>
      </c>
      <c r="D77" s="49">
        <v>1179.45</v>
      </c>
      <c r="E77" s="49">
        <v>1179.45</v>
      </c>
      <c r="F77" s="49">
        <v>1179.45</v>
      </c>
      <c r="G77" s="49">
        <v>1179.45</v>
      </c>
      <c r="H77" s="49">
        <v>1179.45</v>
      </c>
      <c r="I77" s="49">
        <v>1179.45</v>
      </c>
      <c r="J77" s="49">
        <v>1179.45</v>
      </c>
      <c r="K77" s="49">
        <v>1179.45</v>
      </c>
      <c r="L77" s="49">
        <v>1179.45</v>
      </c>
      <c r="M77" s="49">
        <v>1179.45</v>
      </c>
      <c r="N77" s="49">
        <v>1179.45</v>
      </c>
      <c r="O77" s="37">
        <f t="shared" si="8"/>
        <v>14153.400000000003</v>
      </c>
    </row>
    <row r="78" spans="2:16">
      <c r="B78" s="9" t="s">
        <v>84</v>
      </c>
      <c r="C78" s="26">
        <f>579.9+579.9</f>
        <v>1159.8</v>
      </c>
      <c r="D78" s="26">
        <v>0</v>
      </c>
      <c r="E78" s="26">
        <v>0</v>
      </c>
      <c r="F78" s="26">
        <v>0</v>
      </c>
      <c r="G78" s="26">
        <f>60.5+209.52</f>
        <v>270.02</v>
      </c>
      <c r="H78" s="26">
        <v>0</v>
      </c>
      <c r="I78" s="26">
        <v>35.299999999999997</v>
      </c>
      <c r="J78" s="26">
        <v>215.75</v>
      </c>
      <c r="K78" s="26">
        <v>0</v>
      </c>
      <c r="L78" s="26">
        <v>0</v>
      </c>
      <c r="M78" s="26">
        <v>1000</v>
      </c>
      <c r="N78" s="26">
        <v>1000</v>
      </c>
      <c r="O78" s="37">
        <f t="shared" si="8"/>
        <v>3680.87</v>
      </c>
    </row>
    <row r="79" spans="2:16">
      <c r="B79" s="9" t="s">
        <v>85</v>
      </c>
      <c r="C79" s="26">
        <f>230</f>
        <v>230</v>
      </c>
      <c r="D79" s="26">
        <v>0</v>
      </c>
      <c r="E79" s="26">
        <f>442.6+202+202+2148+2921+250+617</f>
        <v>6782.6</v>
      </c>
      <c r="F79" s="26">
        <f>1071+202+2161+145+1797+202+2143.8+101</f>
        <v>7822.8</v>
      </c>
      <c r="G79" s="26">
        <f>202+2148+202+120+2859+1119+204+204</f>
        <v>7058</v>
      </c>
      <c r="H79" s="26">
        <f>2676+1994+202+204+120+1158.85+205+2709+205</f>
        <v>9473.85</v>
      </c>
      <c r="I79" s="26">
        <f>1851+360+1810+1125+579.6+207+137.64</f>
        <v>6070.2400000000007</v>
      </c>
      <c r="J79" s="26">
        <f>105.6+103.5+1164+519+120+2328+146.3</f>
        <v>4486.4000000000005</v>
      </c>
      <c r="K79" s="26">
        <f>120+1332+139.86+334.4+424.9+2298+309</f>
        <v>4958.16</v>
      </c>
      <c r="L79" s="26">
        <f>2451+424.9+2436+504+242.45+2270.9+212.45+115.73</f>
        <v>8657.43</v>
      </c>
      <c r="M79" s="26">
        <v>7605</v>
      </c>
      <c r="N79" s="26">
        <v>7605</v>
      </c>
      <c r="O79" s="37">
        <f t="shared" si="8"/>
        <v>70749.48000000001</v>
      </c>
    </row>
    <row r="80" spans="2:16" hidden="1">
      <c r="B80" s="9" t="s">
        <v>86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37">
        <f t="shared" si="8"/>
        <v>0</v>
      </c>
    </row>
    <row r="81" spans="1:16" hidden="1">
      <c r="B81" s="9" t="s">
        <v>87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37">
        <f t="shared" si="8"/>
        <v>0</v>
      </c>
    </row>
    <row r="82" spans="1:16" hidden="1">
      <c r="B82" s="9" t="s">
        <v>88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1089</v>
      </c>
      <c r="K82" s="26">
        <v>0</v>
      </c>
      <c r="L82" s="26">
        <v>0</v>
      </c>
      <c r="M82" s="26">
        <v>0</v>
      </c>
      <c r="N82" s="26">
        <v>0</v>
      </c>
      <c r="O82" s="37">
        <f t="shared" si="8"/>
        <v>1089</v>
      </c>
    </row>
    <row r="83" spans="1:16">
      <c r="B83" s="9" t="s">
        <v>89</v>
      </c>
      <c r="C83" s="26">
        <f>100+15+56.5</f>
        <v>171.5</v>
      </c>
      <c r="D83" s="26">
        <v>399.26</v>
      </c>
      <c r="E83" s="26">
        <f>350+89.7</f>
        <v>439.7</v>
      </c>
      <c r="F83" s="26">
        <f>120+360</f>
        <v>480</v>
      </c>
      <c r="G83" s="26">
        <f>405+66+371+536+552+150+268+274+274</f>
        <v>2896</v>
      </c>
      <c r="H83" s="26">
        <v>408</v>
      </c>
      <c r="I83" s="26">
        <f>20+20+80+80+80+1144</f>
        <v>1424</v>
      </c>
      <c r="J83" s="26">
        <v>405</v>
      </c>
      <c r="K83" s="26">
        <v>420</v>
      </c>
      <c r="L83" s="26">
        <f>17.6+12+5+12+5+980+50+35+5+459.54</f>
        <v>1581.1399999999999</v>
      </c>
      <c r="M83" s="26">
        <v>1500</v>
      </c>
      <c r="N83" s="26">
        <v>1500</v>
      </c>
      <c r="O83" s="37">
        <f t="shared" si="8"/>
        <v>11624.6</v>
      </c>
    </row>
    <row r="84" spans="1:16" hidden="1">
      <c r="B84" s="9" t="s">
        <v>90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37">
        <f t="shared" si="8"/>
        <v>0</v>
      </c>
    </row>
    <row r="85" spans="1:16" hidden="1">
      <c r="B85" s="9" t="s">
        <v>91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37">
        <f t="shared" si="8"/>
        <v>0</v>
      </c>
    </row>
    <row r="86" spans="1:16">
      <c r="B86" s="9" t="s">
        <v>327</v>
      </c>
      <c r="C86" s="26">
        <f>909.7+400.51+51.26+1123.67</f>
        <v>2485.1400000000003</v>
      </c>
      <c r="D86" s="26">
        <f>5496.73+12312.22+5205.14+2900.05+36.11</f>
        <v>25950.249999999996</v>
      </c>
      <c r="E86" s="26">
        <f>6800+16522.62</f>
        <v>23322.62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2120</v>
      </c>
      <c r="N86" s="26">
        <v>2120</v>
      </c>
      <c r="O86" s="37">
        <f>SUM(C86:N86)</f>
        <v>55998.009999999995</v>
      </c>
    </row>
    <row r="87" spans="1:16">
      <c r="B87" s="9" t="s">
        <v>336</v>
      </c>
      <c r="C87" s="122">
        <v>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v>0</v>
      </c>
      <c r="M87" s="122">
        <v>2352.73</v>
      </c>
      <c r="N87" s="122">
        <v>2352.73</v>
      </c>
      <c r="O87" s="37">
        <f>SUM(C87:N87)</f>
        <v>4705.46</v>
      </c>
    </row>
    <row r="88" spans="1:16">
      <c r="B88" s="9" t="s">
        <v>102</v>
      </c>
      <c r="C88" s="122">
        <v>1370.25</v>
      </c>
      <c r="D88" s="122">
        <v>1370.25</v>
      </c>
      <c r="E88" s="122">
        <v>1370.25</v>
      </c>
      <c r="F88" s="122">
        <v>1370.76</v>
      </c>
      <c r="G88" s="122">
        <v>1370.25</v>
      </c>
      <c r="H88" s="122">
        <v>1370.25</v>
      </c>
      <c r="I88" s="122">
        <v>1370.25</v>
      </c>
      <c r="J88" s="122">
        <v>1370.25</v>
      </c>
      <c r="K88" s="122">
        <v>1370.25</v>
      </c>
      <c r="L88" s="122">
        <v>1370.25</v>
      </c>
      <c r="M88" s="122">
        <v>1370.76</v>
      </c>
      <c r="N88" s="122">
        <v>1370.76</v>
      </c>
      <c r="O88" s="37">
        <f t="shared" si="8"/>
        <v>16444.53</v>
      </c>
    </row>
    <row r="89" spans="1:16">
      <c r="A89" t="s">
        <v>97</v>
      </c>
      <c r="B89" s="9"/>
      <c r="C89" s="28">
        <f t="shared" ref="C89:N89" si="10">SUM(C36:C88)</f>
        <v>279962.52999999997</v>
      </c>
      <c r="D89" s="28">
        <f t="shared" si="10"/>
        <v>376124.49</v>
      </c>
      <c r="E89" s="28">
        <f t="shared" si="10"/>
        <v>360452.44</v>
      </c>
      <c r="F89" s="28">
        <f t="shared" si="10"/>
        <v>362575.25999999995</v>
      </c>
      <c r="G89" s="28">
        <f t="shared" si="10"/>
        <v>319446.33999999997</v>
      </c>
      <c r="H89" s="28">
        <f t="shared" si="10"/>
        <v>355491.32999999996</v>
      </c>
      <c r="I89" s="28">
        <f t="shared" si="10"/>
        <v>407859.85</v>
      </c>
      <c r="J89" s="28">
        <f t="shared" si="10"/>
        <v>629663.86</v>
      </c>
      <c r="K89" s="28">
        <f t="shared" si="10"/>
        <v>336189.51000000007</v>
      </c>
      <c r="L89" s="28">
        <f t="shared" si="10"/>
        <v>495165.73000000004</v>
      </c>
      <c r="M89" s="28">
        <f t="shared" si="10"/>
        <v>616878.70760769234</v>
      </c>
      <c r="N89" s="28">
        <f t="shared" si="10"/>
        <v>316975.70760769228</v>
      </c>
      <c r="O89" s="37">
        <f>SUM(O36:O88)</f>
        <v>4856785.755215385</v>
      </c>
    </row>
    <row r="90" spans="1:16">
      <c r="A90" t="s">
        <v>104</v>
      </c>
      <c r="B90" s="10"/>
      <c r="C90" s="29">
        <f t="shared" ref="C90:M90" si="11">C32-C89</f>
        <v>1151499.5099999998</v>
      </c>
      <c r="D90" s="29">
        <f t="shared" si="11"/>
        <v>788235.45999999973</v>
      </c>
      <c r="E90" s="29">
        <f t="shared" si="11"/>
        <v>1516990.5399999998</v>
      </c>
      <c r="F90" s="29">
        <f t="shared" si="11"/>
        <v>1174349.2799999998</v>
      </c>
      <c r="G90" s="39">
        <f t="shared" si="11"/>
        <v>872136.78999999992</v>
      </c>
      <c r="H90" s="29">
        <f t="shared" si="11"/>
        <v>1518990.81</v>
      </c>
      <c r="I90" s="29">
        <f t="shared" si="11"/>
        <v>1129391.1200000001</v>
      </c>
      <c r="J90" s="39">
        <f t="shared" si="11"/>
        <v>511586.66000000003</v>
      </c>
      <c r="K90" s="29">
        <f t="shared" si="11"/>
        <v>239046.99999999994</v>
      </c>
      <c r="L90" s="29">
        <f t="shared" si="11"/>
        <v>1293954.67</v>
      </c>
      <c r="M90" s="29">
        <f t="shared" si="11"/>
        <v>697968.96239230759</v>
      </c>
      <c r="N90" s="29">
        <v>762900.2</v>
      </c>
      <c r="P90" t="s">
        <v>368</v>
      </c>
    </row>
    <row r="91" spans="1:16">
      <c r="B91" s="8"/>
    </row>
    <row r="92" spans="1:16">
      <c r="A92" t="s">
        <v>92</v>
      </c>
      <c r="B92" s="8"/>
      <c r="F92" t="s">
        <v>92</v>
      </c>
      <c r="M92">
        <v>513324</v>
      </c>
      <c r="N92" s="37">
        <f>M92+N30</f>
        <v>513324</v>
      </c>
      <c r="O92" s="13"/>
    </row>
    <row r="93" spans="1:16">
      <c r="F93" t="s">
        <v>92</v>
      </c>
      <c r="M93">
        <f>M92*5.5%</f>
        <v>28232.82</v>
      </c>
    </row>
    <row r="94" spans="1:16">
      <c r="M94">
        <f>M93/12</f>
        <v>2352.7350000000001</v>
      </c>
    </row>
    <row r="105" spans="2:15">
      <c r="B105" s="8"/>
      <c r="O105" s="15"/>
    </row>
    <row r="106" spans="2:15">
      <c r="B106" s="8"/>
      <c r="O106" s="15"/>
    </row>
    <row r="107" spans="2:15">
      <c r="B107" s="8"/>
      <c r="O107" s="15"/>
    </row>
    <row r="108" spans="2:15">
      <c r="B108" s="8"/>
      <c r="O108" s="15"/>
    </row>
    <row r="109" spans="2:15">
      <c r="B109" s="8"/>
      <c r="O109" s="15"/>
    </row>
    <row r="110" spans="2:15">
      <c r="B110" s="8"/>
      <c r="O110" s="15"/>
    </row>
    <row r="111" spans="2:15">
      <c r="B111" s="8"/>
      <c r="O111" s="15"/>
    </row>
    <row r="112" spans="2:15">
      <c r="B112" s="8"/>
      <c r="O112" s="15"/>
    </row>
    <row r="113" spans="2:15">
      <c r="B113" s="8"/>
      <c r="O113" s="15"/>
    </row>
    <row r="114" spans="2:15">
      <c r="B114" s="8"/>
      <c r="O114" s="15"/>
    </row>
    <row r="115" spans="2:15">
      <c r="B115" s="8"/>
      <c r="O115" s="15"/>
    </row>
    <row r="116" spans="2:15">
      <c r="B116" s="8"/>
      <c r="O116" s="15"/>
    </row>
    <row r="117" spans="2:15">
      <c r="B117" s="8"/>
      <c r="O117" s="15"/>
    </row>
    <row r="118" spans="2:15">
      <c r="B118" s="8"/>
      <c r="O118" s="15"/>
    </row>
    <row r="119" spans="2:15">
      <c r="B119" s="8"/>
      <c r="O119" s="15"/>
    </row>
    <row r="120" spans="2:15">
      <c r="B120" s="8"/>
      <c r="O120" s="15"/>
    </row>
    <row r="121" spans="2:15">
      <c r="B121" s="8"/>
      <c r="O121" s="15"/>
    </row>
    <row r="122" spans="2:15">
      <c r="B122" s="8"/>
      <c r="O122" s="15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</row>
    <row r="181" spans="2:15">
      <c r="B181" s="8"/>
    </row>
    <row r="182" spans="2:15">
      <c r="B182" s="8"/>
    </row>
    <row r="183" spans="2:15">
      <c r="B183" s="8"/>
    </row>
    <row r="184" spans="2:15">
      <c r="B184" s="8"/>
    </row>
    <row r="185" spans="2:15">
      <c r="B185" s="8"/>
    </row>
    <row r="186" spans="2:15">
      <c r="B186" s="8"/>
    </row>
    <row r="187" spans="2:15">
      <c r="B187" s="8"/>
    </row>
    <row r="188" spans="2:15">
      <c r="B188" s="8"/>
    </row>
    <row r="189" spans="2:15">
      <c r="B189" s="8"/>
    </row>
    <row r="190" spans="2:15">
      <c r="B190" s="8"/>
    </row>
    <row r="191" spans="2:15">
      <c r="B191" s="8"/>
    </row>
    <row r="192" spans="2:15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scale="82" fitToHeight="0" orientation="landscape" r:id="rId1"/>
  <headerFooter alignWithMargins="0"/>
  <rowBreaks count="1" manualBreakCount="1">
    <brk id="3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L225"/>
  <sheetViews>
    <sheetView zoomScaleNormal="100" workbookViewId="0">
      <selection sqref="A1:N1"/>
    </sheetView>
  </sheetViews>
  <sheetFormatPr defaultColWidth="11.42578125" defaultRowHeight="12.75"/>
  <cols>
    <col min="1" max="1" width="8.7109375" customWidth="1"/>
    <col min="2" max="2" width="15.7109375" customWidth="1"/>
    <col min="3" max="3" width="11.42578125" customWidth="1"/>
    <col min="4" max="4" width="11.85546875" customWidth="1"/>
    <col min="5" max="6" width="13" customWidth="1"/>
    <col min="7" max="7" width="12.28515625" customWidth="1"/>
    <col min="8" max="9" width="13.42578125" customWidth="1"/>
    <col min="10" max="10" width="12.42578125" customWidth="1"/>
    <col min="11" max="11" width="13.28515625" customWidth="1"/>
    <col min="12" max="12" width="12.140625" customWidth="1"/>
    <col min="13" max="13" width="12.42578125" customWidth="1"/>
    <col min="14" max="14" width="12.7109375" customWidth="1"/>
    <col min="15" max="16" width="15.7109375" customWidth="1"/>
    <col min="17" max="21" width="11.4257812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165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/>
      <c r="C8">
        <v>2</v>
      </c>
      <c r="D8">
        <v>3</v>
      </c>
      <c r="E8">
        <v>2</v>
      </c>
      <c r="F8">
        <v>2</v>
      </c>
      <c r="G8">
        <v>2</v>
      </c>
      <c r="H8">
        <v>2</v>
      </c>
      <c r="I8">
        <v>3</v>
      </c>
      <c r="J8">
        <v>2</v>
      </c>
      <c r="K8">
        <v>2</v>
      </c>
      <c r="L8">
        <v>2</v>
      </c>
      <c r="M8">
        <v>2</v>
      </c>
      <c r="N8">
        <v>2</v>
      </c>
    </row>
    <row r="9" spans="1:16">
      <c r="B9" s="8"/>
      <c r="C9">
        <v>2015</v>
      </c>
      <c r="N9">
        <v>2016</v>
      </c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</row>
    <row r="11" spans="1:16">
      <c r="B11" s="8"/>
      <c r="C11" s="25" t="s">
        <v>15</v>
      </c>
      <c r="D11" s="25" t="s">
        <v>15</v>
      </c>
      <c r="E11" s="25" t="s">
        <v>15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15</v>
      </c>
      <c r="M11" s="25" t="s">
        <v>15</v>
      </c>
      <c r="N11" s="25" t="s">
        <v>15</v>
      </c>
    </row>
    <row r="12" spans="1:16">
      <c r="A12" s="18" t="s">
        <v>95</v>
      </c>
      <c r="B12" s="8"/>
      <c r="C12" s="112">
        <f>'Cash Flow 2014'!N90</f>
        <v>762900.2</v>
      </c>
      <c r="D12" s="20">
        <f t="shared" ref="D12:N12" si="0">C95</f>
        <v>1405266.272496474</v>
      </c>
      <c r="E12" s="20">
        <f t="shared" si="0"/>
        <v>948730.36858589691</v>
      </c>
      <c r="F12" s="20">
        <f t="shared" si="0"/>
        <v>1761852.5231676276</v>
      </c>
      <c r="G12" s="20">
        <f t="shared" si="0"/>
        <v>1368566.1164993583</v>
      </c>
      <c r="H12" s="20">
        <f t="shared" si="0"/>
        <v>981807.98858108884</v>
      </c>
      <c r="I12" s="20">
        <f t="shared" si="0"/>
        <v>1797358.6994128192</v>
      </c>
      <c r="J12" s="20">
        <f t="shared" si="0"/>
        <v>1303014.8061291659</v>
      </c>
      <c r="K12" s="20">
        <f t="shared" si="0"/>
        <v>914124.05446089664</v>
      </c>
      <c r="L12" s="20">
        <f t="shared" si="0"/>
        <v>1735777.3015426269</v>
      </c>
      <c r="M12" s="20">
        <f t="shared" si="0"/>
        <v>1349028.6073743578</v>
      </c>
      <c r="N12" s="20">
        <f t="shared" si="0"/>
        <v>1073025.6319560884</v>
      </c>
    </row>
    <row r="13" spans="1:16">
      <c r="A13" s="4" t="s">
        <v>92</v>
      </c>
      <c r="B13" s="8"/>
    </row>
    <row r="14" spans="1:16">
      <c r="B14" s="8"/>
    </row>
    <row r="15" spans="1:16">
      <c r="A15" s="38" t="s">
        <v>143</v>
      </c>
      <c r="B15" s="8"/>
    </row>
    <row r="16" spans="1:16">
      <c r="A16">
        <v>390</v>
      </c>
      <c r="B16" s="9" t="s">
        <v>17</v>
      </c>
      <c r="C16" s="26">
        <v>956133</v>
      </c>
      <c r="D16" s="26">
        <v>0</v>
      </c>
      <c r="E16" s="26">
        <f>A16*(12400/4)</f>
        <v>1209000</v>
      </c>
      <c r="F16" s="26">
        <v>0</v>
      </c>
      <c r="G16" s="26">
        <v>0</v>
      </c>
      <c r="H16" s="26">
        <f>E16</f>
        <v>1209000</v>
      </c>
      <c r="I16" s="26">
        <v>0</v>
      </c>
      <c r="J16" s="26">
        <v>0</v>
      </c>
      <c r="K16" s="26">
        <f>H16</f>
        <v>1209000</v>
      </c>
      <c r="L16" s="26">
        <v>0</v>
      </c>
      <c r="M16" s="26">
        <v>0</v>
      </c>
      <c r="N16" s="26">
        <f>K16</f>
        <v>1209000</v>
      </c>
      <c r="O16" s="37">
        <f>SUM(C16:N16)</f>
        <v>5792133</v>
      </c>
      <c r="P16" t="s">
        <v>138</v>
      </c>
    </row>
    <row r="17" spans="1:16">
      <c r="B17" s="9" t="s">
        <v>178</v>
      </c>
      <c r="M17" s="114">
        <v>27146</v>
      </c>
      <c r="O17" s="37">
        <f>SUM(C17:N17)</f>
        <v>27146</v>
      </c>
      <c r="P17" t="s">
        <v>139</v>
      </c>
    </row>
    <row r="18" spans="1:16">
      <c r="B18" s="9" t="s">
        <v>170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15">
        <v>1653</v>
      </c>
      <c r="N18" s="26"/>
      <c r="O18" s="37">
        <f>SUM(C18:N18)</f>
        <v>1653</v>
      </c>
    </row>
    <row r="19" spans="1:16">
      <c r="B19" s="9" t="s">
        <v>162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5">
        <v>40000</v>
      </c>
      <c r="N19" s="26"/>
      <c r="O19" s="37">
        <f>SUM(C19:N19)</f>
        <v>40000</v>
      </c>
    </row>
    <row r="20" spans="1:16">
      <c r="B20" s="101" t="s">
        <v>244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5">
        <v>2740</v>
      </c>
      <c r="N20" s="26"/>
      <c r="O20" s="37"/>
    </row>
    <row r="21" spans="1:16">
      <c r="B21" s="101" t="s">
        <v>277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5">
        <v>2500</v>
      </c>
      <c r="N21" s="26"/>
      <c r="O21" s="37"/>
    </row>
    <row r="22" spans="1:16">
      <c r="B22" s="9" t="s">
        <v>243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4">
        <v>30000</v>
      </c>
      <c r="N22" s="26"/>
      <c r="O22" s="37"/>
    </row>
    <row r="23" spans="1:16">
      <c r="B23" s="9" t="s">
        <v>248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3">
        <v>18000</v>
      </c>
      <c r="N23" s="26"/>
      <c r="O23" s="37"/>
    </row>
    <row r="24" spans="1:16">
      <c r="B24" s="9" t="s">
        <v>195</v>
      </c>
      <c r="C24" s="26">
        <f>A16*202/12</f>
        <v>6565</v>
      </c>
      <c r="D24" s="26">
        <v>6565</v>
      </c>
      <c r="E24" s="26">
        <v>6565</v>
      </c>
      <c r="F24" s="26">
        <v>6565</v>
      </c>
      <c r="G24" s="26">
        <v>6565</v>
      </c>
      <c r="H24" s="26">
        <v>6565</v>
      </c>
      <c r="I24" s="26">
        <v>6565</v>
      </c>
      <c r="J24" s="26">
        <v>6565</v>
      </c>
      <c r="K24" s="26">
        <v>6565</v>
      </c>
      <c r="L24" s="26">
        <v>6565</v>
      </c>
      <c r="M24" s="26">
        <v>6565</v>
      </c>
      <c r="N24" s="26">
        <v>6565</v>
      </c>
      <c r="O24" s="37">
        <f>SUM(C24:N24)</f>
        <v>78780</v>
      </c>
    </row>
    <row r="25" spans="1:16">
      <c r="A25" s="126" t="s">
        <v>367</v>
      </c>
      <c r="B25" s="9" t="s">
        <v>280</v>
      </c>
      <c r="C25" s="26">
        <f>A16*122.12/12</f>
        <v>3968.9</v>
      </c>
      <c r="D25" s="26">
        <f>C25</f>
        <v>3968.9</v>
      </c>
      <c r="E25" s="26">
        <f t="shared" ref="E25:M25" si="1">D25</f>
        <v>3968.9</v>
      </c>
      <c r="F25" s="26">
        <f t="shared" si="1"/>
        <v>3968.9</v>
      </c>
      <c r="G25" s="26">
        <f t="shared" si="1"/>
        <v>3968.9</v>
      </c>
      <c r="H25" s="26">
        <f t="shared" si="1"/>
        <v>3968.9</v>
      </c>
      <c r="I25" s="26">
        <f t="shared" si="1"/>
        <v>3968.9</v>
      </c>
      <c r="J25" s="26">
        <f t="shared" si="1"/>
        <v>3968.9</v>
      </c>
      <c r="K25" s="26">
        <f t="shared" si="1"/>
        <v>3968.9</v>
      </c>
      <c r="L25" s="26">
        <f t="shared" si="1"/>
        <v>3968.9</v>
      </c>
      <c r="M25" s="26">
        <f t="shared" si="1"/>
        <v>3968.9</v>
      </c>
      <c r="N25" s="26">
        <v>3970</v>
      </c>
      <c r="O25" s="37">
        <f>SUM(C25:N25)</f>
        <v>47627.900000000009</v>
      </c>
    </row>
    <row r="26" spans="1:16">
      <c r="B26" s="9" t="s">
        <v>19</v>
      </c>
      <c r="C26" s="26"/>
      <c r="D26" s="26">
        <v>1000</v>
      </c>
      <c r="E26" s="26">
        <v>1000</v>
      </c>
      <c r="F26" s="26">
        <v>1000</v>
      </c>
      <c r="G26" s="26">
        <v>1000</v>
      </c>
      <c r="H26" s="26">
        <v>1000</v>
      </c>
      <c r="I26" s="26">
        <v>1000</v>
      </c>
      <c r="J26" s="26">
        <v>1000</v>
      </c>
      <c r="K26" s="26">
        <v>1000</v>
      </c>
      <c r="L26" s="26">
        <v>1000</v>
      </c>
      <c r="M26" s="26">
        <v>1000</v>
      </c>
      <c r="N26" s="26"/>
      <c r="O26" s="37">
        <f>SUM(C26:N26)</f>
        <v>10000</v>
      </c>
    </row>
    <row r="27" spans="1:16">
      <c r="B27" s="9" t="s">
        <v>20</v>
      </c>
      <c r="C27" s="26"/>
      <c r="D27" s="26">
        <v>5000</v>
      </c>
      <c r="E27" s="26">
        <v>5000</v>
      </c>
      <c r="F27" s="26">
        <v>5000</v>
      </c>
      <c r="G27" s="26">
        <v>5000</v>
      </c>
      <c r="H27" s="26">
        <v>5000</v>
      </c>
      <c r="I27" s="26">
        <v>5000</v>
      </c>
      <c r="J27" s="26">
        <v>5000</v>
      </c>
      <c r="K27" s="26">
        <v>5000</v>
      </c>
      <c r="L27" s="26">
        <v>5000</v>
      </c>
      <c r="M27" s="26">
        <v>5000</v>
      </c>
      <c r="N27" s="26"/>
      <c r="O27" s="37">
        <f>SUM(C27:N27)</f>
        <v>50000</v>
      </c>
    </row>
    <row r="28" spans="1:16">
      <c r="B28" s="9" t="s">
        <v>247</v>
      </c>
      <c r="C28" s="26">
        <v>5000</v>
      </c>
      <c r="D28" s="26">
        <v>5000</v>
      </c>
      <c r="E28" s="26"/>
      <c r="F28" s="26"/>
      <c r="G28" s="26"/>
      <c r="H28" s="26"/>
      <c r="I28" s="26"/>
      <c r="J28" s="26"/>
      <c r="K28" s="26"/>
      <c r="L28" s="26"/>
      <c r="M28" s="26"/>
      <c r="N28" s="26">
        <v>5000</v>
      </c>
      <c r="O28" s="37"/>
    </row>
    <row r="29" spans="1:16">
      <c r="B29" s="9" t="s">
        <v>21</v>
      </c>
      <c r="C29" s="26">
        <v>500</v>
      </c>
      <c r="D29" s="26">
        <v>500</v>
      </c>
      <c r="E29" s="26">
        <v>500</v>
      </c>
      <c r="F29" s="26">
        <v>500</v>
      </c>
      <c r="G29" s="26">
        <v>500</v>
      </c>
      <c r="H29" s="26">
        <v>500</v>
      </c>
      <c r="I29" s="26">
        <v>500</v>
      </c>
      <c r="J29" s="26">
        <v>500</v>
      </c>
      <c r="K29" s="26">
        <v>500</v>
      </c>
      <c r="L29" s="26">
        <v>500</v>
      </c>
      <c r="M29" s="26">
        <v>500</v>
      </c>
      <c r="N29" s="26">
        <v>500</v>
      </c>
      <c r="O29" s="37">
        <f>SUM(C29:N29)</f>
        <v>6000</v>
      </c>
    </row>
    <row r="30" spans="1:16">
      <c r="B30" s="9" t="s">
        <v>359</v>
      </c>
      <c r="C30" s="26">
        <f>150000</f>
        <v>150000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7"/>
    </row>
    <row r="31" spans="1:16">
      <c r="A31" s="126" t="s">
        <v>92</v>
      </c>
      <c r="B31" s="9" t="s">
        <v>358</v>
      </c>
      <c r="C31" s="27">
        <v>678571</v>
      </c>
      <c r="D31" s="27">
        <v>678571</v>
      </c>
      <c r="E31" s="27">
        <v>678571</v>
      </c>
      <c r="F31" s="27">
        <v>678571</v>
      </c>
      <c r="G31" s="27">
        <v>678571</v>
      </c>
      <c r="H31" s="27">
        <v>678571</v>
      </c>
      <c r="I31" s="27">
        <v>678571</v>
      </c>
      <c r="J31" s="27">
        <v>678571</v>
      </c>
      <c r="K31" s="27">
        <v>678571</v>
      </c>
      <c r="L31" s="27">
        <v>678571</v>
      </c>
      <c r="M31" s="27">
        <v>678571</v>
      </c>
      <c r="N31" s="27">
        <v>678571</v>
      </c>
      <c r="O31" s="37">
        <f>SUM(C31:N31)</f>
        <v>8142852</v>
      </c>
    </row>
    <row r="32" spans="1:16">
      <c r="A32" s="38" t="s">
        <v>96</v>
      </c>
      <c r="B32" s="9"/>
      <c r="C32" s="28">
        <f t="shared" ref="C32:N32" si="2">SUM(C16:C31)</f>
        <v>1800737.9</v>
      </c>
      <c r="D32" s="28">
        <f t="shared" si="2"/>
        <v>700604.9</v>
      </c>
      <c r="E32" s="28">
        <f t="shared" si="2"/>
        <v>1904604.9</v>
      </c>
      <c r="F32" s="28">
        <f t="shared" si="2"/>
        <v>695604.9</v>
      </c>
      <c r="G32" s="28">
        <f t="shared" si="2"/>
        <v>695604.9</v>
      </c>
      <c r="H32" s="28">
        <f t="shared" si="2"/>
        <v>1904604.9</v>
      </c>
      <c r="I32" s="28">
        <f t="shared" si="2"/>
        <v>695604.9</v>
      </c>
      <c r="J32" s="28">
        <f t="shared" si="2"/>
        <v>695604.9</v>
      </c>
      <c r="K32" s="28">
        <f t="shared" si="2"/>
        <v>1904604.9</v>
      </c>
      <c r="L32" s="28">
        <f t="shared" si="2"/>
        <v>695604.9</v>
      </c>
      <c r="M32" s="28">
        <f t="shared" si="2"/>
        <v>817643.9</v>
      </c>
      <c r="N32" s="28">
        <f t="shared" si="2"/>
        <v>1903606</v>
      </c>
    </row>
    <row r="33" spans="1:17">
      <c r="A33" s="38" t="s">
        <v>98</v>
      </c>
      <c r="B33" s="10"/>
      <c r="C33" s="29">
        <f t="shared" ref="C33:N33" si="3">C32+C12</f>
        <v>2563638.0999999996</v>
      </c>
      <c r="D33" s="29">
        <f t="shared" si="3"/>
        <v>2105871.1724964739</v>
      </c>
      <c r="E33" s="29">
        <f t="shared" si="3"/>
        <v>2853335.2685858971</v>
      </c>
      <c r="F33" s="29">
        <f t="shared" si="3"/>
        <v>2457457.4231676278</v>
      </c>
      <c r="G33" s="29">
        <f t="shared" si="3"/>
        <v>2064171.0164993582</v>
      </c>
      <c r="H33" s="29">
        <f t="shared" si="3"/>
        <v>2886412.8885810887</v>
      </c>
      <c r="I33" s="29">
        <f t="shared" si="3"/>
        <v>2492963.5994128194</v>
      </c>
      <c r="J33" s="29">
        <f t="shared" si="3"/>
        <v>1998619.7061291658</v>
      </c>
      <c r="K33" s="29">
        <f t="shared" si="3"/>
        <v>2818728.9544608966</v>
      </c>
      <c r="L33" s="29">
        <f t="shared" si="3"/>
        <v>2431382.2015426271</v>
      </c>
      <c r="M33" s="29">
        <f t="shared" si="3"/>
        <v>2166672.5073743579</v>
      </c>
      <c r="N33" s="29">
        <f t="shared" si="3"/>
        <v>2976631.6319560884</v>
      </c>
    </row>
    <row r="34" spans="1:17">
      <c r="B34" s="8"/>
    </row>
    <row r="35" spans="1:17">
      <c r="A35" s="4" t="s">
        <v>99</v>
      </c>
      <c r="B35" s="8"/>
      <c r="M35" s="196" t="s">
        <v>435</v>
      </c>
    </row>
    <row r="36" spans="1:17">
      <c r="A36" s="19" t="s">
        <v>92</v>
      </c>
      <c r="B36" s="8" t="s">
        <v>92</v>
      </c>
    </row>
    <row r="37" spans="1:17">
      <c r="B37" s="9" t="s">
        <v>304</v>
      </c>
      <c r="C37" s="26">
        <f>'Cash Flow 2014'!N36</f>
        <v>211101.9176076923</v>
      </c>
      <c r="D37" s="26">
        <f>(C37+(E37/2))</f>
        <v>341008.12547307694</v>
      </c>
      <c r="E37" s="26">
        <f>Personnel!$J$253*'Cash Flow 2015'!E8+Personnel!$J$250</f>
        <v>259812.41573076922</v>
      </c>
      <c r="F37" s="26">
        <f>Personnel!$J$253*'Cash Flow 2015'!F8+Personnel!$J$250</f>
        <v>259812.41573076922</v>
      </c>
      <c r="G37" s="26">
        <f>Personnel!$J$253*'Cash Flow 2015'!G8+Personnel!$J$250</f>
        <v>259812.41573076922</v>
      </c>
      <c r="H37" s="26">
        <f>Personnel!$J$253*'Cash Flow 2015'!H8+Personnel!$J$250</f>
        <v>259812.41573076922</v>
      </c>
      <c r="I37" s="26">
        <f>Personnel!$J$253*'Cash Flow 2015'!I8+Personnel!$J$250</f>
        <v>375257.4985961538</v>
      </c>
      <c r="J37" s="26">
        <f>Personnel!$J$253*'Cash Flow 2015'!J8+Personnel!$J$250</f>
        <v>259812.41573076922</v>
      </c>
      <c r="K37" s="26">
        <f>Personnel!$J$253*'Cash Flow 2015'!K8+Personnel!$J$250</f>
        <v>259812.41573076922</v>
      </c>
      <c r="L37" s="26">
        <f>Personnel!$J$253*'Cash Flow 2015'!L8+Personnel!$J$250</f>
        <v>259812.41573076922</v>
      </c>
      <c r="M37" s="26">
        <f>Personnel!$J$253*'Cash Flow 2015'!M8+Personnel!$J$250</f>
        <v>259812.41573076922</v>
      </c>
      <c r="N37" s="26">
        <f>Personnel!$J$253*'Cash Flow 2015'!N8+Personnel!$J$250</f>
        <v>259812.41573076922</v>
      </c>
      <c r="O37" s="116">
        <f>SUM(C37:N37)</f>
        <v>3265679.2832538467</v>
      </c>
      <c r="P37" s="37">
        <f>Personnel!J242</f>
        <v>3348639.1545000002</v>
      </c>
      <c r="Q37" s="37"/>
    </row>
    <row r="38" spans="1:17">
      <c r="B38" s="9" t="s">
        <v>92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7"/>
    </row>
    <row r="39" spans="1:17">
      <c r="B39" s="9" t="s">
        <v>360</v>
      </c>
      <c r="C39" s="26">
        <v>150000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7"/>
    </row>
    <row r="40" spans="1:17">
      <c r="A40" s="8"/>
      <c r="B40" s="41" t="s">
        <v>329</v>
      </c>
      <c r="C40" s="26">
        <f>5650/12</f>
        <v>470.83333333333331</v>
      </c>
      <c r="D40" s="26">
        <f t="shared" ref="D40:N40" si="4">5650/12</f>
        <v>470.83333333333331</v>
      </c>
      <c r="E40" s="26">
        <f t="shared" si="4"/>
        <v>470.83333333333331</v>
      </c>
      <c r="F40" s="26">
        <f t="shared" si="4"/>
        <v>470.83333333333331</v>
      </c>
      <c r="G40" s="26">
        <f t="shared" si="4"/>
        <v>470.83333333333331</v>
      </c>
      <c r="H40" s="26">
        <f t="shared" si="4"/>
        <v>470.83333333333331</v>
      </c>
      <c r="I40" s="26">
        <f t="shared" si="4"/>
        <v>470.83333333333331</v>
      </c>
      <c r="J40" s="26">
        <f t="shared" si="4"/>
        <v>470.83333333333331</v>
      </c>
      <c r="K40" s="26">
        <f t="shared" si="4"/>
        <v>470.83333333333331</v>
      </c>
      <c r="L40" s="26">
        <f t="shared" si="4"/>
        <v>470.83333333333331</v>
      </c>
      <c r="M40" s="26">
        <f t="shared" si="4"/>
        <v>470.83333333333331</v>
      </c>
      <c r="N40" s="26">
        <f t="shared" si="4"/>
        <v>470.83333333333331</v>
      </c>
      <c r="O40" s="37">
        <f t="shared" ref="O40:O67" si="5">SUM(C40:N40)</f>
        <v>5649.9999999999991</v>
      </c>
    </row>
    <row r="41" spans="1:17">
      <c r="A41" s="8"/>
      <c r="B41" s="41" t="s">
        <v>37</v>
      </c>
      <c r="C41" s="26">
        <f>21000/12</f>
        <v>1750</v>
      </c>
      <c r="D41" s="26">
        <f t="shared" ref="D41:N41" si="6">21000/12</f>
        <v>1750</v>
      </c>
      <c r="E41" s="26">
        <f t="shared" si="6"/>
        <v>1750</v>
      </c>
      <c r="F41" s="26">
        <f t="shared" si="6"/>
        <v>1750</v>
      </c>
      <c r="G41" s="26">
        <f t="shared" si="6"/>
        <v>1750</v>
      </c>
      <c r="H41" s="26">
        <f t="shared" si="6"/>
        <v>1750</v>
      </c>
      <c r="I41" s="26">
        <f t="shared" si="6"/>
        <v>1750</v>
      </c>
      <c r="J41" s="26">
        <f t="shared" si="6"/>
        <v>1750</v>
      </c>
      <c r="K41" s="26">
        <f t="shared" si="6"/>
        <v>1750</v>
      </c>
      <c r="L41" s="26">
        <f t="shared" si="6"/>
        <v>1750</v>
      </c>
      <c r="M41" s="26">
        <f t="shared" si="6"/>
        <v>1750</v>
      </c>
      <c r="N41" s="26">
        <f t="shared" si="6"/>
        <v>1750</v>
      </c>
      <c r="O41" s="37">
        <f t="shared" si="5"/>
        <v>21000</v>
      </c>
    </row>
    <row r="42" spans="1:17">
      <c r="A42" s="8"/>
      <c r="B42" s="41" t="s">
        <v>38</v>
      </c>
      <c r="C42" s="26">
        <f>72800/12</f>
        <v>6066.666666666667</v>
      </c>
      <c r="D42" s="26">
        <f t="shared" ref="D42:N42" si="7">72800/12</f>
        <v>6066.666666666667</v>
      </c>
      <c r="E42" s="26">
        <f t="shared" si="7"/>
        <v>6066.666666666667</v>
      </c>
      <c r="F42" s="26">
        <f t="shared" si="7"/>
        <v>6066.666666666667</v>
      </c>
      <c r="G42" s="26">
        <f t="shared" si="7"/>
        <v>6066.666666666667</v>
      </c>
      <c r="H42" s="26">
        <f t="shared" si="7"/>
        <v>6066.666666666667</v>
      </c>
      <c r="I42" s="26">
        <f t="shared" si="7"/>
        <v>6066.666666666667</v>
      </c>
      <c r="J42" s="26">
        <f t="shared" si="7"/>
        <v>6066.666666666667</v>
      </c>
      <c r="K42" s="26">
        <f t="shared" si="7"/>
        <v>6066.666666666667</v>
      </c>
      <c r="L42" s="26">
        <f t="shared" si="7"/>
        <v>6066.666666666667</v>
      </c>
      <c r="M42" s="26">
        <f t="shared" si="7"/>
        <v>6066.666666666667</v>
      </c>
      <c r="N42" s="26">
        <f t="shared" si="7"/>
        <v>6066.666666666667</v>
      </c>
      <c r="O42" s="37">
        <f t="shared" si="5"/>
        <v>72800</v>
      </c>
    </row>
    <row r="43" spans="1:17">
      <c r="A43" s="8"/>
      <c r="B43" s="41" t="s">
        <v>100</v>
      </c>
      <c r="C43" s="26">
        <f>C31</f>
        <v>678571</v>
      </c>
      <c r="D43" s="26">
        <f t="shared" ref="D43:N43" si="8">D31</f>
        <v>678571</v>
      </c>
      <c r="E43" s="26">
        <f t="shared" si="8"/>
        <v>678571</v>
      </c>
      <c r="F43" s="26">
        <f t="shared" si="8"/>
        <v>678571</v>
      </c>
      <c r="G43" s="26">
        <f t="shared" si="8"/>
        <v>678571</v>
      </c>
      <c r="H43" s="26">
        <f t="shared" si="8"/>
        <v>678571</v>
      </c>
      <c r="I43" s="26">
        <f t="shared" si="8"/>
        <v>678571</v>
      </c>
      <c r="J43" s="26">
        <f t="shared" si="8"/>
        <v>678571</v>
      </c>
      <c r="K43" s="26">
        <f t="shared" si="8"/>
        <v>678571</v>
      </c>
      <c r="L43" s="26">
        <f t="shared" si="8"/>
        <v>678571</v>
      </c>
      <c r="M43" s="26">
        <f t="shared" si="8"/>
        <v>678571</v>
      </c>
      <c r="N43" s="26">
        <f t="shared" si="8"/>
        <v>678571</v>
      </c>
      <c r="O43" s="37">
        <f t="shared" si="5"/>
        <v>8142852</v>
      </c>
    </row>
    <row r="44" spans="1:17">
      <c r="A44" s="8"/>
      <c r="B44" s="41" t="s">
        <v>39</v>
      </c>
      <c r="C44" s="26">
        <f>60000/12</f>
        <v>5000</v>
      </c>
      <c r="D44" s="26">
        <f t="shared" ref="D44:N44" si="9">60000/12</f>
        <v>5000</v>
      </c>
      <c r="E44" s="26">
        <f t="shared" si="9"/>
        <v>5000</v>
      </c>
      <c r="F44" s="26">
        <f t="shared" si="9"/>
        <v>5000</v>
      </c>
      <c r="G44" s="26">
        <f t="shared" si="9"/>
        <v>5000</v>
      </c>
      <c r="H44" s="26">
        <f t="shared" si="9"/>
        <v>5000</v>
      </c>
      <c r="I44" s="26">
        <f t="shared" si="9"/>
        <v>5000</v>
      </c>
      <c r="J44" s="26">
        <f t="shared" si="9"/>
        <v>5000</v>
      </c>
      <c r="K44" s="26">
        <f t="shared" si="9"/>
        <v>5000</v>
      </c>
      <c r="L44" s="26">
        <f t="shared" si="9"/>
        <v>5000</v>
      </c>
      <c r="M44" s="26">
        <f t="shared" si="9"/>
        <v>5000</v>
      </c>
      <c r="N44" s="26">
        <f t="shared" si="9"/>
        <v>5000</v>
      </c>
      <c r="O44" s="37">
        <f t="shared" si="5"/>
        <v>60000</v>
      </c>
    </row>
    <row r="45" spans="1:17">
      <c r="A45" s="8"/>
      <c r="B45" s="9" t="s">
        <v>149</v>
      </c>
      <c r="C45" s="26">
        <f>11104.68+3536+5325</f>
        <v>19965.68</v>
      </c>
      <c r="D45" s="26">
        <f t="shared" ref="D45:N45" si="10">11104.68+3536+5325</f>
        <v>19965.68</v>
      </c>
      <c r="E45" s="26">
        <f t="shared" si="10"/>
        <v>19965.68</v>
      </c>
      <c r="F45" s="26">
        <f t="shared" si="10"/>
        <v>19965.68</v>
      </c>
      <c r="G45" s="26">
        <f t="shared" si="10"/>
        <v>19965.68</v>
      </c>
      <c r="H45" s="26">
        <f t="shared" si="10"/>
        <v>19965.68</v>
      </c>
      <c r="I45" s="26">
        <f t="shared" si="10"/>
        <v>19965.68</v>
      </c>
      <c r="J45" s="26">
        <f t="shared" si="10"/>
        <v>19965.68</v>
      </c>
      <c r="K45" s="26">
        <f t="shared" si="10"/>
        <v>19965.68</v>
      </c>
      <c r="L45" s="26">
        <f t="shared" si="10"/>
        <v>19965.68</v>
      </c>
      <c r="M45" s="26">
        <f t="shared" si="10"/>
        <v>19965.68</v>
      </c>
      <c r="N45" s="26">
        <f t="shared" si="10"/>
        <v>19965.68</v>
      </c>
      <c r="O45" s="37">
        <f t="shared" si="5"/>
        <v>239588.15999999995</v>
      </c>
    </row>
    <row r="46" spans="1:17" hidden="1">
      <c r="B46" s="9" t="s">
        <v>41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7">
        <f t="shared" si="5"/>
        <v>0</v>
      </c>
    </row>
    <row r="47" spans="1:17" hidden="1">
      <c r="B47" s="9" t="s">
        <v>42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7">
        <f t="shared" si="5"/>
        <v>0</v>
      </c>
    </row>
    <row r="48" spans="1:17" hidden="1">
      <c r="B48" s="9" t="s">
        <v>43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7">
        <f t="shared" si="5"/>
        <v>0</v>
      </c>
    </row>
    <row r="49" spans="2:15" hidden="1">
      <c r="B49" s="9" t="s">
        <v>44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7">
        <f t="shared" si="5"/>
        <v>0</v>
      </c>
    </row>
    <row r="50" spans="2:15" hidden="1">
      <c r="B50" s="9" t="s">
        <v>45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37">
        <f t="shared" si="5"/>
        <v>0</v>
      </c>
    </row>
    <row r="51" spans="2:15" hidden="1">
      <c r="B51" s="9" t="s">
        <v>46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7">
        <f t="shared" si="5"/>
        <v>0</v>
      </c>
    </row>
    <row r="52" spans="2:15">
      <c r="B52" s="9" t="s">
        <v>281</v>
      </c>
      <c r="C52" s="26">
        <v>6000</v>
      </c>
      <c r="D52" s="26">
        <v>6000</v>
      </c>
      <c r="E52" s="26">
        <v>6000</v>
      </c>
      <c r="F52" s="26">
        <v>6000</v>
      </c>
      <c r="G52" s="26">
        <v>6000</v>
      </c>
      <c r="H52" s="26">
        <v>6000</v>
      </c>
      <c r="I52" s="26">
        <v>6000</v>
      </c>
      <c r="J52" s="26">
        <v>6000</v>
      </c>
      <c r="K52" s="26">
        <v>6000</v>
      </c>
      <c r="L52" s="26">
        <v>6000</v>
      </c>
      <c r="M52" s="26">
        <v>6000</v>
      </c>
      <c r="N52" s="26">
        <v>6000</v>
      </c>
      <c r="O52" s="37">
        <f t="shared" si="5"/>
        <v>72000</v>
      </c>
    </row>
    <row r="53" spans="2:15">
      <c r="B53" s="9" t="s">
        <v>47</v>
      </c>
      <c r="C53" s="26">
        <v>0</v>
      </c>
      <c r="D53" s="26">
        <v>0</v>
      </c>
      <c r="E53" s="26">
        <v>0</v>
      </c>
      <c r="F53" s="26">
        <v>14000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37">
        <f t="shared" si="5"/>
        <v>14000</v>
      </c>
    </row>
    <row r="54" spans="2:15">
      <c r="B54" s="9" t="s">
        <v>48</v>
      </c>
      <c r="C54" s="26">
        <f>18200/12</f>
        <v>1516.6666666666667</v>
      </c>
      <c r="D54" s="26">
        <v>1517</v>
      </c>
      <c r="E54" s="26">
        <v>1517</v>
      </c>
      <c r="F54" s="26">
        <v>1517</v>
      </c>
      <c r="G54" s="26">
        <v>1517</v>
      </c>
      <c r="H54" s="26">
        <v>1517</v>
      </c>
      <c r="I54" s="26">
        <v>1517</v>
      </c>
      <c r="J54" s="26">
        <v>1517</v>
      </c>
      <c r="K54" s="26">
        <v>1517</v>
      </c>
      <c r="L54" s="26">
        <v>1517</v>
      </c>
      <c r="M54" s="26">
        <v>1517</v>
      </c>
      <c r="N54" s="26">
        <v>1517</v>
      </c>
      <c r="O54" s="37">
        <f>350*52</f>
        <v>18200</v>
      </c>
    </row>
    <row r="55" spans="2:15">
      <c r="B55" s="9" t="s">
        <v>49</v>
      </c>
      <c r="C55" s="26">
        <f>65000/12</f>
        <v>5416.666666666667</v>
      </c>
      <c r="D55" s="26">
        <f t="shared" ref="D55:N55" si="11">65000/12</f>
        <v>5416.666666666667</v>
      </c>
      <c r="E55" s="26">
        <f t="shared" si="11"/>
        <v>5416.666666666667</v>
      </c>
      <c r="F55" s="26">
        <f t="shared" si="11"/>
        <v>5416.666666666667</v>
      </c>
      <c r="G55" s="26">
        <f t="shared" si="11"/>
        <v>5416.666666666667</v>
      </c>
      <c r="H55" s="26">
        <f t="shared" si="11"/>
        <v>5416.666666666667</v>
      </c>
      <c r="I55" s="26">
        <f t="shared" si="11"/>
        <v>5416.666666666667</v>
      </c>
      <c r="J55" s="26">
        <f t="shared" si="11"/>
        <v>5416.666666666667</v>
      </c>
      <c r="K55" s="26">
        <f t="shared" si="11"/>
        <v>5416.666666666667</v>
      </c>
      <c r="L55" s="26">
        <f t="shared" si="11"/>
        <v>5416.666666666667</v>
      </c>
      <c r="M55" s="26">
        <f t="shared" si="11"/>
        <v>5416.666666666667</v>
      </c>
      <c r="N55" s="26">
        <f t="shared" si="11"/>
        <v>5416.666666666667</v>
      </c>
      <c r="O55" s="37">
        <v>65000</v>
      </c>
    </row>
    <row r="56" spans="2:15">
      <c r="B56" s="9" t="s">
        <v>51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37">
        <f t="shared" si="5"/>
        <v>0</v>
      </c>
    </row>
    <row r="57" spans="2:15">
      <c r="B57" s="9" t="s">
        <v>52</v>
      </c>
      <c r="C57" s="26">
        <v>1000</v>
      </c>
      <c r="D57" s="26">
        <v>1000</v>
      </c>
      <c r="E57" s="26">
        <v>1000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37">
        <f t="shared" si="5"/>
        <v>3000</v>
      </c>
    </row>
    <row r="58" spans="2:15">
      <c r="B58" s="9" t="s">
        <v>53</v>
      </c>
      <c r="C58" s="26">
        <v>2000</v>
      </c>
      <c r="D58" s="26">
        <v>2000</v>
      </c>
      <c r="E58" s="26">
        <v>2000</v>
      </c>
      <c r="F58" s="26">
        <v>2000</v>
      </c>
      <c r="G58" s="26">
        <v>2000</v>
      </c>
      <c r="H58" s="26">
        <v>2000</v>
      </c>
      <c r="I58" s="26">
        <v>2000</v>
      </c>
      <c r="J58" s="26">
        <v>2000</v>
      </c>
      <c r="K58" s="26">
        <v>2000</v>
      </c>
      <c r="L58" s="26">
        <v>2000</v>
      </c>
      <c r="M58" s="26">
        <v>2000</v>
      </c>
      <c r="N58" s="26">
        <v>2000</v>
      </c>
      <c r="O58" s="37">
        <f t="shared" si="5"/>
        <v>24000</v>
      </c>
    </row>
    <row r="59" spans="2:15">
      <c r="B59" s="9" t="s">
        <v>54</v>
      </c>
      <c r="C59" s="26">
        <v>2000</v>
      </c>
      <c r="D59" s="26">
        <v>2000</v>
      </c>
      <c r="E59" s="26">
        <v>2000</v>
      </c>
      <c r="F59" s="26">
        <v>2000</v>
      </c>
      <c r="G59" s="26">
        <v>2000</v>
      </c>
      <c r="H59" s="26">
        <v>2000</v>
      </c>
      <c r="I59" s="26">
        <v>2000</v>
      </c>
      <c r="J59" s="26">
        <v>2000</v>
      </c>
      <c r="K59" s="26">
        <v>2000</v>
      </c>
      <c r="L59" s="26">
        <v>2000</v>
      </c>
      <c r="M59" s="26">
        <v>2000</v>
      </c>
      <c r="N59" s="26">
        <v>2000</v>
      </c>
      <c r="O59" s="37">
        <v>18500</v>
      </c>
    </row>
    <row r="60" spans="2:15">
      <c r="B60" s="9" t="s">
        <v>55</v>
      </c>
      <c r="C60" s="26">
        <f>15000/12</f>
        <v>1250</v>
      </c>
      <c r="D60" s="26">
        <f t="shared" ref="D60:N61" si="12">15000/12</f>
        <v>1250</v>
      </c>
      <c r="E60" s="26">
        <f t="shared" si="12"/>
        <v>1250</v>
      </c>
      <c r="F60" s="26">
        <f t="shared" si="12"/>
        <v>1250</v>
      </c>
      <c r="G60" s="26">
        <f t="shared" si="12"/>
        <v>1250</v>
      </c>
      <c r="H60" s="26">
        <f t="shared" si="12"/>
        <v>1250</v>
      </c>
      <c r="I60" s="26">
        <f t="shared" si="12"/>
        <v>1250</v>
      </c>
      <c r="J60" s="26">
        <f t="shared" si="12"/>
        <v>1250</v>
      </c>
      <c r="K60" s="26">
        <f t="shared" si="12"/>
        <v>1250</v>
      </c>
      <c r="L60" s="26">
        <f t="shared" si="12"/>
        <v>1250</v>
      </c>
      <c r="M60" s="26">
        <f t="shared" si="12"/>
        <v>1250</v>
      </c>
      <c r="N60" s="26">
        <f t="shared" si="12"/>
        <v>1250</v>
      </c>
      <c r="O60" s="37">
        <v>15000</v>
      </c>
    </row>
    <row r="61" spans="2:15">
      <c r="B61" s="9" t="s">
        <v>56</v>
      </c>
      <c r="C61" s="26">
        <f>15000/12</f>
        <v>1250</v>
      </c>
      <c r="D61" s="26">
        <f t="shared" si="12"/>
        <v>1250</v>
      </c>
      <c r="E61" s="26">
        <f t="shared" si="12"/>
        <v>1250</v>
      </c>
      <c r="F61" s="26">
        <f t="shared" si="12"/>
        <v>1250</v>
      </c>
      <c r="G61" s="26">
        <f t="shared" si="12"/>
        <v>1250</v>
      </c>
      <c r="H61" s="26">
        <f t="shared" si="12"/>
        <v>1250</v>
      </c>
      <c r="I61" s="26">
        <f t="shared" si="12"/>
        <v>1250</v>
      </c>
      <c r="J61" s="26">
        <f t="shared" si="12"/>
        <v>1250</v>
      </c>
      <c r="K61" s="26">
        <f t="shared" si="12"/>
        <v>1250</v>
      </c>
      <c r="L61" s="26">
        <f t="shared" si="12"/>
        <v>1250</v>
      </c>
      <c r="M61" s="26">
        <f t="shared" si="12"/>
        <v>1250</v>
      </c>
      <c r="N61" s="26">
        <f t="shared" si="12"/>
        <v>1250</v>
      </c>
      <c r="O61" s="37">
        <v>15000</v>
      </c>
    </row>
    <row r="62" spans="2:15">
      <c r="B62" s="9" t="s">
        <v>57</v>
      </c>
      <c r="C62" s="26">
        <f>6112/12</f>
        <v>509.33333333333331</v>
      </c>
      <c r="D62" s="26">
        <f t="shared" ref="D62:N62" si="13">6112/12</f>
        <v>509.33333333333331</v>
      </c>
      <c r="E62" s="26">
        <f t="shared" si="13"/>
        <v>509.33333333333331</v>
      </c>
      <c r="F62" s="26">
        <f t="shared" si="13"/>
        <v>509.33333333333331</v>
      </c>
      <c r="G62" s="26">
        <f t="shared" si="13"/>
        <v>509.33333333333331</v>
      </c>
      <c r="H62" s="26">
        <f t="shared" si="13"/>
        <v>509.33333333333331</v>
      </c>
      <c r="I62" s="26">
        <f t="shared" si="13"/>
        <v>509.33333333333331</v>
      </c>
      <c r="J62" s="26">
        <f t="shared" si="13"/>
        <v>509.33333333333331</v>
      </c>
      <c r="K62" s="26">
        <f t="shared" si="13"/>
        <v>509.33333333333331</v>
      </c>
      <c r="L62" s="26">
        <f t="shared" si="13"/>
        <v>509.33333333333331</v>
      </c>
      <c r="M62" s="26">
        <f t="shared" si="13"/>
        <v>509.33333333333331</v>
      </c>
      <c r="N62" s="26">
        <f t="shared" si="13"/>
        <v>509.33333333333331</v>
      </c>
      <c r="O62" s="37">
        <v>6112</v>
      </c>
    </row>
    <row r="63" spans="2:15">
      <c r="B63" s="9" t="s">
        <v>60</v>
      </c>
      <c r="C63" s="26">
        <v>1000</v>
      </c>
      <c r="D63" s="26">
        <v>1000</v>
      </c>
      <c r="E63" s="26">
        <v>1000</v>
      </c>
      <c r="F63" s="26">
        <v>1000</v>
      </c>
      <c r="G63" s="26">
        <v>1000</v>
      </c>
      <c r="H63" s="26">
        <v>1000</v>
      </c>
      <c r="I63" s="26">
        <v>1000</v>
      </c>
      <c r="J63" s="26">
        <v>1000</v>
      </c>
      <c r="K63" s="26">
        <v>1000</v>
      </c>
      <c r="L63" s="26">
        <v>1000</v>
      </c>
      <c r="M63" s="26">
        <v>1000</v>
      </c>
      <c r="N63" s="26">
        <v>1000</v>
      </c>
      <c r="O63" s="37">
        <f t="shared" si="5"/>
        <v>12000</v>
      </c>
    </row>
    <row r="64" spans="2:15">
      <c r="B64" s="9" t="s">
        <v>63</v>
      </c>
      <c r="C64" s="26">
        <f>45000/12</f>
        <v>3750</v>
      </c>
      <c r="D64" s="26">
        <f t="shared" ref="D64:N64" si="14">45000/12</f>
        <v>3750</v>
      </c>
      <c r="E64" s="26">
        <f t="shared" si="14"/>
        <v>3750</v>
      </c>
      <c r="F64" s="26">
        <f t="shared" si="14"/>
        <v>3750</v>
      </c>
      <c r="G64" s="26">
        <f t="shared" si="14"/>
        <v>3750</v>
      </c>
      <c r="H64" s="26">
        <f t="shared" si="14"/>
        <v>3750</v>
      </c>
      <c r="I64" s="26">
        <f t="shared" si="14"/>
        <v>3750</v>
      </c>
      <c r="J64" s="26">
        <f t="shared" si="14"/>
        <v>3750</v>
      </c>
      <c r="K64" s="26">
        <f t="shared" si="14"/>
        <v>3750</v>
      </c>
      <c r="L64" s="26">
        <f t="shared" si="14"/>
        <v>3750</v>
      </c>
      <c r="M64" s="26">
        <f t="shared" si="14"/>
        <v>3750</v>
      </c>
      <c r="N64" s="26">
        <f t="shared" si="14"/>
        <v>3750</v>
      </c>
      <c r="O64" s="37">
        <v>45000</v>
      </c>
    </row>
    <row r="65" spans="1:220">
      <c r="B65" s="9" t="s">
        <v>301</v>
      </c>
      <c r="C65" s="26">
        <v>0</v>
      </c>
      <c r="D65" s="26">
        <v>3120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79">
        <v>0</v>
      </c>
      <c r="L65" s="26">
        <v>0</v>
      </c>
      <c r="M65" s="26">
        <v>0</v>
      </c>
      <c r="N65" s="26">
        <v>0</v>
      </c>
      <c r="O65" s="37">
        <v>3120</v>
      </c>
    </row>
    <row r="66" spans="1:220">
      <c r="B66" s="9" t="s">
        <v>302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7">
        <f t="shared" si="5"/>
        <v>0</v>
      </c>
    </row>
    <row r="67" spans="1:220">
      <c r="B67" s="9" t="s">
        <v>66</v>
      </c>
      <c r="C67" s="26">
        <v>0</v>
      </c>
      <c r="D67" s="26">
        <v>7000</v>
      </c>
      <c r="E67" s="26">
        <v>0</v>
      </c>
      <c r="F67" s="26">
        <v>0</v>
      </c>
      <c r="G67" s="26">
        <v>7000</v>
      </c>
      <c r="H67" s="26">
        <v>0</v>
      </c>
      <c r="I67" s="26">
        <v>0</v>
      </c>
      <c r="J67" s="26">
        <v>7000</v>
      </c>
      <c r="K67" s="79">
        <v>0</v>
      </c>
      <c r="L67" s="26">
        <v>0</v>
      </c>
      <c r="M67" s="26">
        <v>7000</v>
      </c>
      <c r="N67" s="26">
        <v>0</v>
      </c>
      <c r="O67" s="37">
        <f t="shared" si="5"/>
        <v>28000</v>
      </c>
    </row>
    <row r="68" spans="1:220" hidden="1">
      <c r="B68" s="9" t="s">
        <v>67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37">
        <f t="shared" ref="O68:O93" si="15">SUM(C68:N68)</f>
        <v>0</v>
      </c>
    </row>
    <row r="69" spans="1:220" hidden="1">
      <c r="B69" s="9" t="s">
        <v>68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7">
        <f t="shared" si="15"/>
        <v>0</v>
      </c>
    </row>
    <row r="70" spans="1:220">
      <c r="B70" s="9" t="s">
        <v>69</v>
      </c>
      <c r="C70" s="26">
        <f>4000/12</f>
        <v>333.33333333333331</v>
      </c>
      <c r="D70" s="26">
        <f t="shared" ref="D70:N70" si="16">4000/12</f>
        <v>333.33333333333331</v>
      </c>
      <c r="E70" s="26">
        <f t="shared" si="16"/>
        <v>333.33333333333331</v>
      </c>
      <c r="F70" s="26">
        <f t="shared" si="16"/>
        <v>333.33333333333331</v>
      </c>
      <c r="G70" s="26">
        <f t="shared" si="16"/>
        <v>333.33333333333331</v>
      </c>
      <c r="H70" s="26">
        <f t="shared" si="16"/>
        <v>333.33333333333331</v>
      </c>
      <c r="I70" s="26">
        <f t="shared" si="16"/>
        <v>333.33333333333331</v>
      </c>
      <c r="J70" s="26">
        <f t="shared" si="16"/>
        <v>333.33333333333331</v>
      </c>
      <c r="K70" s="26">
        <f t="shared" si="16"/>
        <v>333.33333333333331</v>
      </c>
      <c r="L70" s="26">
        <f t="shared" si="16"/>
        <v>333.33333333333331</v>
      </c>
      <c r="M70" s="26">
        <f t="shared" si="16"/>
        <v>333.33333333333331</v>
      </c>
      <c r="N70" s="26">
        <f t="shared" si="16"/>
        <v>333.33333333333331</v>
      </c>
      <c r="O70" s="37">
        <v>4000</v>
      </c>
    </row>
    <row r="71" spans="1:220">
      <c r="B71" s="9" t="s">
        <v>71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37">
        <f t="shared" si="15"/>
        <v>0</v>
      </c>
    </row>
    <row r="72" spans="1:220">
      <c r="B72" s="9" t="s">
        <v>72</v>
      </c>
      <c r="C72" s="26">
        <v>3000</v>
      </c>
      <c r="D72" s="26">
        <v>2000</v>
      </c>
      <c r="E72" s="26">
        <v>0</v>
      </c>
      <c r="F72" s="26">
        <v>3000</v>
      </c>
      <c r="G72" s="26">
        <v>0</v>
      </c>
      <c r="H72" s="26">
        <v>3000</v>
      </c>
      <c r="I72" s="26">
        <v>0</v>
      </c>
      <c r="J72" s="26">
        <v>3000</v>
      </c>
      <c r="K72" s="26">
        <v>0</v>
      </c>
      <c r="L72" s="26">
        <v>3000</v>
      </c>
      <c r="M72" s="26">
        <v>0</v>
      </c>
      <c r="N72" s="26">
        <v>3000</v>
      </c>
      <c r="O72" s="37">
        <f t="shared" si="15"/>
        <v>20000</v>
      </c>
    </row>
    <row r="73" spans="1:220">
      <c r="B73" s="9" t="s">
        <v>73</v>
      </c>
      <c r="C73" s="26">
        <v>3500</v>
      </c>
      <c r="D73" s="26">
        <v>3500</v>
      </c>
      <c r="E73" s="26">
        <v>3500</v>
      </c>
      <c r="F73" s="26">
        <v>3500</v>
      </c>
      <c r="G73" s="26">
        <v>3500</v>
      </c>
      <c r="H73" s="26">
        <v>3500</v>
      </c>
      <c r="I73" s="26">
        <v>3500</v>
      </c>
      <c r="J73" s="26">
        <v>3500</v>
      </c>
      <c r="K73" s="26">
        <v>3500</v>
      </c>
      <c r="L73" s="26">
        <v>3500</v>
      </c>
      <c r="M73" s="26">
        <v>2500</v>
      </c>
      <c r="N73" s="26">
        <v>2500</v>
      </c>
      <c r="O73" s="37">
        <f t="shared" si="15"/>
        <v>40000</v>
      </c>
    </row>
    <row r="74" spans="1:220">
      <c r="B74" s="9" t="s">
        <v>74</v>
      </c>
      <c r="C74" s="26">
        <f>125000/12</f>
        <v>10416.666666666666</v>
      </c>
      <c r="D74" s="26">
        <f t="shared" ref="D74:N74" si="17">125000/12</f>
        <v>10416.666666666666</v>
      </c>
      <c r="E74" s="26">
        <f t="shared" si="17"/>
        <v>10416.666666666666</v>
      </c>
      <c r="F74" s="26">
        <f t="shared" si="17"/>
        <v>10416.666666666666</v>
      </c>
      <c r="G74" s="26">
        <f t="shared" si="17"/>
        <v>10416.666666666666</v>
      </c>
      <c r="H74" s="26">
        <f t="shared" si="17"/>
        <v>10416.666666666666</v>
      </c>
      <c r="I74" s="26">
        <f t="shared" si="17"/>
        <v>10416.666666666666</v>
      </c>
      <c r="J74" s="26">
        <f t="shared" si="17"/>
        <v>10416.666666666666</v>
      </c>
      <c r="K74" s="26">
        <f t="shared" si="17"/>
        <v>10416.666666666666</v>
      </c>
      <c r="L74" s="26">
        <f t="shared" si="17"/>
        <v>10416.666666666666</v>
      </c>
      <c r="M74" s="26">
        <f t="shared" si="17"/>
        <v>10416.666666666666</v>
      </c>
      <c r="N74" s="26">
        <f t="shared" si="17"/>
        <v>10416.666666666666</v>
      </c>
      <c r="O74" s="37">
        <f t="shared" si="15"/>
        <v>125000.00000000001</v>
      </c>
    </row>
    <row r="75" spans="1:220">
      <c r="B75" s="9" t="s">
        <v>75</v>
      </c>
      <c r="C75" s="26">
        <v>500</v>
      </c>
      <c r="D75" s="26">
        <v>500</v>
      </c>
      <c r="E75" s="26">
        <v>500</v>
      </c>
      <c r="F75" s="26">
        <v>500</v>
      </c>
      <c r="G75" s="26">
        <v>500</v>
      </c>
      <c r="H75" s="26">
        <v>500</v>
      </c>
      <c r="I75" s="26">
        <v>500</v>
      </c>
      <c r="J75" s="26">
        <v>500</v>
      </c>
      <c r="K75" s="26">
        <v>500</v>
      </c>
      <c r="L75" s="26">
        <v>500</v>
      </c>
      <c r="M75" s="26">
        <v>500</v>
      </c>
      <c r="N75" s="26">
        <v>500</v>
      </c>
      <c r="O75" s="37">
        <f t="shared" si="15"/>
        <v>6000</v>
      </c>
    </row>
    <row r="76" spans="1:220">
      <c r="B76" s="41" t="s">
        <v>76</v>
      </c>
      <c r="C76" s="105">
        <f>13000/12</f>
        <v>1083.3333333333333</v>
      </c>
      <c r="D76" s="105">
        <f t="shared" ref="D76:N76" si="18">13000/12</f>
        <v>1083.3333333333333</v>
      </c>
      <c r="E76" s="105">
        <f t="shared" si="18"/>
        <v>1083.3333333333333</v>
      </c>
      <c r="F76" s="105">
        <f t="shared" si="18"/>
        <v>1083.3333333333333</v>
      </c>
      <c r="G76" s="105">
        <f t="shared" si="18"/>
        <v>1083.3333333333333</v>
      </c>
      <c r="H76" s="105">
        <f t="shared" si="18"/>
        <v>1083.3333333333333</v>
      </c>
      <c r="I76" s="105">
        <f t="shared" si="18"/>
        <v>1083.3333333333333</v>
      </c>
      <c r="J76" s="105">
        <f t="shared" si="18"/>
        <v>1083.3333333333333</v>
      </c>
      <c r="K76" s="105">
        <f t="shared" si="18"/>
        <v>1083.3333333333333</v>
      </c>
      <c r="L76" s="105">
        <f t="shared" si="18"/>
        <v>1083.3333333333333</v>
      </c>
      <c r="M76" s="105">
        <f t="shared" si="18"/>
        <v>1083.3333333333333</v>
      </c>
      <c r="N76" s="105">
        <f t="shared" si="18"/>
        <v>1083.3333333333333</v>
      </c>
      <c r="O76" s="37">
        <f t="shared" si="15"/>
        <v>13000.000000000002</v>
      </c>
    </row>
    <row r="77" spans="1:220" s="31" customFormat="1">
      <c r="A77"/>
      <c r="B77" s="41" t="s">
        <v>77</v>
      </c>
      <c r="C77" s="105">
        <v>0</v>
      </c>
      <c r="D77" s="105">
        <v>14191.039999999999</v>
      </c>
      <c r="E77" s="105">
        <v>30330</v>
      </c>
      <c r="F77" s="105">
        <v>9193.92</v>
      </c>
      <c r="G77" s="105">
        <v>10121</v>
      </c>
      <c r="H77" s="105">
        <v>18267.52</v>
      </c>
      <c r="I77" s="105">
        <v>4172.3999999999996</v>
      </c>
      <c r="J77" s="105">
        <v>530.69999999999993</v>
      </c>
      <c r="K77" s="105">
        <v>7531.0599999999995</v>
      </c>
      <c r="L77" s="105">
        <v>1388.36</v>
      </c>
      <c r="M77" s="105">
        <v>7137</v>
      </c>
      <c r="N77" s="105">
        <v>7137</v>
      </c>
      <c r="O77" s="37">
        <f t="shared" si="15"/>
        <v>109999.99999999999</v>
      </c>
      <c r="P77"/>
      <c r="Q77"/>
      <c r="R77"/>
      <c r="S77"/>
      <c r="T77"/>
      <c r="U77"/>
      <c r="V77" s="37">
        <f>SUM(C77:N77)</f>
        <v>109999.99999999999</v>
      </c>
      <c r="W77" s="37">
        <f>V77/400</f>
        <v>274.99999999999994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</row>
    <row r="78" spans="1:220" s="31" customFormat="1">
      <c r="A78"/>
      <c r="B78" s="41" t="s">
        <v>78</v>
      </c>
      <c r="C78" s="105">
        <f>92000/12</f>
        <v>7666.666666666667</v>
      </c>
      <c r="D78" s="105">
        <f t="shared" ref="D78:N78" si="19">92000/12</f>
        <v>7666.666666666667</v>
      </c>
      <c r="E78" s="105">
        <f t="shared" si="19"/>
        <v>7666.666666666667</v>
      </c>
      <c r="F78" s="105">
        <f t="shared" si="19"/>
        <v>7666.666666666667</v>
      </c>
      <c r="G78" s="105">
        <f t="shared" si="19"/>
        <v>7666.666666666667</v>
      </c>
      <c r="H78" s="105">
        <f t="shared" si="19"/>
        <v>7666.666666666667</v>
      </c>
      <c r="I78" s="105">
        <f t="shared" si="19"/>
        <v>7666.666666666667</v>
      </c>
      <c r="J78" s="105">
        <f t="shared" si="19"/>
        <v>7666.666666666667</v>
      </c>
      <c r="K78" s="105">
        <f t="shared" si="19"/>
        <v>7666.666666666667</v>
      </c>
      <c r="L78" s="105">
        <f t="shared" si="19"/>
        <v>7666.666666666667</v>
      </c>
      <c r="M78" s="105">
        <f t="shared" si="19"/>
        <v>7666.666666666667</v>
      </c>
      <c r="N78" s="105">
        <f t="shared" si="19"/>
        <v>7666.666666666667</v>
      </c>
      <c r="O78" s="37">
        <f t="shared" si="15"/>
        <v>92000.000000000015</v>
      </c>
      <c r="P78"/>
      <c r="Q78"/>
      <c r="R78"/>
      <c r="S78"/>
      <c r="T78"/>
      <c r="U78"/>
      <c r="V78" s="37">
        <f>SUM(C78:N78)</f>
        <v>92000.000000000015</v>
      </c>
      <c r="W78" s="37">
        <f>V78/400</f>
        <v>230.00000000000003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</row>
    <row r="79" spans="1:220">
      <c r="B79" s="41" t="s">
        <v>80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37">
        <f t="shared" si="15"/>
        <v>0</v>
      </c>
    </row>
    <row r="80" spans="1:220">
      <c r="B80" s="41" t="s">
        <v>82</v>
      </c>
      <c r="C80" s="105">
        <v>6000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37">
        <f t="shared" si="15"/>
        <v>6000</v>
      </c>
    </row>
    <row r="81" spans="1:22">
      <c r="B81" s="41" t="s">
        <v>83</v>
      </c>
      <c r="C81" s="105">
        <v>12000</v>
      </c>
      <c r="D81" s="105">
        <v>12000</v>
      </c>
      <c r="E81" s="105">
        <f t="shared" ref="E81:N81" si="20">120000/10</f>
        <v>12000</v>
      </c>
      <c r="F81" s="105">
        <f t="shared" si="20"/>
        <v>12000</v>
      </c>
      <c r="G81" s="105">
        <f t="shared" si="20"/>
        <v>12000</v>
      </c>
      <c r="H81" s="105">
        <f t="shared" si="20"/>
        <v>12000</v>
      </c>
      <c r="I81" s="105">
        <f t="shared" si="20"/>
        <v>12000</v>
      </c>
      <c r="J81" s="105">
        <f t="shared" si="20"/>
        <v>12000</v>
      </c>
      <c r="K81" s="105">
        <f t="shared" si="20"/>
        <v>12000</v>
      </c>
      <c r="L81" s="105">
        <f t="shared" si="20"/>
        <v>12000</v>
      </c>
      <c r="M81" s="105">
        <f t="shared" si="20"/>
        <v>12000</v>
      </c>
      <c r="N81" s="105">
        <f t="shared" si="20"/>
        <v>12000</v>
      </c>
      <c r="O81" s="37">
        <f>SUM(C81:N81)</f>
        <v>144000</v>
      </c>
    </row>
    <row r="82" spans="1:22">
      <c r="B82" s="41" t="s">
        <v>155</v>
      </c>
      <c r="C82" s="49">
        <v>1179.45</v>
      </c>
      <c r="D82" s="49">
        <v>1179.45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37">
        <f t="shared" si="15"/>
        <v>2358.9</v>
      </c>
    </row>
    <row r="83" spans="1:22">
      <c r="B83" s="9" t="s">
        <v>84</v>
      </c>
      <c r="C83" s="26">
        <v>1200</v>
      </c>
      <c r="D83" s="26">
        <v>1200</v>
      </c>
      <c r="E83" s="26">
        <v>1200</v>
      </c>
      <c r="F83" s="26">
        <v>1200</v>
      </c>
      <c r="G83" s="26">
        <v>1200</v>
      </c>
      <c r="H83" s="26">
        <v>1200</v>
      </c>
      <c r="I83" s="26">
        <v>1200</v>
      </c>
      <c r="J83" s="26">
        <v>1200</v>
      </c>
      <c r="K83" s="26">
        <v>1200</v>
      </c>
      <c r="L83" s="26">
        <v>1200</v>
      </c>
      <c r="M83" s="26">
        <v>1200</v>
      </c>
      <c r="N83" s="26">
        <v>1200</v>
      </c>
      <c r="O83" s="37">
        <f t="shared" si="15"/>
        <v>14400</v>
      </c>
    </row>
    <row r="84" spans="1:22">
      <c r="B84" s="9" t="s">
        <v>85</v>
      </c>
      <c r="C84" s="26">
        <v>0</v>
      </c>
      <c r="D84" s="26">
        <v>0</v>
      </c>
      <c r="E84" s="26">
        <f>101535/10</f>
        <v>10153.5</v>
      </c>
      <c r="F84" s="26">
        <f t="shared" ref="F84:N84" si="21">101535/10</f>
        <v>10153.5</v>
      </c>
      <c r="G84" s="26">
        <f t="shared" si="21"/>
        <v>10153.5</v>
      </c>
      <c r="H84" s="26">
        <f t="shared" si="21"/>
        <v>10153.5</v>
      </c>
      <c r="I84" s="26">
        <f t="shared" si="21"/>
        <v>10153.5</v>
      </c>
      <c r="J84" s="26">
        <f t="shared" si="21"/>
        <v>10153.5</v>
      </c>
      <c r="K84" s="26">
        <f t="shared" si="21"/>
        <v>10153.5</v>
      </c>
      <c r="L84" s="26">
        <f t="shared" si="21"/>
        <v>10153.5</v>
      </c>
      <c r="M84" s="26">
        <f t="shared" si="21"/>
        <v>10153.5</v>
      </c>
      <c r="N84" s="26">
        <f t="shared" si="21"/>
        <v>10153.5</v>
      </c>
      <c r="O84" s="37">
        <v>101535</v>
      </c>
    </row>
    <row r="85" spans="1:22" hidden="1">
      <c r="B85" s="9" t="s">
        <v>86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37">
        <f t="shared" si="15"/>
        <v>0</v>
      </c>
    </row>
    <row r="86" spans="1:22" hidden="1">
      <c r="B86" s="9" t="s">
        <v>87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7">
        <f t="shared" si="15"/>
        <v>0</v>
      </c>
    </row>
    <row r="87" spans="1:22" hidden="1">
      <c r="B87" s="9" t="s">
        <v>88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1089</v>
      </c>
      <c r="K87" s="26">
        <v>0</v>
      </c>
      <c r="L87" s="26">
        <v>0</v>
      </c>
      <c r="M87" s="26">
        <v>0</v>
      </c>
      <c r="N87" s="26">
        <v>0</v>
      </c>
      <c r="O87" s="37">
        <f t="shared" si="15"/>
        <v>1089</v>
      </c>
    </row>
    <row r="88" spans="1:22">
      <c r="B88" s="9" t="s">
        <v>89</v>
      </c>
      <c r="C88" s="26">
        <v>1800</v>
      </c>
      <c r="D88" s="26">
        <v>1800</v>
      </c>
      <c r="E88" s="26">
        <v>1800</v>
      </c>
      <c r="F88" s="26">
        <v>1800</v>
      </c>
      <c r="G88" s="26">
        <v>1800</v>
      </c>
      <c r="H88" s="26">
        <v>1800</v>
      </c>
      <c r="I88" s="26">
        <v>1800</v>
      </c>
      <c r="J88" s="26">
        <v>1800</v>
      </c>
      <c r="K88" s="26">
        <v>1800</v>
      </c>
      <c r="L88" s="26">
        <v>1800</v>
      </c>
      <c r="M88" s="26">
        <v>1800</v>
      </c>
      <c r="N88" s="26">
        <v>1800</v>
      </c>
      <c r="O88" s="37">
        <f t="shared" si="15"/>
        <v>21600</v>
      </c>
    </row>
    <row r="89" spans="1:22" hidden="1">
      <c r="B89" s="9" t="s">
        <v>90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7">
        <f t="shared" si="15"/>
        <v>0</v>
      </c>
    </row>
    <row r="90" spans="1:22" hidden="1">
      <c r="B90" s="9" t="s">
        <v>91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37">
        <f t="shared" si="15"/>
        <v>0</v>
      </c>
    </row>
    <row r="91" spans="1:22">
      <c r="B91" s="9" t="s">
        <v>327</v>
      </c>
      <c r="C91" s="26">
        <f>2120+2120</f>
        <v>4240</v>
      </c>
      <c r="D91" s="26">
        <f t="shared" ref="D91:N91" si="22">2120+2120</f>
        <v>4240</v>
      </c>
      <c r="E91" s="26">
        <f t="shared" si="22"/>
        <v>4240</v>
      </c>
      <c r="F91" s="26">
        <f t="shared" si="22"/>
        <v>4240</v>
      </c>
      <c r="G91" s="26">
        <f t="shared" si="22"/>
        <v>4240</v>
      </c>
      <c r="H91" s="26">
        <f t="shared" si="22"/>
        <v>4240</v>
      </c>
      <c r="I91" s="26">
        <f t="shared" si="22"/>
        <v>4240</v>
      </c>
      <c r="J91" s="26">
        <f t="shared" si="22"/>
        <v>4240</v>
      </c>
      <c r="K91" s="26">
        <f t="shared" si="22"/>
        <v>4240</v>
      </c>
      <c r="L91" s="26">
        <f t="shared" si="22"/>
        <v>4240</v>
      </c>
      <c r="M91" s="26">
        <f t="shared" si="22"/>
        <v>4240</v>
      </c>
      <c r="N91" s="26">
        <f t="shared" si="22"/>
        <v>4240</v>
      </c>
      <c r="O91" s="37">
        <f t="shared" si="15"/>
        <v>50880</v>
      </c>
    </row>
    <row r="92" spans="1:22">
      <c r="B92" s="9" t="s">
        <v>336</v>
      </c>
      <c r="C92" s="26">
        <f>C101</f>
        <v>5462.853229166667</v>
      </c>
      <c r="D92" s="26">
        <f t="shared" ref="D92:N92" si="23">D101</f>
        <v>7014.2484374999995</v>
      </c>
      <c r="E92" s="26">
        <f t="shared" si="23"/>
        <v>9558.8896874999991</v>
      </c>
      <c r="F92" s="26">
        <f t="shared" si="23"/>
        <v>12103.5309375</v>
      </c>
      <c r="G92" s="26">
        <f t="shared" si="23"/>
        <v>14648.1721875</v>
      </c>
      <c r="H92" s="26">
        <f t="shared" si="23"/>
        <v>17192.813437499997</v>
      </c>
      <c r="I92" s="26">
        <f t="shared" si="23"/>
        <v>19737.454687499998</v>
      </c>
      <c r="J92" s="26">
        <f t="shared" si="23"/>
        <v>22282.095937499998</v>
      </c>
      <c r="K92" s="26">
        <f t="shared" si="23"/>
        <v>24826.737187499999</v>
      </c>
      <c r="L92" s="26">
        <f t="shared" si="23"/>
        <v>27371.3784375</v>
      </c>
      <c r="M92" s="26">
        <f t="shared" si="23"/>
        <v>29916.019687499997</v>
      </c>
      <c r="N92" s="26">
        <f t="shared" si="23"/>
        <v>32460.660937499997</v>
      </c>
      <c r="O92" s="37">
        <f t="shared" si="15"/>
        <v>222574.85479166667</v>
      </c>
      <c r="V92" s="37">
        <f>SUM(C92:U92)</f>
        <v>445149.70958333334</v>
      </c>
    </row>
    <row r="93" spans="1:22">
      <c r="B93" s="9" t="s">
        <v>102</v>
      </c>
      <c r="C93" s="26">
        <v>1370.76</v>
      </c>
      <c r="D93" s="26">
        <v>1370.76</v>
      </c>
      <c r="E93" s="26">
        <v>1370.76</v>
      </c>
      <c r="F93" s="26">
        <v>1370.76</v>
      </c>
      <c r="G93" s="26">
        <v>1370.76</v>
      </c>
      <c r="H93" s="26">
        <v>1370.76</v>
      </c>
      <c r="I93" s="26">
        <v>1370.76</v>
      </c>
      <c r="J93" s="26">
        <v>1370.76</v>
      </c>
      <c r="K93" s="26">
        <v>1370.76</v>
      </c>
      <c r="L93" s="26">
        <v>1370.76</v>
      </c>
      <c r="M93" s="26">
        <v>1370.76</v>
      </c>
      <c r="N93" s="26">
        <v>1370.76</v>
      </c>
      <c r="O93" s="37">
        <f t="shared" si="15"/>
        <v>16449.12</v>
      </c>
    </row>
    <row r="94" spans="1:22">
      <c r="A94" t="s">
        <v>97</v>
      </c>
      <c r="B94" s="9"/>
      <c r="C94" s="28">
        <f t="shared" ref="C94:N94" si="24">SUM(C37:C93)</f>
        <v>1158371.8275035257</v>
      </c>
      <c r="D94" s="28">
        <f t="shared" si="24"/>
        <v>1157140.803910577</v>
      </c>
      <c r="E94" s="28">
        <f t="shared" si="24"/>
        <v>1091482.7454182694</v>
      </c>
      <c r="F94" s="28">
        <f t="shared" si="24"/>
        <v>1088891.3066682694</v>
      </c>
      <c r="G94" s="28">
        <f t="shared" si="24"/>
        <v>1082363.0279182694</v>
      </c>
      <c r="H94" s="28">
        <f t="shared" si="24"/>
        <v>1089054.1891682695</v>
      </c>
      <c r="I94" s="28">
        <f t="shared" si="24"/>
        <v>1189948.7932836534</v>
      </c>
      <c r="J94" s="28">
        <f t="shared" si="24"/>
        <v>1084495.6516682692</v>
      </c>
      <c r="K94" s="28">
        <f t="shared" si="24"/>
        <v>1082951.6529182696</v>
      </c>
      <c r="L94" s="28">
        <f t="shared" si="24"/>
        <v>1082353.5941682693</v>
      </c>
      <c r="M94" s="28">
        <f t="shared" si="24"/>
        <v>1093646.8754182695</v>
      </c>
      <c r="N94" s="28">
        <f t="shared" si="24"/>
        <v>1092191.5166682694</v>
      </c>
    </row>
    <row r="95" spans="1:22">
      <c r="A95" t="s">
        <v>104</v>
      </c>
      <c r="B95" s="10"/>
      <c r="C95" s="29">
        <f t="shared" ref="C95:N95" si="25">C33-C94</f>
        <v>1405266.272496474</v>
      </c>
      <c r="D95" s="29">
        <f t="shared" si="25"/>
        <v>948730.36858589691</v>
      </c>
      <c r="E95" s="29">
        <f t="shared" si="25"/>
        <v>1761852.5231676276</v>
      </c>
      <c r="F95" s="29">
        <f t="shared" si="25"/>
        <v>1368566.1164993583</v>
      </c>
      <c r="G95" s="39">
        <f t="shared" si="25"/>
        <v>981807.98858108884</v>
      </c>
      <c r="H95" s="29">
        <f t="shared" si="25"/>
        <v>1797358.6994128192</v>
      </c>
      <c r="I95" s="29">
        <f t="shared" si="25"/>
        <v>1303014.8061291659</v>
      </c>
      <c r="J95" s="39">
        <f t="shared" si="25"/>
        <v>914124.05446089664</v>
      </c>
      <c r="K95" s="29">
        <f t="shared" si="25"/>
        <v>1735777.3015426269</v>
      </c>
      <c r="L95" s="29">
        <f t="shared" si="25"/>
        <v>1349028.6073743578</v>
      </c>
      <c r="M95" s="29">
        <f t="shared" si="25"/>
        <v>1073025.6319560884</v>
      </c>
      <c r="N95" s="29">
        <f t="shared" si="25"/>
        <v>1884440.1152878189</v>
      </c>
    </row>
    <row r="96" spans="1:22">
      <c r="B96" s="8"/>
    </row>
    <row r="97" spans="1:15">
      <c r="B97" s="8"/>
      <c r="O97" s="13"/>
    </row>
    <row r="99" spans="1:15">
      <c r="A99" t="s">
        <v>357</v>
      </c>
      <c r="C99" s="112">
        <f>'Cash Flow 2014'!L30+'Cash Flow 2015'!C31</f>
        <v>1191895.25</v>
      </c>
      <c r="D99" s="112">
        <f>C99+D31</f>
        <v>1870466.25</v>
      </c>
      <c r="E99" s="112">
        <f>D99+E31</f>
        <v>2549037.25</v>
      </c>
      <c r="F99" s="112">
        <f t="shared" ref="F99:N99" si="26">E99+F31</f>
        <v>3227608.25</v>
      </c>
      <c r="G99" s="112">
        <f t="shared" si="26"/>
        <v>3906179.25</v>
      </c>
      <c r="H99" s="112">
        <f t="shared" si="26"/>
        <v>4584750.25</v>
      </c>
      <c r="I99" s="112">
        <f t="shared" si="26"/>
        <v>5263321.25</v>
      </c>
      <c r="J99" s="112">
        <f t="shared" si="26"/>
        <v>5941892.25</v>
      </c>
      <c r="K99" s="112">
        <f t="shared" si="26"/>
        <v>6620463.25</v>
      </c>
      <c r="L99" s="112">
        <f t="shared" si="26"/>
        <v>7299034.25</v>
      </c>
      <c r="M99" s="112">
        <f t="shared" si="26"/>
        <v>7977605.25</v>
      </c>
      <c r="N99" s="112">
        <f t="shared" si="26"/>
        <v>8656176.25</v>
      </c>
    </row>
    <row r="100" spans="1:15">
      <c r="A100" s="126" t="s">
        <v>361</v>
      </c>
      <c r="C100" s="112">
        <f>C99*5.5%</f>
        <v>65554.238750000004</v>
      </c>
      <c r="D100" s="112">
        <f t="shared" ref="D100:N100" si="27">D99*4.5%</f>
        <v>84170.981249999997</v>
      </c>
      <c r="E100" s="112">
        <f t="shared" si="27"/>
        <v>114706.67624999999</v>
      </c>
      <c r="F100" s="112">
        <f t="shared" si="27"/>
        <v>145242.37125</v>
      </c>
      <c r="G100" s="112">
        <f t="shared" si="27"/>
        <v>175778.06625</v>
      </c>
      <c r="H100" s="112">
        <f t="shared" si="27"/>
        <v>206313.76124999998</v>
      </c>
      <c r="I100" s="112">
        <f t="shared" si="27"/>
        <v>236849.45624999999</v>
      </c>
      <c r="J100" s="112">
        <f t="shared" si="27"/>
        <v>267385.15125</v>
      </c>
      <c r="K100" s="112">
        <f t="shared" si="27"/>
        <v>297920.84625</v>
      </c>
      <c r="L100" s="112">
        <f t="shared" si="27"/>
        <v>328456.54125000001</v>
      </c>
      <c r="M100" s="112">
        <f t="shared" si="27"/>
        <v>358992.23624999996</v>
      </c>
      <c r="N100" s="112">
        <f t="shared" si="27"/>
        <v>389527.93124999997</v>
      </c>
    </row>
    <row r="101" spans="1:15">
      <c r="A101" s="126" t="s">
        <v>362</v>
      </c>
      <c r="C101" s="127">
        <f>C100/12</f>
        <v>5462.853229166667</v>
      </c>
      <c r="D101" s="127">
        <f t="shared" ref="D101:N101" si="28">D100/12</f>
        <v>7014.2484374999995</v>
      </c>
      <c r="E101" s="127">
        <f t="shared" si="28"/>
        <v>9558.8896874999991</v>
      </c>
      <c r="F101" s="127">
        <f t="shared" si="28"/>
        <v>12103.5309375</v>
      </c>
      <c r="G101" s="127">
        <f t="shared" si="28"/>
        <v>14648.1721875</v>
      </c>
      <c r="H101" s="127">
        <f t="shared" si="28"/>
        <v>17192.813437499997</v>
      </c>
      <c r="I101" s="127">
        <f t="shared" si="28"/>
        <v>19737.454687499998</v>
      </c>
      <c r="J101" s="127">
        <f t="shared" si="28"/>
        <v>22282.095937499998</v>
      </c>
      <c r="K101" s="127">
        <f t="shared" si="28"/>
        <v>24826.737187499999</v>
      </c>
      <c r="L101" s="127">
        <f t="shared" si="28"/>
        <v>27371.3784375</v>
      </c>
      <c r="M101" s="127">
        <f t="shared" si="28"/>
        <v>29916.019687499997</v>
      </c>
      <c r="N101" s="127">
        <f t="shared" si="28"/>
        <v>32460.660937499997</v>
      </c>
    </row>
    <row r="110" spans="1:15">
      <c r="B110" s="8"/>
      <c r="O110" s="15"/>
    </row>
    <row r="111" spans="1:15">
      <c r="B111" s="8"/>
      <c r="O111" s="15"/>
    </row>
    <row r="112" spans="1:15">
      <c r="B112" s="8"/>
      <c r="O112" s="15"/>
    </row>
    <row r="113" spans="2:15">
      <c r="B113" s="8"/>
      <c r="O113" s="15"/>
    </row>
    <row r="114" spans="2:15">
      <c r="B114" s="8"/>
      <c r="O114" s="15"/>
    </row>
    <row r="115" spans="2:15">
      <c r="B115" s="8"/>
      <c r="O115" s="15"/>
    </row>
    <row r="116" spans="2:15">
      <c r="B116" s="8"/>
      <c r="O116" s="15"/>
    </row>
    <row r="117" spans="2:15">
      <c r="B117" s="8"/>
      <c r="O117" s="15"/>
    </row>
    <row r="118" spans="2:15">
      <c r="B118" s="8"/>
      <c r="O118" s="15"/>
    </row>
    <row r="119" spans="2:15">
      <c r="B119" s="8"/>
      <c r="O119" s="15"/>
    </row>
    <row r="120" spans="2:15">
      <c r="B120" s="8"/>
      <c r="O120" s="15"/>
    </row>
    <row r="121" spans="2:15">
      <c r="B121" s="8"/>
      <c r="O121" s="15"/>
    </row>
    <row r="122" spans="2:15">
      <c r="B122" s="8"/>
      <c r="O122" s="15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  <c r="O182" s="15"/>
    </row>
    <row r="183" spans="2:15">
      <c r="B183" s="8"/>
      <c r="O183" s="15"/>
    </row>
    <row r="184" spans="2:15">
      <c r="B184" s="8"/>
      <c r="O184" s="15"/>
    </row>
    <row r="185" spans="2:15">
      <c r="B185" s="8"/>
    </row>
    <row r="186" spans="2:15">
      <c r="B186" s="8"/>
    </row>
    <row r="187" spans="2:15">
      <c r="B187" s="8"/>
    </row>
    <row r="188" spans="2:15">
      <c r="B188" s="8"/>
    </row>
    <row r="189" spans="2:15">
      <c r="B189" s="8"/>
    </row>
    <row r="190" spans="2:15">
      <c r="B190" s="8"/>
    </row>
    <row r="191" spans="2:15">
      <c r="B191" s="8"/>
    </row>
    <row r="192" spans="2:15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scale="83" orientation="landscape" r:id="rId1"/>
  <headerFooter alignWithMargins="0"/>
  <rowBreaks count="1" manualBreakCount="1">
    <brk id="3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N225"/>
  <sheetViews>
    <sheetView zoomScaleNormal="100" workbookViewId="0">
      <selection sqref="A1:N1"/>
    </sheetView>
  </sheetViews>
  <sheetFormatPr defaultColWidth="11.42578125" defaultRowHeight="12.75"/>
  <cols>
    <col min="1" max="1" width="8.7109375" customWidth="1"/>
    <col min="2" max="2" width="15.7109375" customWidth="1"/>
    <col min="3" max="3" width="11.42578125" customWidth="1"/>
    <col min="4" max="4" width="12" customWidth="1"/>
    <col min="5" max="5" width="12.7109375" customWidth="1"/>
    <col min="6" max="6" width="13" customWidth="1"/>
    <col min="7" max="7" width="12.28515625" customWidth="1"/>
    <col min="8" max="9" width="13.42578125" customWidth="1"/>
    <col min="10" max="10" width="12.42578125" customWidth="1"/>
    <col min="11" max="11" width="13.28515625" customWidth="1"/>
    <col min="12" max="12" width="12.140625" customWidth="1"/>
    <col min="13" max="13" width="12.42578125" customWidth="1"/>
    <col min="14" max="14" width="12.7109375" customWidth="1"/>
    <col min="15" max="16" width="15.710937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184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/>
      <c r="C8">
        <v>2</v>
      </c>
      <c r="D8">
        <v>3</v>
      </c>
      <c r="E8">
        <v>2</v>
      </c>
      <c r="F8">
        <v>2</v>
      </c>
      <c r="G8">
        <v>2</v>
      </c>
      <c r="H8">
        <v>2</v>
      </c>
      <c r="I8">
        <v>3</v>
      </c>
      <c r="J8">
        <v>2</v>
      </c>
      <c r="K8">
        <v>2</v>
      </c>
      <c r="L8">
        <v>2</v>
      </c>
      <c r="M8">
        <v>2</v>
      </c>
      <c r="N8">
        <v>2</v>
      </c>
    </row>
    <row r="9" spans="1:16">
      <c r="B9" s="8"/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</row>
    <row r="11" spans="1:16">
      <c r="B11" s="8"/>
      <c r="C11" s="25" t="s">
        <v>15</v>
      </c>
      <c r="D11" s="25" t="s">
        <v>15</v>
      </c>
      <c r="E11" s="25" t="s">
        <v>15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15</v>
      </c>
      <c r="M11" s="25" t="s">
        <v>15</v>
      </c>
      <c r="N11" s="25" t="s">
        <v>15</v>
      </c>
    </row>
    <row r="12" spans="1:16" ht="15">
      <c r="A12" s="18" t="s">
        <v>95</v>
      </c>
      <c r="B12" s="8"/>
      <c r="C12" s="121">
        <f>'Cash Flow 2015'!N95</f>
        <v>1884440.1152878189</v>
      </c>
      <c r="D12" s="20">
        <f t="shared" ref="D12:N12" ca="1" si="0">C95</f>
        <v>827565.10034166533</v>
      </c>
      <c r="E12" s="20">
        <f t="shared" ca="1" si="0"/>
        <v>959084.45142628078</v>
      </c>
      <c r="F12" s="20">
        <f t="shared" ca="1" si="0"/>
        <v>1938700.7047493577</v>
      </c>
      <c r="G12" s="20">
        <f t="shared" ca="1" si="0"/>
        <v>1483787.3684724346</v>
      </c>
      <c r="H12" s="20">
        <f t="shared" ca="1" si="0"/>
        <v>1011523.6559955117</v>
      </c>
      <c r="I12" s="20">
        <f t="shared" ca="1" si="0"/>
        <v>2042953.2329185884</v>
      </c>
      <c r="J12" s="20">
        <f t="shared" ca="1" si="0"/>
        <v>1459567.8489032038</v>
      </c>
      <c r="K12" s="20">
        <f t="shared" ca="1" si="0"/>
        <v>1014007.9464262808</v>
      </c>
      <c r="L12" s="20">
        <f t="shared" ca="1" si="0"/>
        <v>2042990.2898493577</v>
      </c>
      <c r="M12" s="20">
        <f t="shared" ca="1" si="0"/>
        <v>1617227.0915724346</v>
      </c>
      <c r="N12" s="20">
        <f t="shared" ca="1" si="0"/>
        <v>1286939.7306955117</v>
      </c>
    </row>
    <row r="13" spans="1:16">
      <c r="A13" s="4" t="s">
        <v>92</v>
      </c>
      <c r="B13" s="8"/>
    </row>
    <row r="14" spans="1:16">
      <c r="B14" s="8"/>
    </row>
    <row r="15" spans="1:16">
      <c r="A15" s="38" t="s">
        <v>143</v>
      </c>
      <c r="B15" s="8"/>
    </row>
    <row r="16" spans="1:16">
      <c r="A16">
        <v>475</v>
      </c>
      <c r="B16" s="9" t="s">
        <v>17</v>
      </c>
      <c r="C16" s="26">
        <v>0</v>
      </c>
      <c r="D16" s="26">
        <v>0</v>
      </c>
      <c r="E16" s="26">
        <f>A16*(12000/4)*1.02*1.02</f>
        <v>1482570</v>
      </c>
      <c r="F16" s="26">
        <v>0</v>
      </c>
      <c r="G16" s="26">
        <v>0</v>
      </c>
      <c r="H16" s="26">
        <f>E16</f>
        <v>1482570</v>
      </c>
      <c r="I16" s="26">
        <v>0</v>
      </c>
      <c r="J16" s="26">
        <v>0</v>
      </c>
      <c r="K16" s="26">
        <f>H16</f>
        <v>1482570</v>
      </c>
      <c r="L16" s="26">
        <v>0</v>
      </c>
      <c r="M16" s="26">
        <v>0</v>
      </c>
      <c r="N16" s="26">
        <f>K16</f>
        <v>1482570</v>
      </c>
      <c r="O16" s="37">
        <f>SUM(C16:N16)</f>
        <v>5930280</v>
      </c>
      <c r="P16" t="s">
        <v>138</v>
      </c>
    </row>
    <row r="17" spans="1:16">
      <c r="B17" s="9" t="s">
        <v>178</v>
      </c>
      <c r="M17" s="114">
        <v>27146</v>
      </c>
      <c r="O17" s="37">
        <f>SUM(C17:N17)</f>
        <v>27146</v>
      </c>
      <c r="P17" t="s">
        <v>139</v>
      </c>
    </row>
    <row r="18" spans="1:16">
      <c r="B18" s="9" t="s">
        <v>170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15">
        <v>1653</v>
      </c>
      <c r="N18" s="26"/>
      <c r="O18" s="37">
        <f>SUM(C18:N18)</f>
        <v>1653</v>
      </c>
    </row>
    <row r="19" spans="1:16">
      <c r="B19" s="9" t="s">
        <v>162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5">
        <v>40000</v>
      </c>
      <c r="N19" s="26"/>
      <c r="O19" s="37">
        <f>SUM(C19:N19)</f>
        <v>40000</v>
      </c>
    </row>
    <row r="20" spans="1:16">
      <c r="B20" s="101" t="s">
        <v>244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5">
        <v>2740</v>
      </c>
      <c r="N20" s="26"/>
      <c r="O20" s="37"/>
    </row>
    <row r="21" spans="1:16">
      <c r="B21" s="101" t="s">
        <v>277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5">
        <v>2500</v>
      </c>
      <c r="N21" s="26"/>
      <c r="O21" s="37"/>
    </row>
    <row r="22" spans="1:16">
      <c r="B22" s="9" t="s">
        <v>243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4">
        <v>30000</v>
      </c>
      <c r="N22" s="26"/>
      <c r="O22" s="37"/>
    </row>
    <row r="23" spans="1:16">
      <c r="B23" s="9" t="s">
        <v>248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3">
        <v>18000</v>
      </c>
      <c r="N23" s="26"/>
      <c r="O23" s="37"/>
    </row>
    <row r="24" spans="1:16">
      <c r="B24" s="9" t="s">
        <v>195</v>
      </c>
      <c r="C24" s="26">
        <f>A16*202/12</f>
        <v>7995.833333333333</v>
      </c>
      <c r="D24" s="26">
        <f>7995.83</f>
        <v>7995.83</v>
      </c>
      <c r="E24" s="26">
        <f t="shared" ref="E24:N24" si="1">7995.83</f>
        <v>7995.83</v>
      </c>
      <c r="F24" s="26">
        <f t="shared" si="1"/>
        <v>7995.83</v>
      </c>
      <c r="G24" s="26">
        <f t="shared" si="1"/>
        <v>7995.83</v>
      </c>
      <c r="H24" s="26">
        <f t="shared" si="1"/>
        <v>7995.83</v>
      </c>
      <c r="I24" s="26">
        <f t="shared" si="1"/>
        <v>7995.83</v>
      </c>
      <c r="J24" s="26">
        <f t="shared" si="1"/>
        <v>7995.83</v>
      </c>
      <c r="K24" s="26">
        <f t="shared" si="1"/>
        <v>7995.83</v>
      </c>
      <c r="L24" s="26">
        <f t="shared" si="1"/>
        <v>7995.83</v>
      </c>
      <c r="M24" s="26">
        <f t="shared" si="1"/>
        <v>7995.83</v>
      </c>
      <c r="N24" s="26">
        <f t="shared" si="1"/>
        <v>7995.83</v>
      </c>
      <c r="O24" s="37">
        <f>SUM(C24:N24)</f>
        <v>95949.963333333348</v>
      </c>
    </row>
    <row r="25" spans="1:16">
      <c r="B25" s="9" t="s">
        <v>280</v>
      </c>
      <c r="C25" s="26">
        <f>122.12*A16/12</f>
        <v>4833.916666666667</v>
      </c>
      <c r="D25" s="26">
        <f>C25</f>
        <v>4833.916666666667</v>
      </c>
      <c r="E25" s="26">
        <f t="shared" ref="E25:N25" si="2">D25</f>
        <v>4833.916666666667</v>
      </c>
      <c r="F25" s="26">
        <f t="shared" si="2"/>
        <v>4833.916666666667</v>
      </c>
      <c r="G25" s="26">
        <f t="shared" si="2"/>
        <v>4833.916666666667</v>
      </c>
      <c r="H25" s="26">
        <f t="shared" si="2"/>
        <v>4833.916666666667</v>
      </c>
      <c r="I25" s="26">
        <f t="shared" si="2"/>
        <v>4833.916666666667</v>
      </c>
      <c r="J25" s="26">
        <f t="shared" si="2"/>
        <v>4833.916666666667</v>
      </c>
      <c r="K25" s="26">
        <f t="shared" si="2"/>
        <v>4833.916666666667</v>
      </c>
      <c r="L25" s="26">
        <f t="shared" si="2"/>
        <v>4833.916666666667</v>
      </c>
      <c r="M25" s="26">
        <f t="shared" si="2"/>
        <v>4833.916666666667</v>
      </c>
      <c r="N25" s="26">
        <f t="shared" si="2"/>
        <v>4833.916666666667</v>
      </c>
      <c r="O25" s="37"/>
    </row>
    <row r="26" spans="1:16">
      <c r="B26" s="9" t="s">
        <v>19</v>
      </c>
      <c r="C26" s="26">
        <v>0</v>
      </c>
      <c r="D26" s="26">
        <v>1000</v>
      </c>
      <c r="E26" s="26">
        <v>1000</v>
      </c>
      <c r="F26" s="26">
        <v>1000</v>
      </c>
      <c r="G26" s="26">
        <v>1000</v>
      </c>
      <c r="H26" s="26">
        <v>1000</v>
      </c>
      <c r="I26" s="26">
        <v>1000</v>
      </c>
      <c r="J26" s="26">
        <v>1000</v>
      </c>
      <c r="K26" s="26">
        <v>1000</v>
      </c>
      <c r="L26" s="26">
        <v>1000</v>
      </c>
      <c r="M26" s="26">
        <v>1000</v>
      </c>
      <c r="N26" s="26">
        <v>0</v>
      </c>
      <c r="O26" s="37">
        <f>SUM(C26:N26)</f>
        <v>10000</v>
      </c>
    </row>
    <row r="27" spans="1:16">
      <c r="B27" s="9" t="s">
        <v>20</v>
      </c>
      <c r="C27" s="26">
        <v>0</v>
      </c>
      <c r="D27" s="26">
        <v>5000</v>
      </c>
      <c r="E27" s="26">
        <v>5000</v>
      </c>
      <c r="F27" s="26">
        <v>5000</v>
      </c>
      <c r="G27" s="26">
        <v>5000</v>
      </c>
      <c r="H27" s="26">
        <v>5000</v>
      </c>
      <c r="I27" s="26">
        <v>5000</v>
      </c>
      <c r="J27" s="26">
        <v>5000</v>
      </c>
      <c r="K27" s="26">
        <v>5000</v>
      </c>
      <c r="L27" s="26">
        <v>5000</v>
      </c>
      <c r="M27" s="26">
        <v>5000</v>
      </c>
      <c r="N27" s="26">
        <f>$P$27/10</f>
        <v>0</v>
      </c>
      <c r="O27" s="37">
        <f>SUM(C27:N27)</f>
        <v>50000</v>
      </c>
    </row>
    <row r="28" spans="1:16">
      <c r="B28" s="9" t="s">
        <v>247</v>
      </c>
      <c r="C28" s="26">
        <v>5000</v>
      </c>
      <c r="D28" s="26">
        <v>5000</v>
      </c>
      <c r="E28" s="26"/>
      <c r="F28" s="26"/>
      <c r="G28" s="26"/>
      <c r="H28" s="26"/>
      <c r="I28" s="26"/>
      <c r="J28" s="26"/>
      <c r="K28" s="26"/>
      <c r="L28" s="26"/>
      <c r="M28" s="26"/>
      <c r="N28" s="26">
        <v>5000</v>
      </c>
      <c r="O28" s="37"/>
    </row>
    <row r="29" spans="1:16">
      <c r="B29" s="9" t="s">
        <v>21</v>
      </c>
      <c r="C29" s="26">
        <v>500</v>
      </c>
      <c r="D29" s="26">
        <v>500</v>
      </c>
      <c r="E29" s="26">
        <v>500</v>
      </c>
      <c r="F29" s="26">
        <v>500</v>
      </c>
      <c r="G29" s="26">
        <v>500</v>
      </c>
      <c r="H29" s="26">
        <v>500</v>
      </c>
      <c r="I29" s="26">
        <v>500</v>
      </c>
      <c r="J29" s="26">
        <v>500</v>
      </c>
      <c r="K29" s="26">
        <v>500</v>
      </c>
      <c r="L29" s="26">
        <v>500</v>
      </c>
      <c r="M29" s="26">
        <v>500</v>
      </c>
      <c r="N29" s="26">
        <v>500</v>
      </c>
      <c r="O29" s="37">
        <f>SUM(C29:N29)</f>
        <v>6000</v>
      </c>
    </row>
    <row r="30" spans="1:16">
      <c r="B30" s="9" t="s">
        <v>363</v>
      </c>
      <c r="C30" s="26">
        <v>678571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7"/>
    </row>
    <row r="31" spans="1:16">
      <c r="B31" s="9" t="s">
        <v>339</v>
      </c>
      <c r="C31" s="27">
        <v>0</v>
      </c>
      <c r="D31" s="26">
        <f>270063+450000</f>
        <v>720063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37">
        <f>SUM(C31:N31)</f>
        <v>720063</v>
      </c>
    </row>
    <row r="32" spans="1:16">
      <c r="A32" s="38" t="s">
        <v>96</v>
      </c>
      <c r="B32" s="9"/>
      <c r="C32" s="28">
        <f t="shared" ref="C32:N32" si="3">SUM(C16:C31)</f>
        <v>696900.75</v>
      </c>
      <c r="D32" s="28">
        <f t="shared" si="3"/>
        <v>744392.7466666667</v>
      </c>
      <c r="E32" s="28">
        <f t="shared" si="3"/>
        <v>1501899.7466666668</v>
      </c>
      <c r="F32" s="28">
        <f t="shared" si="3"/>
        <v>19329.746666666666</v>
      </c>
      <c r="G32" s="28">
        <f t="shared" si="3"/>
        <v>19329.746666666666</v>
      </c>
      <c r="H32" s="28">
        <f t="shared" si="3"/>
        <v>1501899.7466666668</v>
      </c>
      <c r="I32" s="28">
        <f t="shared" si="3"/>
        <v>19329.746666666666</v>
      </c>
      <c r="J32" s="28">
        <f t="shared" si="3"/>
        <v>19329.746666666666</v>
      </c>
      <c r="K32" s="28">
        <f t="shared" si="3"/>
        <v>1501899.7466666668</v>
      </c>
      <c r="L32" s="28">
        <f t="shared" si="3"/>
        <v>19329.746666666666</v>
      </c>
      <c r="M32" s="28">
        <f t="shared" si="3"/>
        <v>141368.74666666667</v>
      </c>
      <c r="N32" s="28">
        <f t="shared" si="3"/>
        <v>1500899.7466666668</v>
      </c>
    </row>
    <row r="33" spans="1:17">
      <c r="A33" s="38" t="s">
        <v>98</v>
      </c>
      <c r="B33" s="10"/>
      <c r="C33" s="29">
        <f t="shared" ref="C33:N33" si="4">C32+C12</f>
        <v>2581340.8652878189</v>
      </c>
      <c r="D33" s="29">
        <f t="shared" ca="1" si="4"/>
        <v>1570128.1003416653</v>
      </c>
      <c r="E33" s="29">
        <f t="shared" ca="1" si="4"/>
        <v>2459154.4514262807</v>
      </c>
      <c r="F33" s="29">
        <f t="shared" ca="1" si="4"/>
        <v>1956200.7047493577</v>
      </c>
      <c r="G33" s="29">
        <f t="shared" ca="1" si="4"/>
        <v>1501287.3684724346</v>
      </c>
      <c r="H33" s="29">
        <f t="shared" ca="1" si="4"/>
        <v>2511593.6559955114</v>
      </c>
      <c r="I33" s="29">
        <f t="shared" ca="1" si="4"/>
        <v>2060453.2329185884</v>
      </c>
      <c r="J33" s="29">
        <f t="shared" ca="1" si="4"/>
        <v>1477067.8489032038</v>
      </c>
      <c r="K33" s="29">
        <f t="shared" ca="1" si="4"/>
        <v>2514077.9464262808</v>
      </c>
      <c r="L33" s="29">
        <f t="shared" ca="1" si="4"/>
        <v>2060490.2898493577</v>
      </c>
      <c r="M33" s="29">
        <f t="shared" ca="1" si="4"/>
        <v>1756766.0915724346</v>
      </c>
      <c r="N33" s="29">
        <f t="shared" ca="1" si="4"/>
        <v>2775009.7306955117</v>
      </c>
    </row>
    <row r="34" spans="1:17">
      <c r="B34" s="8"/>
    </row>
    <row r="35" spans="1:17">
      <c r="A35" s="4" t="s">
        <v>99</v>
      </c>
      <c r="B35" s="8"/>
      <c r="M35" s="196" t="s">
        <v>435</v>
      </c>
    </row>
    <row r="36" spans="1:17">
      <c r="A36" s="19" t="s">
        <v>92</v>
      </c>
      <c r="B36" s="8" t="s">
        <v>92</v>
      </c>
    </row>
    <row r="37" spans="1:17">
      <c r="B37" s="9" t="s">
        <v>304</v>
      </c>
      <c r="C37" s="105">
        <f>'Cash Flow 2015'!N37</f>
        <v>259812.41573076922</v>
      </c>
      <c r="D37" s="26">
        <f>(Personnel!$K$253)*('Cash Flow 2016'!D$8)+(Personnel!$K$250)</f>
        <v>460154.97694615368</v>
      </c>
      <c r="E37" s="26">
        <f>(Personnel!$K$253)*('Cash Flow 2016'!E$8)+(Personnel!$K$250)</f>
        <v>317803.80463076918</v>
      </c>
      <c r="F37" s="26">
        <f>(Personnel!$K$253)*('Cash Flow 2016'!F$8)+(Personnel!$K$250)</f>
        <v>317803.80463076918</v>
      </c>
      <c r="G37" s="26">
        <f>(Personnel!$K$253)*('Cash Flow 2016'!G$8)+(Personnel!$K$250)</f>
        <v>317803.80463076918</v>
      </c>
      <c r="H37" s="26">
        <f>(Personnel!$K$253)*('Cash Flow 2016'!H$8)+(Personnel!$K$250)</f>
        <v>317803.80463076918</v>
      </c>
      <c r="I37" s="26">
        <f>(Personnel!$K$253)*('Cash Flow 2016'!I$8)+(Personnel!$K$250)</f>
        <v>460154.97694615368</v>
      </c>
      <c r="J37" s="26">
        <f>(Personnel!$K$253)*('Cash Flow 2016'!J$8)+(Personnel!$K$250)</f>
        <v>317803.80463076918</v>
      </c>
      <c r="K37" s="26">
        <f>(Personnel!$K$253)*('Cash Flow 2016'!K$8)+(Personnel!$K$250)</f>
        <v>317803.80463076918</v>
      </c>
      <c r="L37" s="26">
        <f>(Personnel!$K$253)*('Cash Flow 2016'!L$8)+(Personnel!$K$250)</f>
        <v>317803.80463076918</v>
      </c>
      <c r="M37" s="26">
        <f>(Personnel!$K$253)*('Cash Flow 2016'!M$8)+(Personnel!$K$250)</f>
        <v>317803.80463076918</v>
      </c>
      <c r="N37" s="26">
        <f>(Personnel!$K$253)*('Cash Flow 2016'!N$8)+(Personnel!$K$250)</f>
        <v>317803.80463076918</v>
      </c>
      <c r="O37" s="116">
        <f>SUM(C37:N37)</f>
        <v>4040356.6113</v>
      </c>
      <c r="P37" s="37">
        <f>O37-C37+E37</f>
        <v>4098348.0001999997</v>
      </c>
      <c r="Q37" s="37"/>
    </row>
    <row r="38" spans="1:17">
      <c r="B38" s="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7"/>
    </row>
    <row r="39" spans="1:17">
      <c r="A39" s="8"/>
      <c r="B39" s="41" t="s">
        <v>330</v>
      </c>
      <c r="C39" s="26">
        <f>O39/12</f>
        <v>470.83333333333331</v>
      </c>
      <c r="D39" s="26">
        <f>470.83</f>
        <v>470.83</v>
      </c>
      <c r="E39" s="26">
        <f t="shared" ref="E39:N39" si="5">470.83</f>
        <v>470.83</v>
      </c>
      <c r="F39" s="26">
        <f t="shared" si="5"/>
        <v>470.83</v>
      </c>
      <c r="G39" s="26">
        <f t="shared" si="5"/>
        <v>470.83</v>
      </c>
      <c r="H39" s="26">
        <f t="shared" si="5"/>
        <v>470.83</v>
      </c>
      <c r="I39" s="26">
        <f t="shared" si="5"/>
        <v>470.83</v>
      </c>
      <c r="J39" s="26">
        <f t="shared" si="5"/>
        <v>470.83</v>
      </c>
      <c r="K39" s="26">
        <f t="shared" si="5"/>
        <v>470.83</v>
      </c>
      <c r="L39" s="26">
        <f t="shared" si="5"/>
        <v>470.83</v>
      </c>
      <c r="M39" s="26">
        <f t="shared" si="5"/>
        <v>470.83</v>
      </c>
      <c r="N39" s="26">
        <f t="shared" si="5"/>
        <v>470.83</v>
      </c>
      <c r="O39" s="37">
        <v>5650</v>
      </c>
    </row>
    <row r="40" spans="1:17">
      <c r="A40" s="8"/>
      <c r="B40" s="41" t="s">
        <v>37</v>
      </c>
      <c r="C40" s="26">
        <f>O40/12</f>
        <v>1750</v>
      </c>
      <c r="D40" s="26">
        <v>1750</v>
      </c>
      <c r="E40" s="26">
        <v>1750</v>
      </c>
      <c r="F40" s="26">
        <v>1750</v>
      </c>
      <c r="G40" s="26">
        <v>1750</v>
      </c>
      <c r="H40" s="26">
        <v>1750</v>
      </c>
      <c r="I40" s="26">
        <v>1750</v>
      </c>
      <c r="J40" s="26">
        <v>1750</v>
      </c>
      <c r="K40" s="26">
        <v>1750</v>
      </c>
      <c r="L40" s="26">
        <v>1750</v>
      </c>
      <c r="M40" s="26">
        <v>1750</v>
      </c>
      <c r="N40" s="26">
        <v>1750</v>
      </c>
      <c r="O40" s="37">
        <v>21000</v>
      </c>
    </row>
    <row r="41" spans="1:17">
      <c r="A41" s="8"/>
      <c r="B41" s="41" t="s">
        <v>38</v>
      </c>
      <c r="C41" s="26">
        <f>O41/12</f>
        <v>6066.666666666667</v>
      </c>
      <c r="D41" s="26">
        <v>12331.901600000001</v>
      </c>
      <c r="E41" s="26">
        <v>28317.542800000003</v>
      </c>
      <c r="F41" s="26">
        <v>6159.5854000000008</v>
      </c>
      <c r="G41" s="26">
        <v>5913.4566000000004</v>
      </c>
      <c r="H41" s="26">
        <v>6745.2021999999997</v>
      </c>
      <c r="I41" s="26">
        <v>19497.2202</v>
      </c>
      <c r="J41" s="26">
        <v>12830.524600000001</v>
      </c>
      <c r="K41" s="26">
        <v>9843.0302000000011</v>
      </c>
      <c r="L41" s="26">
        <v>3793.7784000000001</v>
      </c>
      <c r="M41" s="26">
        <v>6365.4000000000005</v>
      </c>
      <c r="N41" s="26">
        <v>6365.4000000000005</v>
      </c>
      <c r="O41" s="37">
        <v>72800</v>
      </c>
    </row>
    <row r="42" spans="1:17">
      <c r="A42" s="8"/>
      <c r="B42" s="41" t="s">
        <v>100</v>
      </c>
      <c r="C42" s="26">
        <v>678571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37">
        <f>SUM(C42:N42)</f>
        <v>678571</v>
      </c>
    </row>
    <row r="43" spans="1:17">
      <c r="A43" s="8"/>
      <c r="B43" s="41" t="s">
        <v>340</v>
      </c>
      <c r="C43" s="26">
        <f>450000-59224</f>
        <v>390776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37">
        <v>390776</v>
      </c>
      <c r="P43" t="s">
        <v>365</v>
      </c>
    </row>
    <row r="44" spans="1:17">
      <c r="A44" s="8"/>
      <c r="B44" s="41" t="s">
        <v>39</v>
      </c>
      <c r="C44" s="26">
        <f>O44/12</f>
        <v>10000</v>
      </c>
      <c r="D44" s="26">
        <v>10000</v>
      </c>
      <c r="E44" s="26">
        <v>10000</v>
      </c>
      <c r="F44" s="26">
        <v>10000</v>
      </c>
      <c r="G44" s="26">
        <v>10000</v>
      </c>
      <c r="H44" s="26">
        <v>10000</v>
      </c>
      <c r="I44" s="26">
        <v>10000</v>
      </c>
      <c r="J44" s="26">
        <v>10000</v>
      </c>
      <c r="K44" s="26">
        <v>10000</v>
      </c>
      <c r="L44" s="26">
        <v>10000</v>
      </c>
      <c r="M44" s="26">
        <v>10000</v>
      </c>
      <c r="N44" s="26">
        <v>10000</v>
      </c>
      <c r="O44" s="37">
        <v>120000</v>
      </c>
    </row>
    <row r="45" spans="1:17">
      <c r="A45" s="8"/>
      <c r="B45" s="9" t="s">
        <v>149</v>
      </c>
      <c r="C45" s="26">
        <f>'Cash Flow 2015'!C45</f>
        <v>19965.68</v>
      </c>
      <c r="D45" s="26">
        <v>65796.59</v>
      </c>
      <c r="E45" s="26">
        <v>65796.59</v>
      </c>
      <c r="F45" s="26">
        <v>65796.59</v>
      </c>
      <c r="G45" s="26">
        <v>65796.59</v>
      </c>
      <c r="H45" s="26">
        <v>65796.59</v>
      </c>
      <c r="I45" s="26">
        <v>65796.59</v>
      </c>
      <c r="J45" s="26">
        <v>65796.59</v>
      </c>
      <c r="K45" s="26">
        <v>65796.59</v>
      </c>
      <c r="L45" s="26">
        <v>65796.59</v>
      </c>
      <c r="M45" s="26">
        <v>65796.59</v>
      </c>
      <c r="N45" s="26">
        <v>65796.59</v>
      </c>
      <c r="O45" s="37">
        <f t="shared" ref="O45:O93" si="6">SUM(C45:N45)</f>
        <v>743728.16999999981</v>
      </c>
    </row>
    <row r="46" spans="1:17" hidden="1">
      <c r="B46" s="9" t="s">
        <v>41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7">
        <f t="shared" si="6"/>
        <v>0</v>
      </c>
    </row>
    <row r="47" spans="1:17" hidden="1">
      <c r="B47" s="9" t="s">
        <v>42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7">
        <f t="shared" si="6"/>
        <v>0</v>
      </c>
    </row>
    <row r="48" spans="1:17" hidden="1">
      <c r="B48" s="9" t="s">
        <v>43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7">
        <f t="shared" si="6"/>
        <v>0</v>
      </c>
    </row>
    <row r="49" spans="2:15" hidden="1">
      <c r="B49" s="9" t="s">
        <v>44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7">
        <f t="shared" si="6"/>
        <v>0</v>
      </c>
    </row>
    <row r="50" spans="2:15" hidden="1">
      <c r="B50" s="9" t="s">
        <v>45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37">
        <f t="shared" si="6"/>
        <v>0</v>
      </c>
    </row>
    <row r="51" spans="2:15" hidden="1">
      <c r="B51" s="9" t="s">
        <v>46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7">
        <f t="shared" si="6"/>
        <v>0</v>
      </c>
    </row>
    <row r="52" spans="2:15">
      <c r="B52" s="9" t="s">
        <v>281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37">
        <f t="shared" si="6"/>
        <v>0</v>
      </c>
    </row>
    <row r="53" spans="2:15">
      <c r="B53" s="9" t="s">
        <v>47</v>
      </c>
      <c r="C53" s="26">
        <f>14000</f>
        <v>14000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37">
        <f t="shared" si="6"/>
        <v>14000</v>
      </c>
    </row>
    <row r="54" spans="2:15">
      <c r="B54" s="9" t="s">
        <v>48</v>
      </c>
      <c r="C54" s="26">
        <f t="shared" ref="C54:C69" si="7">O54/12</f>
        <v>1733.3333333333333</v>
      </c>
      <c r="D54" s="26">
        <v>1733.33</v>
      </c>
      <c r="E54" s="26">
        <v>1733.33</v>
      </c>
      <c r="F54" s="26">
        <v>1733.33</v>
      </c>
      <c r="G54" s="26">
        <v>1733.33</v>
      </c>
      <c r="H54" s="26">
        <v>1733.33</v>
      </c>
      <c r="I54" s="26">
        <v>1733.33</v>
      </c>
      <c r="J54" s="26">
        <v>1733.33</v>
      </c>
      <c r="K54" s="26">
        <v>1733.33</v>
      </c>
      <c r="L54" s="26">
        <v>1733.33</v>
      </c>
      <c r="M54" s="26">
        <v>1733.33</v>
      </c>
      <c r="N54" s="26">
        <v>1733.33</v>
      </c>
      <c r="O54" s="37">
        <f>400*52</f>
        <v>20800</v>
      </c>
    </row>
    <row r="55" spans="2:15">
      <c r="B55" s="9" t="s">
        <v>49</v>
      </c>
      <c r="C55" s="26">
        <f t="shared" si="7"/>
        <v>8000</v>
      </c>
      <c r="D55" s="26">
        <v>8000</v>
      </c>
      <c r="E55" s="26">
        <v>8000</v>
      </c>
      <c r="F55" s="26">
        <v>8000</v>
      </c>
      <c r="G55" s="26">
        <v>8000</v>
      </c>
      <c r="H55" s="26">
        <v>8000</v>
      </c>
      <c r="I55" s="26">
        <v>8000</v>
      </c>
      <c r="J55" s="26">
        <v>8000</v>
      </c>
      <c r="K55" s="26">
        <v>8000</v>
      </c>
      <c r="L55" s="26">
        <v>8000</v>
      </c>
      <c r="M55" s="26">
        <v>8000</v>
      </c>
      <c r="N55" s="26">
        <v>8000</v>
      </c>
      <c r="O55" s="37">
        <v>96000</v>
      </c>
    </row>
    <row r="56" spans="2:15">
      <c r="B56" s="9" t="s">
        <v>51</v>
      </c>
      <c r="C56" s="26">
        <v>5000</v>
      </c>
      <c r="D56" s="26">
        <v>5000</v>
      </c>
      <c r="E56" s="26">
        <v>5000</v>
      </c>
      <c r="F56" s="26">
        <v>5000</v>
      </c>
      <c r="G56" s="26">
        <v>5000</v>
      </c>
      <c r="H56" s="26">
        <v>5000</v>
      </c>
      <c r="I56" s="26">
        <v>5000</v>
      </c>
      <c r="J56" s="26">
        <v>5000</v>
      </c>
      <c r="K56" s="26">
        <v>5000</v>
      </c>
      <c r="L56" s="26">
        <v>5000</v>
      </c>
      <c r="M56" s="26">
        <v>5000</v>
      </c>
      <c r="N56" s="26">
        <v>5000</v>
      </c>
      <c r="O56" s="37">
        <v>60000</v>
      </c>
    </row>
    <row r="57" spans="2:15">
      <c r="B57" s="9" t="s">
        <v>52</v>
      </c>
      <c r="C57" s="26">
        <v>416.67</v>
      </c>
      <c r="D57" s="26">
        <v>416.67</v>
      </c>
      <c r="E57" s="26">
        <v>416.67</v>
      </c>
      <c r="F57" s="26">
        <v>416.67</v>
      </c>
      <c r="G57" s="26">
        <v>416.67</v>
      </c>
      <c r="H57" s="26">
        <v>416.67</v>
      </c>
      <c r="I57" s="26">
        <v>416.67</v>
      </c>
      <c r="J57" s="26">
        <v>416.67</v>
      </c>
      <c r="K57" s="26">
        <v>416.67</v>
      </c>
      <c r="L57" s="26">
        <v>416.67</v>
      </c>
      <c r="M57" s="26">
        <v>416.67</v>
      </c>
      <c r="N57" s="26">
        <v>416.67</v>
      </c>
      <c r="O57" s="37">
        <v>5000</v>
      </c>
    </row>
    <row r="58" spans="2:15">
      <c r="B58" s="9" t="s">
        <v>53</v>
      </c>
      <c r="C58" s="26">
        <v>2500</v>
      </c>
      <c r="D58" s="26">
        <v>2500</v>
      </c>
      <c r="E58" s="26">
        <v>2500</v>
      </c>
      <c r="F58" s="26">
        <v>2500</v>
      </c>
      <c r="G58" s="26">
        <v>2500</v>
      </c>
      <c r="H58" s="26">
        <v>2500</v>
      </c>
      <c r="I58" s="26">
        <v>2500</v>
      </c>
      <c r="J58" s="26">
        <v>2500</v>
      </c>
      <c r="K58" s="26">
        <v>2500</v>
      </c>
      <c r="L58" s="26">
        <v>2500</v>
      </c>
      <c r="M58" s="26">
        <v>2500</v>
      </c>
      <c r="N58" s="26">
        <v>2500</v>
      </c>
      <c r="O58" s="37">
        <v>30000</v>
      </c>
    </row>
    <row r="59" spans="2:15">
      <c r="B59" s="9" t="s">
        <v>54</v>
      </c>
      <c r="C59" s="26">
        <v>2500</v>
      </c>
      <c r="D59" s="26">
        <v>2500</v>
      </c>
      <c r="E59" s="26">
        <v>2500</v>
      </c>
      <c r="F59" s="26">
        <v>2500</v>
      </c>
      <c r="G59" s="26">
        <v>2500</v>
      </c>
      <c r="H59" s="26">
        <v>2500</v>
      </c>
      <c r="I59" s="26">
        <v>2500</v>
      </c>
      <c r="J59" s="26">
        <v>2500</v>
      </c>
      <c r="K59" s="26">
        <v>2500</v>
      </c>
      <c r="L59" s="26">
        <v>2500</v>
      </c>
      <c r="M59" s="26">
        <v>2500</v>
      </c>
      <c r="N59" s="26">
        <v>2500</v>
      </c>
      <c r="O59" s="37">
        <v>30000</v>
      </c>
    </row>
    <row r="60" spans="2:15">
      <c r="B60" s="9" t="s">
        <v>55</v>
      </c>
      <c r="C60" s="26">
        <v>1250</v>
      </c>
      <c r="D60" s="26">
        <v>1250</v>
      </c>
      <c r="E60" s="26">
        <v>1250</v>
      </c>
      <c r="F60" s="26">
        <v>1250</v>
      </c>
      <c r="G60" s="26">
        <v>1250</v>
      </c>
      <c r="H60" s="26">
        <v>1250</v>
      </c>
      <c r="I60" s="26">
        <v>1250</v>
      </c>
      <c r="J60" s="26">
        <v>1250</v>
      </c>
      <c r="K60" s="26">
        <v>1250</v>
      </c>
      <c r="L60" s="26">
        <v>1250</v>
      </c>
      <c r="M60" s="26">
        <v>1250</v>
      </c>
      <c r="N60" s="26">
        <v>1250</v>
      </c>
      <c r="O60" s="37">
        <v>15000</v>
      </c>
    </row>
    <row r="61" spans="2:15">
      <c r="B61" s="9" t="s">
        <v>56</v>
      </c>
      <c r="C61" s="26">
        <v>1250</v>
      </c>
      <c r="D61" s="26">
        <v>1250</v>
      </c>
      <c r="E61" s="26">
        <v>1250</v>
      </c>
      <c r="F61" s="26">
        <v>1250</v>
      </c>
      <c r="G61" s="26">
        <v>1250</v>
      </c>
      <c r="H61" s="26">
        <v>1250</v>
      </c>
      <c r="I61" s="26">
        <v>1250</v>
      </c>
      <c r="J61" s="26">
        <v>1250</v>
      </c>
      <c r="K61" s="26">
        <v>1250</v>
      </c>
      <c r="L61" s="26">
        <v>1250</v>
      </c>
      <c r="M61" s="26">
        <v>1250</v>
      </c>
      <c r="N61" s="26">
        <v>1250</v>
      </c>
      <c r="O61" s="37">
        <v>15000</v>
      </c>
    </row>
    <row r="62" spans="2:15">
      <c r="B62" s="9" t="s">
        <v>57</v>
      </c>
      <c r="C62" s="26">
        <v>700</v>
      </c>
      <c r="D62" s="26">
        <v>700</v>
      </c>
      <c r="E62" s="26">
        <v>700</v>
      </c>
      <c r="F62" s="26">
        <v>700</v>
      </c>
      <c r="G62" s="26">
        <v>700</v>
      </c>
      <c r="H62" s="26">
        <v>700</v>
      </c>
      <c r="I62" s="26">
        <v>700</v>
      </c>
      <c r="J62" s="26">
        <v>700</v>
      </c>
      <c r="K62" s="26">
        <v>700</v>
      </c>
      <c r="L62" s="26">
        <v>700</v>
      </c>
      <c r="M62" s="26">
        <v>700</v>
      </c>
      <c r="N62" s="26">
        <v>700</v>
      </c>
      <c r="O62" s="37">
        <f t="shared" si="6"/>
        <v>8400</v>
      </c>
    </row>
    <row r="63" spans="2:15">
      <c r="B63" s="9" t="s">
        <v>60</v>
      </c>
      <c r="C63" s="26">
        <f>12000/12</f>
        <v>1000</v>
      </c>
      <c r="D63" s="26">
        <v>1000</v>
      </c>
      <c r="E63" s="26">
        <v>1000</v>
      </c>
      <c r="F63" s="26">
        <v>1000</v>
      </c>
      <c r="G63" s="26">
        <v>1000</v>
      </c>
      <c r="H63" s="26">
        <v>1000</v>
      </c>
      <c r="I63" s="26">
        <v>1000</v>
      </c>
      <c r="J63" s="26">
        <v>1000</v>
      </c>
      <c r="K63" s="26">
        <v>1000</v>
      </c>
      <c r="L63" s="26">
        <v>1000</v>
      </c>
      <c r="M63" s="26">
        <v>1000</v>
      </c>
      <c r="N63" s="26">
        <v>1000</v>
      </c>
      <c r="O63" s="37">
        <f t="shared" si="6"/>
        <v>12000</v>
      </c>
    </row>
    <row r="64" spans="2:15">
      <c r="B64" s="9" t="s">
        <v>63</v>
      </c>
      <c r="C64" s="26">
        <v>3750</v>
      </c>
      <c r="D64" s="26">
        <v>3750</v>
      </c>
      <c r="E64" s="26">
        <v>3750</v>
      </c>
      <c r="F64" s="26">
        <v>3750</v>
      </c>
      <c r="G64" s="26">
        <v>3750</v>
      </c>
      <c r="H64" s="26">
        <v>3750</v>
      </c>
      <c r="I64" s="26">
        <v>3750</v>
      </c>
      <c r="J64" s="26">
        <v>3750</v>
      </c>
      <c r="K64" s="26">
        <v>3750</v>
      </c>
      <c r="L64" s="26">
        <v>3750</v>
      </c>
      <c r="M64" s="26">
        <v>3750</v>
      </c>
      <c r="N64" s="26">
        <v>3750</v>
      </c>
      <c r="O64" s="37">
        <v>45000</v>
      </c>
    </row>
    <row r="65" spans="1:170">
      <c r="B65" s="9" t="s">
        <v>303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37">
        <v>3500</v>
      </c>
    </row>
    <row r="66" spans="1:170">
      <c r="B66" s="9" t="s">
        <v>65</v>
      </c>
      <c r="C66" s="26">
        <f>3500</f>
        <v>3500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7">
        <f t="shared" si="6"/>
        <v>3500</v>
      </c>
    </row>
    <row r="67" spans="1:170">
      <c r="B67" s="9" t="s">
        <v>66</v>
      </c>
      <c r="C67" s="26">
        <v>2666.67</v>
      </c>
      <c r="D67" s="26">
        <v>2666.67</v>
      </c>
      <c r="E67" s="26">
        <v>2666.67</v>
      </c>
      <c r="F67" s="26">
        <v>2666.67</v>
      </c>
      <c r="G67" s="26">
        <v>2666.67</v>
      </c>
      <c r="H67" s="26">
        <v>2666.67</v>
      </c>
      <c r="I67" s="26">
        <v>2666.67</v>
      </c>
      <c r="J67" s="26">
        <v>2666.67</v>
      </c>
      <c r="K67" s="26">
        <v>2666.67</v>
      </c>
      <c r="L67" s="26">
        <v>2666.67</v>
      </c>
      <c r="M67" s="26">
        <v>2666.67</v>
      </c>
      <c r="N67" s="26">
        <v>2666.67</v>
      </c>
      <c r="O67" s="37">
        <f t="shared" si="6"/>
        <v>32000.039999999994</v>
      </c>
    </row>
    <row r="68" spans="1:170" hidden="1">
      <c r="B68" s="9" t="s">
        <v>67</v>
      </c>
      <c r="C68" s="26">
        <f t="shared" ca="1" si="7"/>
        <v>470.83333333333331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37">
        <f t="shared" ca="1" si="6"/>
        <v>0</v>
      </c>
    </row>
    <row r="69" spans="1:170" hidden="1">
      <c r="B69" s="9" t="s">
        <v>68</v>
      </c>
      <c r="C69" s="26">
        <f t="shared" ca="1" si="7"/>
        <v>470.83333333333331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7">
        <f t="shared" ca="1" si="6"/>
        <v>0</v>
      </c>
    </row>
    <row r="70" spans="1:170">
      <c r="B70" s="9" t="s">
        <v>69</v>
      </c>
      <c r="C70" s="26">
        <v>500</v>
      </c>
      <c r="D70" s="26">
        <v>500</v>
      </c>
      <c r="E70" s="26">
        <v>500</v>
      </c>
      <c r="F70" s="26">
        <v>500</v>
      </c>
      <c r="G70" s="26">
        <v>500</v>
      </c>
      <c r="H70" s="26">
        <v>500</v>
      </c>
      <c r="I70" s="26">
        <v>500</v>
      </c>
      <c r="J70" s="26">
        <v>500</v>
      </c>
      <c r="K70" s="26">
        <v>500</v>
      </c>
      <c r="L70" s="26">
        <v>500</v>
      </c>
      <c r="M70" s="26">
        <v>500</v>
      </c>
      <c r="N70" s="26">
        <v>500</v>
      </c>
      <c r="O70" s="37">
        <v>3000</v>
      </c>
    </row>
    <row r="71" spans="1:170" hidden="1">
      <c r="B71" s="9" t="s">
        <v>71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37">
        <f t="shared" si="6"/>
        <v>0</v>
      </c>
    </row>
    <row r="72" spans="1:170">
      <c r="B72" s="9" t="s">
        <v>72</v>
      </c>
      <c r="C72" s="26">
        <v>1666.67</v>
      </c>
      <c r="D72" s="26">
        <v>1666.67</v>
      </c>
      <c r="E72" s="26">
        <v>1666.67</v>
      </c>
      <c r="F72" s="26">
        <v>1666.67</v>
      </c>
      <c r="G72" s="26">
        <v>1666.67</v>
      </c>
      <c r="H72" s="26">
        <v>1666.67</v>
      </c>
      <c r="I72" s="26">
        <v>1666.67</v>
      </c>
      <c r="J72" s="26">
        <v>1666.67</v>
      </c>
      <c r="K72" s="26">
        <v>1666.67</v>
      </c>
      <c r="L72" s="26">
        <v>1666.67</v>
      </c>
      <c r="M72" s="26">
        <v>1666.67</v>
      </c>
      <c r="N72" s="26">
        <v>1666.67</v>
      </c>
      <c r="O72" s="37">
        <v>20000</v>
      </c>
    </row>
    <row r="73" spans="1:170">
      <c r="B73" s="9" t="s">
        <v>73</v>
      </c>
      <c r="C73" s="26">
        <v>3333.33</v>
      </c>
      <c r="D73" s="26">
        <v>3333.33</v>
      </c>
      <c r="E73" s="26">
        <v>3333.33</v>
      </c>
      <c r="F73" s="26">
        <v>3333.33</v>
      </c>
      <c r="G73" s="26">
        <v>3333.33</v>
      </c>
      <c r="H73" s="26">
        <v>3333.33</v>
      </c>
      <c r="I73" s="26">
        <v>3333.33</v>
      </c>
      <c r="J73" s="26">
        <v>3333.33</v>
      </c>
      <c r="K73" s="26">
        <v>3333.33</v>
      </c>
      <c r="L73" s="26">
        <v>3333.33</v>
      </c>
      <c r="M73" s="26">
        <v>3333.33</v>
      </c>
      <c r="N73" s="26">
        <v>3333.33</v>
      </c>
      <c r="O73" s="37">
        <v>40000</v>
      </c>
    </row>
    <row r="74" spans="1:170">
      <c r="B74" s="9" t="s">
        <v>74</v>
      </c>
      <c r="C74" s="26">
        <v>10416.67</v>
      </c>
      <c r="D74" s="26">
        <v>10416.67</v>
      </c>
      <c r="E74" s="26">
        <v>10416.67</v>
      </c>
      <c r="F74" s="26">
        <v>10416.67</v>
      </c>
      <c r="G74" s="26">
        <v>10416.67</v>
      </c>
      <c r="H74" s="26">
        <v>10416.67</v>
      </c>
      <c r="I74" s="26">
        <v>10416.67</v>
      </c>
      <c r="J74" s="26">
        <v>10416.67</v>
      </c>
      <c r="K74" s="26">
        <v>10416.67</v>
      </c>
      <c r="L74" s="26">
        <v>10416.67</v>
      </c>
      <c r="M74" s="26">
        <v>10416.67</v>
      </c>
      <c r="N74" s="26">
        <v>10416.67</v>
      </c>
      <c r="O74" s="37">
        <v>125000</v>
      </c>
    </row>
    <row r="75" spans="1:170">
      <c r="B75" s="9" t="s">
        <v>75</v>
      </c>
      <c r="C75" s="26">
        <v>470.83</v>
      </c>
      <c r="D75" s="26">
        <v>470.83</v>
      </c>
      <c r="E75" s="26">
        <v>470.83</v>
      </c>
      <c r="F75" s="26">
        <v>470.83</v>
      </c>
      <c r="G75" s="26">
        <v>470.83</v>
      </c>
      <c r="H75" s="26">
        <v>470.83</v>
      </c>
      <c r="I75" s="26">
        <v>470.83</v>
      </c>
      <c r="J75" s="26">
        <v>470.83</v>
      </c>
      <c r="K75" s="26">
        <v>470.83</v>
      </c>
      <c r="L75" s="26">
        <v>470.83</v>
      </c>
      <c r="M75" s="26">
        <v>470.83</v>
      </c>
      <c r="N75" s="26">
        <v>470.83</v>
      </c>
      <c r="O75" s="37">
        <f t="shared" si="6"/>
        <v>5649.96</v>
      </c>
    </row>
    <row r="76" spans="1:170">
      <c r="B76" s="41" t="s">
        <v>76</v>
      </c>
      <c r="C76" s="26">
        <v>1083.33</v>
      </c>
      <c r="D76" s="26">
        <v>1083.33</v>
      </c>
      <c r="E76" s="26">
        <v>1083.33</v>
      </c>
      <c r="F76" s="26">
        <v>1083.33</v>
      </c>
      <c r="G76" s="26">
        <v>1083.33</v>
      </c>
      <c r="H76" s="26">
        <v>1083.33</v>
      </c>
      <c r="I76" s="26">
        <v>1083.33</v>
      </c>
      <c r="J76" s="26">
        <v>1083.33</v>
      </c>
      <c r="K76" s="26">
        <v>1083.33</v>
      </c>
      <c r="L76" s="26">
        <v>1083.33</v>
      </c>
      <c r="M76" s="26">
        <v>1083.33</v>
      </c>
      <c r="N76" s="26">
        <v>1083.33</v>
      </c>
      <c r="O76" s="37">
        <v>13000</v>
      </c>
    </row>
    <row r="77" spans="1:170" s="31" customFormat="1">
      <c r="A77"/>
      <c r="B77" s="41" t="s">
        <v>77</v>
      </c>
      <c r="C77" s="26">
        <v>9166.67</v>
      </c>
      <c r="D77" s="26">
        <v>9166.67</v>
      </c>
      <c r="E77" s="26">
        <v>9166.67</v>
      </c>
      <c r="F77" s="26">
        <v>9166.67</v>
      </c>
      <c r="G77" s="26">
        <v>9166.67</v>
      </c>
      <c r="H77" s="26">
        <v>9166.67</v>
      </c>
      <c r="I77" s="26">
        <v>9166.67</v>
      </c>
      <c r="J77" s="26">
        <v>9166.67</v>
      </c>
      <c r="K77" s="26">
        <v>9166.67</v>
      </c>
      <c r="L77" s="26">
        <v>9166.67</v>
      </c>
      <c r="M77" s="26">
        <v>9166.67</v>
      </c>
      <c r="N77" s="26">
        <v>9166.67</v>
      </c>
      <c r="O77" s="37">
        <v>110000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</row>
    <row r="78" spans="1:170" s="31" customFormat="1">
      <c r="A78"/>
      <c r="B78" s="41" t="s">
        <v>78</v>
      </c>
      <c r="C78" s="26">
        <v>7666.67</v>
      </c>
      <c r="D78" s="26">
        <v>7666.67</v>
      </c>
      <c r="E78" s="26">
        <v>7666.67</v>
      </c>
      <c r="F78" s="26">
        <v>7666.67</v>
      </c>
      <c r="G78" s="26">
        <v>7666.67</v>
      </c>
      <c r="H78" s="26">
        <v>7666.67</v>
      </c>
      <c r="I78" s="26">
        <v>7666.67</v>
      </c>
      <c r="J78" s="26">
        <v>7666.67</v>
      </c>
      <c r="K78" s="26">
        <v>7666.67</v>
      </c>
      <c r="L78" s="26">
        <v>7666.67</v>
      </c>
      <c r="M78" s="26">
        <v>7666.67</v>
      </c>
      <c r="N78" s="26">
        <v>7666.67</v>
      </c>
      <c r="O78" s="37">
        <v>92000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</row>
    <row r="79" spans="1:170">
      <c r="B79" s="41" t="s">
        <v>80</v>
      </c>
      <c r="C79" s="26">
        <v>470.83</v>
      </c>
      <c r="D79" s="26">
        <v>470.83</v>
      </c>
      <c r="E79" s="26">
        <v>470.83</v>
      </c>
      <c r="F79" s="26">
        <v>470.83</v>
      </c>
      <c r="G79" s="26">
        <v>470.83</v>
      </c>
      <c r="H79" s="26">
        <v>470.83</v>
      </c>
      <c r="I79" s="26">
        <v>470.83</v>
      </c>
      <c r="J79" s="26">
        <v>470.83</v>
      </c>
      <c r="K79" s="26">
        <v>470.83</v>
      </c>
      <c r="L79" s="26">
        <v>470.83</v>
      </c>
      <c r="M79" s="26">
        <v>470.83</v>
      </c>
      <c r="N79" s="26">
        <v>470.83</v>
      </c>
      <c r="O79" s="37">
        <f t="shared" si="6"/>
        <v>5649.96</v>
      </c>
    </row>
    <row r="80" spans="1:170">
      <c r="B80" s="41" t="s">
        <v>82</v>
      </c>
      <c r="C80" s="26">
        <v>500</v>
      </c>
      <c r="D80" s="26">
        <v>500</v>
      </c>
      <c r="E80" s="26">
        <v>500</v>
      </c>
      <c r="F80" s="26">
        <v>500</v>
      </c>
      <c r="G80" s="26">
        <v>500</v>
      </c>
      <c r="H80" s="26">
        <v>500</v>
      </c>
      <c r="I80" s="26">
        <v>500</v>
      </c>
      <c r="J80" s="26">
        <v>500</v>
      </c>
      <c r="K80" s="26">
        <v>500</v>
      </c>
      <c r="L80" s="26">
        <v>500</v>
      </c>
      <c r="M80" s="26">
        <v>500</v>
      </c>
      <c r="N80" s="26">
        <v>500</v>
      </c>
      <c r="O80" s="37">
        <v>6000</v>
      </c>
    </row>
    <row r="81" spans="1:15">
      <c r="B81" s="41" t="s">
        <v>83</v>
      </c>
      <c r="C81" s="26">
        <v>13000</v>
      </c>
      <c r="D81" s="105">
        <v>13000</v>
      </c>
      <c r="E81" s="105">
        <v>13000</v>
      </c>
      <c r="F81" s="105">
        <v>13000</v>
      </c>
      <c r="G81" s="105">
        <v>13000</v>
      </c>
      <c r="H81" s="105">
        <v>13000</v>
      </c>
      <c r="I81" s="105">
        <v>13000</v>
      </c>
      <c r="J81" s="105">
        <v>13000</v>
      </c>
      <c r="K81" s="105">
        <v>13000</v>
      </c>
      <c r="L81" s="105">
        <v>13000</v>
      </c>
      <c r="M81" s="105">
        <v>13000</v>
      </c>
      <c r="N81" s="105">
        <v>13000</v>
      </c>
      <c r="O81" s="37">
        <v>130000</v>
      </c>
    </row>
    <row r="82" spans="1:15">
      <c r="B82" s="41" t="s">
        <v>155</v>
      </c>
      <c r="C82" s="26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37">
        <f t="shared" si="6"/>
        <v>0</v>
      </c>
    </row>
    <row r="83" spans="1:15">
      <c r="B83" s="41" t="s">
        <v>84</v>
      </c>
      <c r="C83" s="26">
        <v>250</v>
      </c>
      <c r="D83" s="26">
        <v>250</v>
      </c>
      <c r="E83" s="26">
        <v>250</v>
      </c>
      <c r="F83" s="26">
        <v>250</v>
      </c>
      <c r="G83" s="26">
        <v>250</v>
      </c>
      <c r="H83" s="26">
        <v>250</v>
      </c>
      <c r="I83" s="26">
        <v>250</v>
      </c>
      <c r="J83" s="26">
        <v>250</v>
      </c>
      <c r="K83" s="26">
        <v>250</v>
      </c>
      <c r="L83" s="26">
        <v>250</v>
      </c>
      <c r="M83" s="26">
        <v>250</v>
      </c>
      <c r="N83" s="26">
        <v>250</v>
      </c>
      <c r="O83" s="37">
        <v>3000</v>
      </c>
    </row>
    <row r="84" spans="1:15">
      <c r="B84" s="41" t="s">
        <v>85</v>
      </c>
      <c r="C84" s="105">
        <v>11666.67</v>
      </c>
      <c r="D84" s="105">
        <v>11666.67</v>
      </c>
      <c r="E84" s="105">
        <v>11666.67</v>
      </c>
      <c r="F84" s="105">
        <v>11666.67</v>
      </c>
      <c r="G84" s="105">
        <v>11666.67</v>
      </c>
      <c r="H84" s="105">
        <v>11666.67</v>
      </c>
      <c r="I84" s="105">
        <v>11666.67</v>
      </c>
      <c r="J84" s="105">
        <v>11666.67</v>
      </c>
      <c r="K84" s="105">
        <v>11666.67</v>
      </c>
      <c r="L84" s="105">
        <v>11666.67</v>
      </c>
      <c r="M84" s="105">
        <v>11666.67</v>
      </c>
      <c r="N84" s="105">
        <v>11666.67</v>
      </c>
      <c r="O84" s="37">
        <v>140000</v>
      </c>
    </row>
    <row r="85" spans="1:15" hidden="1">
      <c r="B85" s="41" t="s">
        <v>86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37">
        <f t="shared" si="6"/>
        <v>0</v>
      </c>
    </row>
    <row r="86" spans="1:15" hidden="1">
      <c r="B86" s="41" t="s">
        <v>87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37">
        <f t="shared" si="6"/>
        <v>0</v>
      </c>
    </row>
    <row r="87" spans="1:15" hidden="1">
      <c r="B87" s="41" t="s">
        <v>88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1089</v>
      </c>
      <c r="K87" s="105">
        <v>0</v>
      </c>
      <c r="L87" s="105">
        <v>0</v>
      </c>
      <c r="M87" s="105">
        <v>0</v>
      </c>
      <c r="N87" s="105">
        <v>0</v>
      </c>
      <c r="O87" s="37">
        <f t="shared" si="6"/>
        <v>1089</v>
      </c>
    </row>
    <row r="88" spans="1:15">
      <c r="B88" s="41" t="s">
        <v>89</v>
      </c>
      <c r="C88" s="105">
        <v>2000</v>
      </c>
      <c r="D88" s="105">
        <v>2000</v>
      </c>
      <c r="E88" s="105">
        <v>2000</v>
      </c>
      <c r="F88" s="105">
        <v>2000</v>
      </c>
      <c r="G88" s="105">
        <v>2000</v>
      </c>
      <c r="H88" s="105">
        <v>2000</v>
      </c>
      <c r="I88" s="105">
        <v>2000</v>
      </c>
      <c r="J88" s="105">
        <v>2000</v>
      </c>
      <c r="K88" s="105">
        <v>2000</v>
      </c>
      <c r="L88" s="105">
        <v>2000</v>
      </c>
      <c r="M88" s="105">
        <v>2000</v>
      </c>
      <c r="N88" s="105">
        <v>2000</v>
      </c>
      <c r="O88" s="37">
        <f t="shared" si="6"/>
        <v>24000</v>
      </c>
    </row>
    <row r="89" spans="1:15" hidden="1">
      <c r="B89" s="41" t="s">
        <v>90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37">
        <f t="shared" si="6"/>
        <v>0</v>
      </c>
    </row>
    <row r="90" spans="1:15" hidden="1">
      <c r="B90" s="41" t="s">
        <v>91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37">
        <f t="shared" si="6"/>
        <v>0</v>
      </c>
    </row>
    <row r="91" spans="1:15">
      <c r="B91" s="41" t="s">
        <v>327</v>
      </c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37"/>
    </row>
    <row r="92" spans="1:15">
      <c r="B92" s="41" t="s">
        <v>364</v>
      </c>
      <c r="C92" s="105">
        <v>42784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37"/>
    </row>
    <row r="93" spans="1:15">
      <c r="B93" s="41" t="s">
        <v>102</v>
      </c>
      <c r="C93" s="26">
        <v>1370.76</v>
      </c>
      <c r="D93" s="26">
        <v>1370.76</v>
      </c>
      <c r="E93" s="26">
        <v>1370.76</v>
      </c>
      <c r="F93" s="26">
        <v>1370.76</v>
      </c>
      <c r="G93" s="26">
        <v>1370.76</v>
      </c>
      <c r="H93" s="26">
        <v>1370.76</v>
      </c>
      <c r="I93" s="26">
        <v>1370.76</v>
      </c>
      <c r="J93" s="26">
        <v>1370.76</v>
      </c>
      <c r="K93" s="26">
        <v>1370.76</v>
      </c>
      <c r="L93" s="26">
        <v>1370.76</v>
      </c>
      <c r="M93" s="26">
        <v>1370.76</v>
      </c>
      <c r="N93" s="26">
        <v>1370.76</v>
      </c>
      <c r="O93" s="37">
        <f t="shared" si="6"/>
        <v>16449.12</v>
      </c>
    </row>
    <row r="94" spans="1:15">
      <c r="A94" t="s">
        <v>97</v>
      </c>
      <c r="B94" s="41"/>
      <c r="C94" s="118">
        <f t="shared" ref="C94:N94" ca="1" si="8">SUM(C37:C93)</f>
        <v>1449920.2947307692</v>
      </c>
      <c r="D94" s="118">
        <f t="shared" si="8"/>
        <v>644833.3985461538</v>
      </c>
      <c r="E94" s="118">
        <f t="shared" si="8"/>
        <v>518467.86743076914</v>
      </c>
      <c r="F94" s="118">
        <f t="shared" si="8"/>
        <v>496309.91003076918</v>
      </c>
      <c r="G94" s="118">
        <f t="shared" si="8"/>
        <v>496063.78123076912</v>
      </c>
      <c r="H94" s="118">
        <f t="shared" si="8"/>
        <v>496895.52683076914</v>
      </c>
      <c r="I94" s="118">
        <f t="shared" si="8"/>
        <v>651998.71714615379</v>
      </c>
      <c r="J94" s="118">
        <f t="shared" si="8"/>
        <v>504069.84923076921</v>
      </c>
      <c r="K94" s="118">
        <f t="shared" si="8"/>
        <v>499993.35483076912</v>
      </c>
      <c r="L94" s="118">
        <f t="shared" si="8"/>
        <v>493944.10303076915</v>
      </c>
      <c r="M94" s="118">
        <f t="shared" si="8"/>
        <v>496515.72463076923</v>
      </c>
      <c r="N94" s="118">
        <f t="shared" si="8"/>
        <v>496515.72463076923</v>
      </c>
    </row>
    <row r="95" spans="1:15">
      <c r="A95" t="s">
        <v>104</v>
      </c>
      <c r="B95" s="119"/>
      <c r="C95" s="39">
        <f ca="1">C33-C94</f>
        <v>827565.10034166533</v>
      </c>
      <c r="D95" s="39">
        <f t="shared" ref="D95:N95" ca="1" si="9">D33-D94</f>
        <v>959084.45142628078</v>
      </c>
      <c r="E95" s="39">
        <f t="shared" ca="1" si="9"/>
        <v>1938700.7047493577</v>
      </c>
      <c r="F95" s="39">
        <f t="shared" ca="1" si="9"/>
        <v>1483787.3684724346</v>
      </c>
      <c r="G95" s="39">
        <f t="shared" ca="1" si="9"/>
        <v>1011523.6559955117</v>
      </c>
      <c r="H95" s="39">
        <f t="shared" ca="1" si="9"/>
        <v>2042953.2329185884</v>
      </c>
      <c r="I95" s="39">
        <f t="shared" ca="1" si="9"/>
        <v>1459567.8489032038</v>
      </c>
      <c r="J95" s="39">
        <f t="shared" ca="1" si="9"/>
        <v>1014007.9464262808</v>
      </c>
      <c r="K95" s="39">
        <f t="shared" ca="1" si="9"/>
        <v>2042990.2898493577</v>
      </c>
      <c r="L95" s="39">
        <f t="shared" ca="1" si="9"/>
        <v>1617227.0915724346</v>
      </c>
      <c r="M95" s="39">
        <f t="shared" ca="1" si="9"/>
        <v>1286939.7306955117</v>
      </c>
      <c r="N95" s="39">
        <f t="shared" ca="1" si="9"/>
        <v>2316699.1623185887</v>
      </c>
    </row>
    <row r="96" spans="1:15">
      <c r="B96" s="8"/>
    </row>
    <row r="97" spans="1:15">
      <c r="B97" s="8"/>
      <c r="C97" s="112"/>
      <c r="O97" s="13"/>
    </row>
    <row r="98" spans="1:15">
      <c r="A98" t="s">
        <v>357</v>
      </c>
      <c r="C98" s="112">
        <f>'Cash Flow 2015'!N99+'Cash Flow 2016'!C30</f>
        <v>9334747.25</v>
      </c>
    </row>
    <row r="99" spans="1:15">
      <c r="A99" s="126" t="s">
        <v>361</v>
      </c>
      <c r="C99" s="112">
        <f>C98*5.5%</f>
        <v>513411.09875</v>
      </c>
    </row>
    <row r="100" spans="1:15">
      <c r="A100" s="126" t="s">
        <v>362</v>
      </c>
      <c r="C100" s="112">
        <f>C99/12</f>
        <v>42784.258229166669</v>
      </c>
    </row>
    <row r="110" spans="1:15">
      <c r="B110" s="8"/>
      <c r="O110" s="15"/>
    </row>
    <row r="111" spans="1:15">
      <c r="B111" s="8"/>
      <c r="O111" s="15"/>
    </row>
    <row r="112" spans="1:15">
      <c r="B112" s="8"/>
      <c r="O112" s="15"/>
    </row>
    <row r="113" spans="2:15">
      <c r="B113" s="8"/>
      <c r="O113" s="15"/>
    </row>
    <row r="114" spans="2:15">
      <c r="B114" s="8"/>
      <c r="O114" s="15"/>
    </row>
    <row r="115" spans="2:15">
      <c r="B115" s="8"/>
      <c r="O115" s="15"/>
    </row>
    <row r="116" spans="2:15">
      <c r="B116" s="8"/>
      <c r="O116" s="15"/>
    </row>
    <row r="117" spans="2:15">
      <c r="B117" s="8"/>
      <c r="O117" s="15"/>
    </row>
    <row r="118" spans="2:15">
      <c r="B118" s="8"/>
      <c r="O118" s="15"/>
    </row>
    <row r="119" spans="2:15">
      <c r="B119" s="8"/>
      <c r="O119" s="15"/>
    </row>
    <row r="120" spans="2:15">
      <c r="B120" s="8"/>
      <c r="O120" s="15"/>
    </row>
    <row r="121" spans="2:15">
      <c r="B121" s="8"/>
      <c r="O121" s="15"/>
    </row>
    <row r="122" spans="2:15">
      <c r="B122" s="8"/>
      <c r="O122" s="15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  <c r="O182" s="15"/>
    </row>
    <row r="183" spans="2:15">
      <c r="B183" s="8"/>
      <c r="O183" s="15"/>
    </row>
    <row r="184" spans="2:15">
      <c r="B184" s="8"/>
      <c r="O184" s="15"/>
    </row>
    <row r="185" spans="2:15">
      <c r="B185" s="8"/>
    </row>
    <row r="186" spans="2:15">
      <c r="B186" s="8"/>
    </row>
    <row r="187" spans="2:15">
      <c r="B187" s="8"/>
    </row>
    <row r="188" spans="2:15">
      <c r="B188" s="8"/>
    </row>
    <row r="189" spans="2:15">
      <c r="B189" s="8"/>
    </row>
    <row r="190" spans="2:15">
      <c r="B190" s="8"/>
    </row>
    <row r="191" spans="2:15">
      <c r="B191" s="8"/>
    </row>
    <row r="192" spans="2:15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scale="85" orientation="landscape" r:id="rId1"/>
  <headerFooter alignWithMargins="0"/>
  <rowBreaks count="1" manualBreakCount="1">
    <brk id="34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N222"/>
  <sheetViews>
    <sheetView zoomScaleNormal="100" workbookViewId="0">
      <selection sqref="A1:N1"/>
    </sheetView>
  </sheetViews>
  <sheetFormatPr defaultColWidth="11.42578125" defaultRowHeight="12.75"/>
  <cols>
    <col min="1" max="1" width="8.7109375" customWidth="1"/>
    <col min="2" max="2" width="15.7109375" customWidth="1"/>
    <col min="3" max="3" width="11.42578125" customWidth="1"/>
    <col min="4" max="4" width="12" customWidth="1"/>
    <col min="5" max="5" width="12.7109375" customWidth="1"/>
    <col min="6" max="6" width="13" customWidth="1"/>
    <col min="7" max="7" width="12.28515625" customWidth="1"/>
    <col min="8" max="9" width="13.42578125" customWidth="1"/>
    <col min="10" max="10" width="12.42578125" customWidth="1"/>
    <col min="11" max="11" width="13.28515625" customWidth="1"/>
    <col min="12" max="12" width="12.140625" customWidth="1"/>
    <col min="13" max="13" width="12.42578125" customWidth="1"/>
    <col min="14" max="14" width="12.7109375" customWidth="1"/>
    <col min="15" max="16" width="15.7109375" customWidth="1"/>
  </cols>
  <sheetData>
    <row r="1" spans="1:16" ht="12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6">
      <c r="A2" s="11" t="s">
        <v>92</v>
      </c>
      <c r="B2" s="8"/>
      <c r="M2" s="24" t="s">
        <v>1</v>
      </c>
    </row>
    <row r="3" spans="1:16" ht="12.75" customHeight="1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>
      <c r="B4" s="8"/>
    </row>
    <row r="5" spans="1:16" ht="12.75" customHeight="1">
      <c r="A5" s="199" t="s">
        <v>334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idden="1">
      <c r="B6" s="8"/>
    </row>
    <row r="7" spans="1:16" hidden="1">
      <c r="B7" s="8"/>
    </row>
    <row r="8" spans="1:16">
      <c r="B8" s="8"/>
      <c r="C8">
        <v>2</v>
      </c>
      <c r="D8">
        <v>3</v>
      </c>
      <c r="E8">
        <v>2</v>
      </c>
      <c r="F8">
        <v>2</v>
      </c>
      <c r="G8">
        <v>2</v>
      </c>
      <c r="H8">
        <v>2</v>
      </c>
      <c r="I8">
        <v>3</v>
      </c>
      <c r="J8">
        <v>2</v>
      </c>
      <c r="K8">
        <v>2</v>
      </c>
      <c r="L8">
        <v>2</v>
      </c>
      <c r="M8">
        <v>2</v>
      </c>
      <c r="N8">
        <v>2</v>
      </c>
    </row>
    <row r="9" spans="1:16">
      <c r="B9" s="8"/>
    </row>
    <row r="10" spans="1:16">
      <c r="B10" s="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</row>
    <row r="11" spans="1:16">
      <c r="B11" s="8"/>
      <c r="C11" s="25" t="s">
        <v>15</v>
      </c>
      <c r="D11" s="25" t="s">
        <v>15</v>
      </c>
      <c r="E11" s="25" t="s">
        <v>15</v>
      </c>
      <c r="F11" s="25" t="s">
        <v>15</v>
      </c>
      <c r="G11" s="25" t="s">
        <v>15</v>
      </c>
      <c r="H11" s="25" t="s">
        <v>15</v>
      </c>
      <c r="I11" s="25" t="s">
        <v>15</v>
      </c>
      <c r="J11" s="25" t="s">
        <v>15</v>
      </c>
      <c r="K11" s="25" t="s">
        <v>15</v>
      </c>
      <c r="L11" s="25" t="s">
        <v>15</v>
      </c>
      <c r="M11" s="25" t="s">
        <v>15</v>
      </c>
      <c r="N11" s="25" t="s">
        <v>15</v>
      </c>
    </row>
    <row r="12" spans="1:16" ht="15">
      <c r="A12" s="15" t="s">
        <v>95</v>
      </c>
      <c r="B12" s="8"/>
      <c r="C12" s="121">
        <f ca="1">'Cash Flow 2016'!N95</f>
        <v>2316699.1623185887</v>
      </c>
      <c r="D12" s="20">
        <f t="shared" ref="D12:N12" ca="1" si="0">C92</f>
        <v>1911646.9902592227</v>
      </c>
      <c r="E12" s="20">
        <f t="shared" ca="1" si="0"/>
        <v>1290663.6896891699</v>
      </c>
      <c r="F12" s="20">
        <f t="shared" ca="1" si="0"/>
        <v>2572061.7157787015</v>
      </c>
      <c r="G12" s="20">
        <f t="shared" ca="1" si="0"/>
        <v>2097540.5039817179</v>
      </c>
      <c r="H12" s="20">
        <f t="shared" ca="1" si="0"/>
        <v>1600894.3948527086</v>
      </c>
      <c r="I12" s="20">
        <f t="shared" ca="1" si="0"/>
        <v>2939684.3377531953</v>
      </c>
      <c r="J12" s="20">
        <f t="shared" ca="1" si="0"/>
        <v>2323728.0660236478</v>
      </c>
      <c r="K12" s="20">
        <f t="shared" ca="1" si="0"/>
        <v>1858375.1728477855</v>
      </c>
      <c r="L12" s="20">
        <f t="shared" ca="1" si="0"/>
        <v>3195343.8019072455</v>
      </c>
      <c r="M12" s="20">
        <f t="shared" ca="1" si="0"/>
        <v>2750261.1133170943</v>
      </c>
      <c r="N12" s="20">
        <f t="shared" ca="1" si="0"/>
        <v>2398517.6924818847</v>
      </c>
    </row>
    <row r="13" spans="1:16">
      <c r="A13" s="4" t="s">
        <v>92</v>
      </c>
      <c r="B13" s="8"/>
    </row>
    <row r="14" spans="1:16">
      <c r="B14" s="8"/>
    </row>
    <row r="15" spans="1:16">
      <c r="A15" s="38" t="s">
        <v>143</v>
      </c>
      <c r="B15" s="8"/>
    </row>
    <row r="16" spans="1:16">
      <c r="A16">
        <v>562</v>
      </c>
      <c r="B16" s="9" t="s">
        <v>17</v>
      </c>
      <c r="C16" s="26">
        <v>0</v>
      </c>
      <c r="D16" s="26">
        <v>0</v>
      </c>
      <c r="E16" s="26">
        <f>A16*(12400/4)*1.02*1.02</f>
        <v>1812584.8800000001</v>
      </c>
      <c r="F16" s="26">
        <v>0</v>
      </c>
      <c r="G16" s="26">
        <v>0</v>
      </c>
      <c r="H16" s="26">
        <f>E16</f>
        <v>1812584.8800000001</v>
      </c>
      <c r="I16" s="26">
        <v>0</v>
      </c>
      <c r="J16" s="26">
        <v>0</v>
      </c>
      <c r="K16" s="26">
        <f>H16</f>
        <v>1812584.8800000001</v>
      </c>
      <c r="L16" s="26">
        <v>0</v>
      </c>
      <c r="M16" s="26">
        <v>0</v>
      </c>
      <c r="N16" s="26">
        <f>K16</f>
        <v>1812584.8800000001</v>
      </c>
      <c r="O16" s="37">
        <f>SUM(C16:N16)</f>
        <v>7250339.5200000005</v>
      </c>
      <c r="P16" t="s">
        <v>138</v>
      </c>
    </row>
    <row r="17" spans="1:16">
      <c r="B17" s="9" t="s">
        <v>178</v>
      </c>
      <c r="M17" s="114">
        <v>27146</v>
      </c>
      <c r="O17" s="37">
        <f>SUM(C17:N17)</f>
        <v>27146</v>
      </c>
      <c r="P17" t="s">
        <v>139</v>
      </c>
    </row>
    <row r="18" spans="1:16">
      <c r="B18" s="9" t="s">
        <v>170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15">
        <v>1653</v>
      </c>
      <c r="N18" s="26"/>
      <c r="O18" s="37">
        <f>SUM(C18:N18)</f>
        <v>1653</v>
      </c>
    </row>
    <row r="19" spans="1:16">
      <c r="B19" s="9" t="s">
        <v>162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5">
        <v>40000</v>
      </c>
      <c r="N19" s="26"/>
      <c r="O19" s="37">
        <f>SUM(C19:N19)</f>
        <v>40000</v>
      </c>
    </row>
    <row r="20" spans="1:16">
      <c r="B20" s="101" t="s">
        <v>244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5">
        <v>2740</v>
      </c>
      <c r="N20" s="26"/>
      <c r="O20" s="37"/>
    </row>
    <row r="21" spans="1:16">
      <c r="B21" s="101" t="s">
        <v>277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5">
        <v>2500</v>
      </c>
      <c r="N21" s="26"/>
      <c r="O21" s="37"/>
    </row>
    <row r="22" spans="1:16">
      <c r="B22" s="9" t="s">
        <v>243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4">
        <v>30000</v>
      </c>
      <c r="N22" s="26"/>
      <c r="O22" s="37"/>
    </row>
    <row r="23" spans="1:16">
      <c r="B23" s="9" t="s">
        <v>248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3">
        <v>18000</v>
      </c>
      <c r="N23" s="26"/>
      <c r="O23" s="37"/>
    </row>
    <row r="24" spans="1:16">
      <c r="B24" s="9" t="s">
        <v>195</v>
      </c>
      <c r="C24" s="26">
        <f>A16*202/12</f>
        <v>9460.3333333333339</v>
      </c>
      <c r="D24" s="26">
        <f>C24</f>
        <v>9460.3333333333339</v>
      </c>
      <c r="E24" s="26">
        <f t="shared" ref="E24:N24" si="1">D24</f>
        <v>9460.3333333333339</v>
      </c>
      <c r="F24" s="26">
        <f t="shared" si="1"/>
        <v>9460.3333333333339</v>
      </c>
      <c r="G24" s="26">
        <f t="shared" si="1"/>
        <v>9460.3333333333339</v>
      </c>
      <c r="H24" s="26">
        <f t="shared" si="1"/>
        <v>9460.3333333333339</v>
      </c>
      <c r="I24" s="26">
        <f t="shared" si="1"/>
        <v>9460.3333333333339</v>
      </c>
      <c r="J24" s="26">
        <f t="shared" si="1"/>
        <v>9460.3333333333339</v>
      </c>
      <c r="K24" s="26">
        <f t="shared" si="1"/>
        <v>9460.3333333333339</v>
      </c>
      <c r="L24" s="26">
        <f t="shared" si="1"/>
        <v>9460.3333333333339</v>
      </c>
      <c r="M24" s="26">
        <f t="shared" si="1"/>
        <v>9460.3333333333339</v>
      </c>
      <c r="N24" s="26">
        <f t="shared" si="1"/>
        <v>9460.3333333333339</v>
      </c>
      <c r="O24" s="37">
        <f>SUM(C24:N24)</f>
        <v>113523.99999999999</v>
      </c>
    </row>
    <row r="25" spans="1:16">
      <c r="B25" s="9" t="s">
        <v>280</v>
      </c>
      <c r="C25" s="26">
        <f>A16*122.12/12</f>
        <v>5719.2866666666669</v>
      </c>
      <c r="D25" s="26">
        <f>C25</f>
        <v>5719.2866666666669</v>
      </c>
      <c r="E25" s="26">
        <f t="shared" ref="E25:N25" si="2">D25</f>
        <v>5719.2866666666669</v>
      </c>
      <c r="F25" s="26">
        <f t="shared" si="2"/>
        <v>5719.2866666666669</v>
      </c>
      <c r="G25" s="26">
        <f t="shared" si="2"/>
        <v>5719.2866666666669</v>
      </c>
      <c r="H25" s="26">
        <f t="shared" si="2"/>
        <v>5719.2866666666669</v>
      </c>
      <c r="I25" s="26">
        <f t="shared" si="2"/>
        <v>5719.2866666666669</v>
      </c>
      <c r="J25" s="26">
        <f t="shared" si="2"/>
        <v>5719.2866666666669</v>
      </c>
      <c r="K25" s="26">
        <f t="shared" si="2"/>
        <v>5719.2866666666669</v>
      </c>
      <c r="L25" s="26">
        <f t="shared" si="2"/>
        <v>5719.2866666666669</v>
      </c>
      <c r="M25" s="26">
        <f t="shared" si="2"/>
        <v>5719.2866666666669</v>
      </c>
      <c r="N25" s="26">
        <f t="shared" si="2"/>
        <v>5719.2866666666669</v>
      </c>
      <c r="O25" s="37"/>
    </row>
    <row r="26" spans="1:16">
      <c r="B26" s="9" t="s">
        <v>19</v>
      </c>
      <c r="C26" s="26">
        <v>0</v>
      </c>
      <c r="D26" s="26">
        <v>1000</v>
      </c>
      <c r="E26" s="26">
        <v>1000</v>
      </c>
      <c r="F26" s="26">
        <v>1000</v>
      </c>
      <c r="G26" s="26">
        <v>1000</v>
      </c>
      <c r="H26" s="26">
        <v>1000</v>
      </c>
      <c r="I26" s="26">
        <v>1000</v>
      </c>
      <c r="J26" s="26">
        <v>1000</v>
      </c>
      <c r="K26" s="26">
        <v>1000</v>
      </c>
      <c r="L26" s="26">
        <v>1000</v>
      </c>
      <c r="M26" s="26">
        <v>1000</v>
      </c>
      <c r="N26" s="26">
        <v>0</v>
      </c>
      <c r="O26" s="37">
        <f>SUM(C26:N26)</f>
        <v>10000</v>
      </c>
    </row>
    <row r="27" spans="1:16">
      <c r="B27" s="9" t="s">
        <v>20</v>
      </c>
      <c r="C27" s="26">
        <v>0</v>
      </c>
      <c r="D27" s="26">
        <v>5000</v>
      </c>
      <c r="E27" s="26">
        <v>5000</v>
      </c>
      <c r="F27" s="26">
        <v>5000</v>
      </c>
      <c r="G27" s="26">
        <v>5000</v>
      </c>
      <c r="H27" s="26">
        <v>5000</v>
      </c>
      <c r="I27" s="26">
        <v>5000</v>
      </c>
      <c r="J27" s="26">
        <v>5000</v>
      </c>
      <c r="K27" s="26">
        <v>5000</v>
      </c>
      <c r="L27" s="26">
        <v>5000</v>
      </c>
      <c r="M27" s="26">
        <v>5000</v>
      </c>
      <c r="N27" s="26">
        <f>$P$27/10</f>
        <v>0</v>
      </c>
      <c r="O27" s="37">
        <f>SUM(C27:N27)</f>
        <v>50000</v>
      </c>
    </row>
    <row r="28" spans="1:16">
      <c r="B28" s="9" t="s">
        <v>247</v>
      </c>
      <c r="C28" s="26">
        <v>5000</v>
      </c>
      <c r="D28" s="26">
        <v>5000</v>
      </c>
      <c r="E28" s="26"/>
      <c r="F28" s="26"/>
      <c r="G28" s="26"/>
      <c r="H28" s="26"/>
      <c r="I28" s="26"/>
      <c r="J28" s="26"/>
      <c r="K28" s="26"/>
      <c r="L28" s="26"/>
      <c r="M28" s="26"/>
      <c r="N28" s="26">
        <v>5000</v>
      </c>
      <c r="O28" s="37"/>
    </row>
    <row r="29" spans="1:16">
      <c r="B29" s="9" t="s">
        <v>21</v>
      </c>
      <c r="C29" s="26">
        <v>500</v>
      </c>
      <c r="D29" s="26">
        <v>500</v>
      </c>
      <c r="E29" s="26">
        <v>500</v>
      </c>
      <c r="F29" s="26">
        <v>500</v>
      </c>
      <c r="G29" s="26">
        <v>500</v>
      </c>
      <c r="H29" s="26">
        <v>500</v>
      </c>
      <c r="I29" s="26">
        <v>500</v>
      </c>
      <c r="J29" s="26">
        <v>500</v>
      </c>
      <c r="K29" s="26">
        <v>500</v>
      </c>
      <c r="L29" s="26">
        <v>500</v>
      </c>
      <c r="M29" s="26">
        <v>500</v>
      </c>
      <c r="N29" s="26">
        <v>500</v>
      </c>
      <c r="O29" s="37">
        <f>SUM(C29:N29)</f>
        <v>6000</v>
      </c>
    </row>
    <row r="30" spans="1:16">
      <c r="B30" s="9" t="s">
        <v>101</v>
      </c>
      <c r="C30" s="27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7">
        <f>SUM(C30:N30)</f>
        <v>0</v>
      </c>
    </row>
    <row r="31" spans="1:16">
      <c r="A31" s="38" t="s">
        <v>96</v>
      </c>
      <c r="B31" s="9"/>
      <c r="C31" s="28">
        <f t="shared" ref="C31:N31" si="3">SUM(C16:C30)</f>
        <v>20679.620000000003</v>
      </c>
      <c r="D31" s="28">
        <f t="shared" si="3"/>
        <v>26679.620000000003</v>
      </c>
      <c r="E31" s="28">
        <f t="shared" si="3"/>
        <v>1834264.5</v>
      </c>
      <c r="F31" s="28">
        <f t="shared" si="3"/>
        <v>21679.620000000003</v>
      </c>
      <c r="G31" s="28">
        <f t="shared" si="3"/>
        <v>21679.620000000003</v>
      </c>
      <c r="H31" s="28">
        <f t="shared" si="3"/>
        <v>1834264.5</v>
      </c>
      <c r="I31" s="28">
        <f t="shared" si="3"/>
        <v>21679.620000000003</v>
      </c>
      <c r="J31" s="28">
        <f t="shared" si="3"/>
        <v>21679.620000000003</v>
      </c>
      <c r="K31" s="28">
        <f t="shared" si="3"/>
        <v>1834264.5</v>
      </c>
      <c r="L31" s="28">
        <f t="shared" si="3"/>
        <v>21679.620000000003</v>
      </c>
      <c r="M31" s="28">
        <f t="shared" si="3"/>
        <v>143718.62</v>
      </c>
      <c r="N31" s="28">
        <f t="shared" si="3"/>
        <v>1833264.5</v>
      </c>
    </row>
    <row r="32" spans="1:16">
      <c r="A32" s="38" t="s">
        <v>98</v>
      </c>
      <c r="B32" s="10"/>
      <c r="C32" s="29">
        <f t="shared" ref="C32:N32" ca="1" si="4">C31+C12</f>
        <v>2322199.1623185887</v>
      </c>
      <c r="D32" s="29">
        <f t="shared" ca="1" si="4"/>
        <v>1934146.9902592227</v>
      </c>
      <c r="E32" s="29">
        <f t="shared" ca="1" si="4"/>
        <v>3120748.56968917</v>
      </c>
      <c r="F32" s="29">
        <f t="shared" ca="1" si="4"/>
        <v>2589561.7157787015</v>
      </c>
      <c r="G32" s="29">
        <f t="shared" ca="1" si="4"/>
        <v>2115040.5039817179</v>
      </c>
      <c r="H32" s="29">
        <f t="shared" ca="1" si="4"/>
        <v>3430979.2748527089</v>
      </c>
      <c r="I32" s="29">
        <f t="shared" ca="1" si="4"/>
        <v>2957184.3377531953</v>
      </c>
      <c r="J32" s="29">
        <f t="shared" ca="1" si="4"/>
        <v>2341228.0660236478</v>
      </c>
      <c r="K32" s="29">
        <f t="shared" ca="1" si="4"/>
        <v>3688460.0528477859</v>
      </c>
      <c r="L32" s="29">
        <f t="shared" ca="1" si="4"/>
        <v>3212843.8019072455</v>
      </c>
      <c r="M32" s="29">
        <f t="shared" ca="1" si="4"/>
        <v>2889800.1133170943</v>
      </c>
      <c r="N32" s="29">
        <f t="shared" ca="1" si="4"/>
        <v>4216602.5724818846</v>
      </c>
    </row>
    <row r="33" spans="1:17">
      <c r="B33" s="8"/>
    </row>
    <row r="34" spans="1:17">
      <c r="A34" s="4" t="s">
        <v>99</v>
      </c>
      <c r="B34" s="8"/>
      <c r="M34" s="196" t="s">
        <v>435</v>
      </c>
    </row>
    <row r="35" spans="1:17">
      <c r="A35" s="19" t="s">
        <v>92</v>
      </c>
      <c r="B35" s="8" t="s">
        <v>92</v>
      </c>
    </row>
    <row r="36" spans="1:17">
      <c r="B36" s="9" t="s">
        <v>304</v>
      </c>
      <c r="C36" s="105">
        <f>'Cash Flow 2016'!N37</f>
        <v>317803.80463076918</v>
      </c>
      <c r="D36" s="26">
        <f>(Personnel!$L$253)*('Cash Flow 2017'!D$8)+(Personnel!$K$250)</f>
        <v>520443.41693169228</v>
      </c>
      <c r="E36" s="26">
        <f>(Personnel!$L$253)*('Cash Flow 2017'!E$8)+(Personnel!$L$250)</f>
        <v>362146.39795446157</v>
      </c>
      <c r="F36" s="26">
        <f>(Personnel!$L$253)*('Cash Flow 2017'!F$8)+(Personnel!$L$250)</f>
        <v>362146.39795446157</v>
      </c>
      <c r="G36" s="26">
        <f>(Personnel!$L$253)*('Cash Flow 2017'!G$8)+(Personnel!$L$250)</f>
        <v>362146.39795446157</v>
      </c>
      <c r="H36" s="26">
        <f>(Personnel!$L$253)*('Cash Flow 2017'!H$8)+(Personnel!$L$250)</f>
        <v>362146.39795446157</v>
      </c>
      <c r="I36" s="26">
        <f>(Personnel!$L$253)*('Cash Flow 2017'!I$8)+(Personnel!$L$250)</f>
        <v>524593.71693169232</v>
      </c>
      <c r="J36" s="26">
        <f>(Personnel!$L$253)*('Cash Flow 2017'!J$8)+(Personnel!$L$250)</f>
        <v>362146.39795446157</v>
      </c>
      <c r="K36" s="26">
        <f>(Personnel!$L$253)*('Cash Flow 2017'!K$8)+(Personnel!$L$250)</f>
        <v>362146.39795446157</v>
      </c>
      <c r="L36" s="26">
        <f>(Personnel!$L$253)*('Cash Flow 2017'!L$8)+(Personnel!$L$250)</f>
        <v>362146.39795446157</v>
      </c>
      <c r="M36" s="26">
        <f>(Personnel!$L$253)*('Cash Flow 2017'!M$8)+(Personnel!$L$250)</f>
        <v>362146.39795446157</v>
      </c>
      <c r="N36" s="26">
        <f>(Personnel!$K$253)*('Cash Flow 2017'!N$8)+(Personnel!$K$250)</f>
        <v>317803.80463076918</v>
      </c>
      <c r="O36" s="116">
        <f>SUM(C36:N36)</f>
        <v>4577815.9267606158</v>
      </c>
      <c r="P36" s="37">
        <f>O36-C36+E36</f>
        <v>4622158.5200843075</v>
      </c>
      <c r="Q36" s="37"/>
    </row>
    <row r="37" spans="1:17">
      <c r="B37" s="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7"/>
    </row>
    <row r="38" spans="1:17">
      <c r="A38" s="8"/>
      <c r="B38" s="41" t="s">
        <v>330</v>
      </c>
      <c r="C38" s="26">
        <f>1000</f>
        <v>1000</v>
      </c>
      <c r="D38" s="26">
        <v>1000</v>
      </c>
      <c r="E38" s="26">
        <v>1000</v>
      </c>
      <c r="F38" s="26">
        <v>1000</v>
      </c>
      <c r="G38" s="26">
        <v>1000</v>
      </c>
      <c r="H38" s="26">
        <v>1000</v>
      </c>
      <c r="I38" s="26">
        <v>1000</v>
      </c>
      <c r="J38" s="26">
        <v>1000</v>
      </c>
      <c r="K38" s="26">
        <v>1000</v>
      </c>
      <c r="L38" s="26">
        <v>1000</v>
      </c>
      <c r="M38" s="26">
        <v>1000</v>
      </c>
      <c r="N38" s="26">
        <v>1000</v>
      </c>
      <c r="O38" s="37">
        <f t="shared" ref="O38:O69" si="5">SUM(C38:N38)</f>
        <v>12000</v>
      </c>
    </row>
    <row r="39" spans="1:17">
      <c r="A39" s="8"/>
      <c r="B39" s="41" t="s">
        <v>37</v>
      </c>
      <c r="C39" s="26">
        <f>2000</f>
        <v>2000</v>
      </c>
      <c r="D39" s="26">
        <f>2000</f>
        <v>2000</v>
      </c>
      <c r="E39" s="26">
        <f>2000</f>
        <v>2000</v>
      </c>
      <c r="F39" s="26">
        <f>2000</f>
        <v>2000</v>
      </c>
      <c r="G39" s="26">
        <f>2000</f>
        <v>2000</v>
      </c>
      <c r="H39" s="26">
        <f>2000</f>
        <v>2000</v>
      </c>
      <c r="I39" s="26">
        <f>2000</f>
        <v>2000</v>
      </c>
      <c r="J39" s="26">
        <f>2000</f>
        <v>2000</v>
      </c>
      <c r="K39" s="26">
        <f>2000</f>
        <v>2000</v>
      </c>
      <c r="L39" s="26">
        <f>2000</f>
        <v>2000</v>
      </c>
      <c r="M39" s="26">
        <f>2000</f>
        <v>2000</v>
      </c>
      <c r="N39" s="26">
        <f>2000</f>
        <v>2000</v>
      </c>
      <c r="O39" s="37">
        <v>24000</v>
      </c>
    </row>
    <row r="40" spans="1:17">
      <c r="A40" s="8"/>
      <c r="B40" s="41" t="s">
        <v>38</v>
      </c>
      <c r="C40" s="26">
        <v>6674.3765160000003</v>
      </c>
      <c r="D40" s="26">
        <v>12701.858648000001</v>
      </c>
      <c r="E40" s="26">
        <v>29167.069084000002</v>
      </c>
      <c r="F40" s="26">
        <v>6344.3729620000013</v>
      </c>
      <c r="G40" s="26">
        <v>6090.8602980000005</v>
      </c>
      <c r="H40" s="26">
        <v>6947.558266</v>
      </c>
      <c r="I40" s="26">
        <v>20082.136805999999</v>
      </c>
      <c r="J40" s="26">
        <v>13215.440338</v>
      </c>
      <c r="K40" s="26">
        <v>10138.321106000001</v>
      </c>
      <c r="L40" s="26">
        <v>3907.5917520000003</v>
      </c>
      <c r="M40" s="26">
        <v>6556.362000000001</v>
      </c>
      <c r="N40" s="26">
        <v>6556.362000000001</v>
      </c>
      <c r="O40" s="37">
        <f t="shared" si="5"/>
        <v>128382.30977599998</v>
      </c>
    </row>
    <row r="41" spans="1:17">
      <c r="A41" s="8"/>
      <c r="B41" s="41" t="s">
        <v>100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37">
        <f t="shared" si="5"/>
        <v>0</v>
      </c>
    </row>
    <row r="42" spans="1:17">
      <c r="A42" s="8"/>
      <c r="B42" s="41" t="s">
        <v>39</v>
      </c>
      <c r="C42" s="26">
        <v>10000</v>
      </c>
      <c r="D42" s="26">
        <v>10000</v>
      </c>
      <c r="E42" s="26">
        <v>10000</v>
      </c>
      <c r="F42" s="26">
        <v>10000</v>
      </c>
      <c r="G42" s="26">
        <v>10000</v>
      </c>
      <c r="H42" s="26">
        <v>10000</v>
      </c>
      <c r="I42" s="26">
        <v>10000</v>
      </c>
      <c r="J42" s="26">
        <v>10000</v>
      </c>
      <c r="K42" s="26">
        <v>10000</v>
      </c>
      <c r="L42" s="26">
        <v>10000</v>
      </c>
      <c r="M42" s="26">
        <v>10000</v>
      </c>
      <c r="N42" s="26">
        <v>10000</v>
      </c>
      <c r="O42" s="37">
        <f t="shared" si="5"/>
        <v>120000</v>
      </c>
    </row>
    <row r="43" spans="1:17">
      <c r="A43" s="8"/>
      <c r="B43" s="9" t="s">
        <v>149</v>
      </c>
      <c r="C43" s="26">
        <v>65796.59</v>
      </c>
      <c r="D43" s="26">
        <f>'Cash Flow 2016'!D45</f>
        <v>65796.59</v>
      </c>
      <c r="E43" s="26">
        <f>'Cash Flow 2016'!E45</f>
        <v>65796.59</v>
      </c>
      <c r="F43" s="26">
        <f>'Cash Flow 2016'!F45</f>
        <v>65796.59</v>
      </c>
      <c r="G43" s="26">
        <f>'Cash Flow 2016'!G45</f>
        <v>65796.59</v>
      </c>
      <c r="H43" s="26">
        <f>'Cash Flow 2016'!H45</f>
        <v>65796.59</v>
      </c>
      <c r="I43" s="26">
        <f>'Cash Flow 2016'!I45</f>
        <v>65796.59</v>
      </c>
      <c r="J43" s="26">
        <f>'Cash Flow 2016'!J45</f>
        <v>65796.59</v>
      </c>
      <c r="K43" s="26">
        <f>'Cash Flow 2016'!K45</f>
        <v>65796.59</v>
      </c>
      <c r="L43" s="26">
        <f>'Cash Flow 2016'!L45</f>
        <v>65796.59</v>
      </c>
      <c r="M43" s="26">
        <f>'Cash Flow 2016'!M45</f>
        <v>65796.59</v>
      </c>
      <c r="N43" s="26">
        <f>'Cash Flow 2016'!N45</f>
        <v>65796.59</v>
      </c>
      <c r="O43" s="37">
        <f t="shared" si="5"/>
        <v>789559.07999999973</v>
      </c>
    </row>
    <row r="44" spans="1:17" hidden="1">
      <c r="B44" s="9" t="s">
        <v>41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7">
        <f t="shared" si="5"/>
        <v>0</v>
      </c>
    </row>
    <row r="45" spans="1:17" hidden="1">
      <c r="B45" s="9" t="s">
        <v>42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7">
        <f t="shared" si="5"/>
        <v>0</v>
      </c>
    </row>
    <row r="46" spans="1:17" hidden="1">
      <c r="B46" s="9" t="s">
        <v>43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7">
        <f t="shared" si="5"/>
        <v>0</v>
      </c>
    </row>
    <row r="47" spans="1:17" hidden="1">
      <c r="B47" s="9" t="s">
        <v>44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37">
        <f t="shared" si="5"/>
        <v>0</v>
      </c>
    </row>
    <row r="48" spans="1:17" hidden="1">
      <c r="B48" s="9" t="s">
        <v>45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37">
        <f t="shared" si="5"/>
        <v>0</v>
      </c>
    </row>
    <row r="49" spans="2:16" hidden="1">
      <c r="B49" s="9" t="s">
        <v>46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37">
        <f t="shared" si="5"/>
        <v>0</v>
      </c>
    </row>
    <row r="50" spans="2:16">
      <c r="B50" s="9" t="s">
        <v>281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37">
        <f t="shared" si="5"/>
        <v>0</v>
      </c>
    </row>
    <row r="51" spans="2:16">
      <c r="B51" s="9" t="s">
        <v>47</v>
      </c>
      <c r="C51" s="26">
        <v>0</v>
      </c>
      <c r="D51" s="26">
        <v>0</v>
      </c>
      <c r="E51" s="26">
        <v>0</v>
      </c>
      <c r="F51" s="26">
        <v>14000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37">
        <f t="shared" si="5"/>
        <v>14000</v>
      </c>
    </row>
    <row r="52" spans="2:16">
      <c r="B52" s="9" t="s">
        <v>48</v>
      </c>
      <c r="C52" s="26">
        <f>P52/12</f>
        <v>1733.3333333333333</v>
      </c>
      <c r="D52" s="26">
        <v>1733.33</v>
      </c>
      <c r="E52" s="26">
        <v>1733.33</v>
      </c>
      <c r="F52" s="26">
        <v>1733.33</v>
      </c>
      <c r="G52" s="26">
        <v>1733.33</v>
      </c>
      <c r="H52" s="26">
        <v>1733.33</v>
      </c>
      <c r="I52" s="26">
        <v>1733.33</v>
      </c>
      <c r="J52" s="26">
        <v>1733.33</v>
      </c>
      <c r="K52" s="26">
        <v>1733.33</v>
      </c>
      <c r="L52" s="26">
        <v>1733.33</v>
      </c>
      <c r="M52" s="26">
        <v>1733.33</v>
      </c>
      <c r="N52" s="26">
        <v>1733.33</v>
      </c>
      <c r="O52" s="37">
        <f t="shared" si="5"/>
        <v>20799.963333333333</v>
      </c>
      <c r="P52" s="126">
        <f>400*52</f>
        <v>20800</v>
      </c>
    </row>
    <row r="53" spans="2:16">
      <c r="B53" s="9" t="s">
        <v>49</v>
      </c>
      <c r="C53" s="26">
        <v>8000</v>
      </c>
      <c r="D53" s="26">
        <v>8000</v>
      </c>
      <c r="E53" s="26">
        <v>8000</v>
      </c>
      <c r="F53" s="26">
        <v>8000</v>
      </c>
      <c r="G53" s="26">
        <v>8000</v>
      </c>
      <c r="H53" s="26">
        <v>8000</v>
      </c>
      <c r="I53" s="26">
        <v>8000</v>
      </c>
      <c r="J53" s="26">
        <v>8000</v>
      </c>
      <c r="K53" s="26">
        <v>8000</v>
      </c>
      <c r="L53" s="26">
        <v>8000</v>
      </c>
      <c r="M53" s="26">
        <v>8000</v>
      </c>
      <c r="N53" s="26">
        <v>8000</v>
      </c>
      <c r="O53" s="37">
        <f t="shared" si="5"/>
        <v>96000</v>
      </c>
    </row>
    <row r="54" spans="2:16">
      <c r="B54" s="9" t="s">
        <v>51</v>
      </c>
      <c r="C54" s="26">
        <v>5000</v>
      </c>
      <c r="D54" s="26">
        <v>5000</v>
      </c>
      <c r="E54" s="26">
        <v>5000</v>
      </c>
      <c r="F54" s="26">
        <v>5000</v>
      </c>
      <c r="G54" s="26">
        <v>5000</v>
      </c>
      <c r="H54" s="26">
        <v>5000</v>
      </c>
      <c r="I54" s="26">
        <v>5000</v>
      </c>
      <c r="J54" s="26">
        <v>5000</v>
      </c>
      <c r="K54" s="26">
        <v>5000</v>
      </c>
      <c r="L54" s="26">
        <v>5000</v>
      </c>
      <c r="M54" s="26">
        <v>5000</v>
      </c>
      <c r="N54" s="26">
        <v>5000</v>
      </c>
      <c r="O54" s="37">
        <f t="shared" si="5"/>
        <v>60000</v>
      </c>
    </row>
    <row r="55" spans="2:16">
      <c r="B55" s="9" t="s">
        <v>52</v>
      </c>
      <c r="C55" s="26">
        <v>1500</v>
      </c>
      <c r="D55" s="26">
        <v>1500</v>
      </c>
      <c r="E55" s="26">
        <v>1500</v>
      </c>
      <c r="F55" s="26">
        <v>1500</v>
      </c>
      <c r="G55" s="26">
        <v>1500</v>
      </c>
      <c r="H55" s="26">
        <v>1500</v>
      </c>
      <c r="I55" s="26">
        <v>1500</v>
      </c>
      <c r="J55" s="26">
        <v>1500</v>
      </c>
      <c r="K55" s="26">
        <v>1500</v>
      </c>
      <c r="L55" s="26">
        <v>1500</v>
      </c>
      <c r="M55" s="26">
        <v>1500</v>
      </c>
      <c r="N55" s="26">
        <v>1500</v>
      </c>
      <c r="O55" s="37">
        <f t="shared" si="5"/>
        <v>18000</v>
      </c>
    </row>
    <row r="56" spans="2:16">
      <c r="B56" s="9" t="s">
        <v>53</v>
      </c>
      <c r="C56" s="26">
        <v>2000</v>
      </c>
      <c r="D56" s="26">
        <v>2000</v>
      </c>
      <c r="E56" s="26">
        <v>2000</v>
      </c>
      <c r="F56" s="26">
        <v>2000</v>
      </c>
      <c r="G56" s="26">
        <v>2000</v>
      </c>
      <c r="H56" s="26">
        <v>2000</v>
      </c>
      <c r="I56" s="26">
        <v>2000</v>
      </c>
      <c r="J56" s="26">
        <v>2000</v>
      </c>
      <c r="K56" s="26">
        <v>2000</v>
      </c>
      <c r="L56" s="26">
        <v>2000</v>
      </c>
      <c r="M56" s="26">
        <v>2000</v>
      </c>
      <c r="N56" s="26">
        <v>2000</v>
      </c>
      <c r="O56" s="37">
        <f t="shared" si="5"/>
        <v>24000</v>
      </c>
    </row>
    <row r="57" spans="2:16">
      <c r="B57" s="9" t="s">
        <v>54</v>
      </c>
      <c r="C57" s="26">
        <v>3600</v>
      </c>
      <c r="D57" s="26">
        <v>3600</v>
      </c>
      <c r="E57" s="26">
        <v>3600</v>
      </c>
      <c r="F57" s="26">
        <v>3600</v>
      </c>
      <c r="G57" s="26">
        <v>3600</v>
      </c>
      <c r="H57" s="26">
        <v>3600</v>
      </c>
      <c r="I57" s="26">
        <v>3600</v>
      </c>
      <c r="J57" s="26">
        <v>3600</v>
      </c>
      <c r="K57" s="26">
        <v>3600</v>
      </c>
      <c r="L57" s="26">
        <v>3600</v>
      </c>
      <c r="M57" s="26">
        <v>3600</v>
      </c>
      <c r="N57" s="26">
        <v>3600</v>
      </c>
      <c r="O57" s="37">
        <f t="shared" si="5"/>
        <v>43200</v>
      </c>
    </row>
    <row r="58" spans="2:16">
      <c r="B58" s="9" t="s">
        <v>55</v>
      </c>
      <c r="C58" s="26">
        <f>15000/12</f>
        <v>1250</v>
      </c>
      <c r="D58" s="26">
        <f t="shared" ref="D58:N59" si="6">15000/12</f>
        <v>1250</v>
      </c>
      <c r="E58" s="26">
        <f t="shared" si="6"/>
        <v>1250</v>
      </c>
      <c r="F58" s="26">
        <f t="shared" si="6"/>
        <v>1250</v>
      </c>
      <c r="G58" s="26">
        <f t="shared" si="6"/>
        <v>1250</v>
      </c>
      <c r="H58" s="26">
        <f t="shared" si="6"/>
        <v>1250</v>
      </c>
      <c r="I58" s="26">
        <f t="shared" si="6"/>
        <v>1250</v>
      </c>
      <c r="J58" s="26">
        <f t="shared" si="6"/>
        <v>1250</v>
      </c>
      <c r="K58" s="26">
        <f t="shared" si="6"/>
        <v>1250</v>
      </c>
      <c r="L58" s="26">
        <f t="shared" si="6"/>
        <v>1250</v>
      </c>
      <c r="M58" s="26">
        <f t="shared" si="6"/>
        <v>1250</v>
      </c>
      <c r="N58" s="26">
        <f t="shared" si="6"/>
        <v>1250</v>
      </c>
      <c r="O58" s="37">
        <v>15000</v>
      </c>
    </row>
    <row r="59" spans="2:16">
      <c r="B59" s="9" t="s">
        <v>56</v>
      </c>
      <c r="C59" s="26">
        <f>15000/12</f>
        <v>1250</v>
      </c>
      <c r="D59" s="26">
        <f t="shared" si="6"/>
        <v>1250</v>
      </c>
      <c r="E59" s="26">
        <f t="shared" si="6"/>
        <v>1250</v>
      </c>
      <c r="F59" s="26">
        <f t="shared" si="6"/>
        <v>1250</v>
      </c>
      <c r="G59" s="26">
        <f t="shared" si="6"/>
        <v>1250</v>
      </c>
      <c r="H59" s="26">
        <f t="shared" si="6"/>
        <v>1250</v>
      </c>
      <c r="I59" s="26">
        <f t="shared" si="6"/>
        <v>1250</v>
      </c>
      <c r="J59" s="26">
        <f t="shared" si="6"/>
        <v>1250</v>
      </c>
      <c r="K59" s="26">
        <f t="shared" si="6"/>
        <v>1250</v>
      </c>
      <c r="L59" s="26">
        <f t="shared" si="6"/>
        <v>1250</v>
      </c>
      <c r="M59" s="26">
        <f t="shared" si="6"/>
        <v>1250</v>
      </c>
      <c r="N59" s="26">
        <f t="shared" si="6"/>
        <v>1250</v>
      </c>
      <c r="O59" s="37">
        <f t="shared" si="5"/>
        <v>15000</v>
      </c>
    </row>
    <row r="60" spans="2:16">
      <c r="B60" s="9" t="s">
        <v>57</v>
      </c>
      <c r="C60" s="26">
        <v>700</v>
      </c>
      <c r="D60" s="26">
        <v>700</v>
      </c>
      <c r="E60" s="26">
        <v>700</v>
      </c>
      <c r="F60" s="26">
        <v>700</v>
      </c>
      <c r="G60" s="26">
        <v>700</v>
      </c>
      <c r="H60" s="26">
        <v>700</v>
      </c>
      <c r="I60" s="26">
        <v>700</v>
      </c>
      <c r="J60" s="26">
        <v>700</v>
      </c>
      <c r="K60" s="26">
        <v>700</v>
      </c>
      <c r="L60" s="26">
        <v>700</v>
      </c>
      <c r="M60" s="26">
        <v>700</v>
      </c>
      <c r="N60" s="26">
        <v>700</v>
      </c>
      <c r="O60" s="37">
        <f t="shared" si="5"/>
        <v>8400</v>
      </c>
    </row>
    <row r="61" spans="2:16">
      <c r="B61" s="9" t="s">
        <v>60</v>
      </c>
      <c r="C61" s="26">
        <v>1000</v>
      </c>
      <c r="D61" s="26">
        <v>1000</v>
      </c>
      <c r="E61" s="26">
        <v>1000</v>
      </c>
      <c r="F61" s="26">
        <v>1000</v>
      </c>
      <c r="G61" s="26">
        <v>1000</v>
      </c>
      <c r="H61" s="26">
        <v>1000</v>
      </c>
      <c r="I61" s="26">
        <v>1000</v>
      </c>
      <c r="J61" s="26">
        <v>1000</v>
      </c>
      <c r="K61" s="26">
        <v>1000</v>
      </c>
      <c r="L61" s="26">
        <v>1000</v>
      </c>
      <c r="M61" s="26">
        <v>1000</v>
      </c>
      <c r="N61" s="26">
        <v>1000</v>
      </c>
      <c r="O61" s="37">
        <f t="shared" si="5"/>
        <v>12000</v>
      </c>
    </row>
    <row r="62" spans="2:16">
      <c r="B62" s="9" t="s">
        <v>63</v>
      </c>
      <c r="C62" s="26">
        <f>45000/12</f>
        <v>3750</v>
      </c>
      <c r="D62" s="26">
        <f t="shared" ref="D62:N62" si="7">45000/12</f>
        <v>3750</v>
      </c>
      <c r="E62" s="26">
        <f t="shared" si="7"/>
        <v>3750</v>
      </c>
      <c r="F62" s="26">
        <f t="shared" si="7"/>
        <v>3750</v>
      </c>
      <c r="G62" s="26">
        <f t="shared" si="7"/>
        <v>3750</v>
      </c>
      <c r="H62" s="26">
        <f t="shared" si="7"/>
        <v>3750</v>
      </c>
      <c r="I62" s="26">
        <f t="shared" si="7"/>
        <v>3750</v>
      </c>
      <c r="J62" s="26">
        <f t="shared" si="7"/>
        <v>3750</v>
      </c>
      <c r="K62" s="26">
        <f t="shared" si="7"/>
        <v>3750</v>
      </c>
      <c r="L62" s="26">
        <f t="shared" si="7"/>
        <v>3750</v>
      </c>
      <c r="M62" s="26">
        <f t="shared" si="7"/>
        <v>3750</v>
      </c>
      <c r="N62" s="26">
        <f t="shared" si="7"/>
        <v>3750</v>
      </c>
      <c r="O62" s="37">
        <v>45000</v>
      </c>
    </row>
    <row r="63" spans="2:16">
      <c r="B63" s="9" t="s">
        <v>303</v>
      </c>
      <c r="C63" s="26">
        <v>0</v>
      </c>
      <c r="D63" s="26">
        <v>3000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37">
        <f t="shared" si="5"/>
        <v>3000</v>
      </c>
    </row>
    <row r="64" spans="2:16">
      <c r="B64" s="9" t="s">
        <v>65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37">
        <f t="shared" si="5"/>
        <v>0</v>
      </c>
    </row>
    <row r="65" spans="1:170">
      <c r="B65" s="9" t="s">
        <v>66</v>
      </c>
      <c r="C65" s="26"/>
      <c r="D65" s="26">
        <v>8000</v>
      </c>
      <c r="E65" s="26">
        <v>0</v>
      </c>
      <c r="F65" s="26">
        <v>0</v>
      </c>
      <c r="G65" s="26">
        <v>8000</v>
      </c>
      <c r="H65" s="26">
        <v>0</v>
      </c>
      <c r="I65" s="26">
        <v>0</v>
      </c>
      <c r="J65" s="26">
        <v>8000</v>
      </c>
      <c r="K65" s="26">
        <v>0</v>
      </c>
      <c r="L65" s="26">
        <v>0</v>
      </c>
      <c r="M65" s="26">
        <v>8000</v>
      </c>
      <c r="N65" s="26">
        <v>0</v>
      </c>
      <c r="O65" s="37">
        <f t="shared" si="5"/>
        <v>32000</v>
      </c>
    </row>
    <row r="66" spans="1:170" hidden="1">
      <c r="B66" s="9" t="s">
        <v>67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37">
        <f t="shared" si="5"/>
        <v>0</v>
      </c>
    </row>
    <row r="67" spans="1:170" hidden="1">
      <c r="B67" s="9" t="s">
        <v>68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37">
        <f t="shared" si="5"/>
        <v>0</v>
      </c>
    </row>
    <row r="68" spans="1:170">
      <c r="B68" s="9" t="s">
        <v>69</v>
      </c>
      <c r="C68" s="26">
        <v>500</v>
      </c>
      <c r="D68" s="26">
        <v>500</v>
      </c>
      <c r="E68" s="26">
        <v>500</v>
      </c>
      <c r="F68" s="26">
        <v>500</v>
      </c>
      <c r="G68" s="26">
        <v>500</v>
      </c>
      <c r="H68" s="26">
        <v>500</v>
      </c>
      <c r="I68" s="26">
        <v>500</v>
      </c>
      <c r="J68" s="26">
        <v>500</v>
      </c>
      <c r="K68" s="26">
        <v>500</v>
      </c>
      <c r="L68" s="26">
        <v>500</v>
      </c>
      <c r="M68" s="26">
        <v>500</v>
      </c>
      <c r="N68" s="26">
        <v>500</v>
      </c>
      <c r="O68" s="37">
        <v>6000</v>
      </c>
    </row>
    <row r="69" spans="1:170">
      <c r="B69" s="9" t="s">
        <v>71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37">
        <f t="shared" si="5"/>
        <v>0</v>
      </c>
    </row>
    <row r="70" spans="1:170">
      <c r="B70" s="9" t="s">
        <v>72</v>
      </c>
      <c r="C70" s="26">
        <v>3600</v>
      </c>
      <c r="D70" s="26">
        <v>3600</v>
      </c>
      <c r="E70" s="26">
        <v>3600</v>
      </c>
      <c r="F70" s="26">
        <v>3600</v>
      </c>
      <c r="G70" s="26">
        <v>3600</v>
      </c>
      <c r="H70" s="26">
        <v>3600</v>
      </c>
      <c r="I70" s="26">
        <v>3600</v>
      </c>
      <c r="J70" s="26">
        <v>3600</v>
      </c>
      <c r="K70" s="26">
        <v>3600</v>
      </c>
      <c r="L70" s="26">
        <v>3600</v>
      </c>
      <c r="M70" s="26">
        <v>3600</v>
      </c>
      <c r="N70" s="26">
        <v>3600</v>
      </c>
      <c r="O70" s="37">
        <f t="shared" ref="O70:O88" si="8">SUM(C70:N70)</f>
        <v>43200</v>
      </c>
    </row>
    <row r="71" spans="1:170">
      <c r="B71" s="9" t="s">
        <v>73</v>
      </c>
      <c r="C71" s="26">
        <v>3000</v>
      </c>
      <c r="D71" s="26">
        <v>3000</v>
      </c>
      <c r="E71" s="26">
        <v>3000</v>
      </c>
      <c r="F71" s="26">
        <v>3000</v>
      </c>
      <c r="G71" s="26">
        <v>3000</v>
      </c>
      <c r="H71" s="26">
        <v>3000</v>
      </c>
      <c r="I71" s="26">
        <v>3000</v>
      </c>
      <c r="J71" s="26">
        <v>3000</v>
      </c>
      <c r="K71" s="26">
        <v>3000</v>
      </c>
      <c r="L71" s="26">
        <v>3000</v>
      </c>
      <c r="M71" s="26">
        <v>3000</v>
      </c>
      <c r="N71" s="26">
        <v>3000</v>
      </c>
      <c r="O71" s="37">
        <f t="shared" si="8"/>
        <v>36000</v>
      </c>
    </row>
    <row r="72" spans="1:170">
      <c r="B72" s="9" t="s">
        <v>74</v>
      </c>
      <c r="C72" s="26">
        <v>0</v>
      </c>
      <c r="D72" s="26">
        <v>17000</v>
      </c>
      <c r="E72" s="26">
        <v>17000</v>
      </c>
      <c r="F72" s="26">
        <v>17000</v>
      </c>
      <c r="G72" s="26">
        <v>17000</v>
      </c>
      <c r="H72" s="26">
        <v>17000</v>
      </c>
      <c r="I72" s="26">
        <v>17000</v>
      </c>
      <c r="J72" s="26">
        <v>17000</v>
      </c>
      <c r="K72" s="26">
        <v>17000</v>
      </c>
      <c r="L72" s="26">
        <v>17000</v>
      </c>
      <c r="M72" s="26">
        <v>17000</v>
      </c>
      <c r="N72" s="26">
        <v>17000</v>
      </c>
      <c r="O72" s="37">
        <f t="shared" si="8"/>
        <v>187000</v>
      </c>
    </row>
    <row r="73" spans="1:170">
      <c r="B73" s="9" t="s">
        <v>75</v>
      </c>
      <c r="C73" s="26">
        <v>600</v>
      </c>
      <c r="D73" s="26">
        <v>600</v>
      </c>
      <c r="E73" s="26">
        <v>600</v>
      </c>
      <c r="F73" s="26">
        <v>600</v>
      </c>
      <c r="G73" s="26">
        <v>600</v>
      </c>
      <c r="H73" s="26">
        <v>600</v>
      </c>
      <c r="I73" s="26">
        <v>600</v>
      </c>
      <c r="J73" s="26">
        <v>600</v>
      </c>
      <c r="K73" s="26">
        <v>600</v>
      </c>
      <c r="L73" s="26">
        <v>600</v>
      </c>
      <c r="M73" s="26">
        <v>600</v>
      </c>
      <c r="N73" s="26">
        <v>600</v>
      </c>
      <c r="O73" s="37">
        <f t="shared" si="8"/>
        <v>7200</v>
      </c>
    </row>
    <row r="74" spans="1:170">
      <c r="B74" s="41" t="s">
        <v>76</v>
      </c>
      <c r="C74" s="105">
        <f t="shared" ref="C74:N74" si="9">9500/12</f>
        <v>791.66666666666663</v>
      </c>
      <c r="D74" s="105">
        <f t="shared" si="9"/>
        <v>791.66666666666663</v>
      </c>
      <c r="E74" s="105">
        <f t="shared" si="9"/>
        <v>791.66666666666663</v>
      </c>
      <c r="F74" s="105">
        <f t="shared" si="9"/>
        <v>791.66666666666663</v>
      </c>
      <c r="G74" s="105">
        <f t="shared" si="9"/>
        <v>791.66666666666663</v>
      </c>
      <c r="H74" s="105">
        <f t="shared" si="9"/>
        <v>791.66666666666663</v>
      </c>
      <c r="I74" s="105">
        <f t="shared" si="9"/>
        <v>791.66666666666663</v>
      </c>
      <c r="J74" s="105">
        <f t="shared" si="9"/>
        <v>791.66666666666663</v>
      </c>
      <c r="K74" s="105">
        <f t="shared" si="9"/>
        <v>791.66666666666663</v>
      </c>
      <c r="L74" s="105">
        <f t="shared" si="9"/>
        <v>791.66666666666663</v>
      </c>
      <c r="M74" s="105">
        <f t="shared" si="9"/>
        <v>791.66666666666663</v>
      </c>
      <c r="N74" s="105">
        <f t="shared" si="9"/>
        <v>791.66666666666663</v>
      </c>
      <c r="O74" s="37">
        <f t="shared" si="8"/>
        <v>9500</v>
      </c>
    </row>
    <row r="75" spans="1:170" s="31" customFormat="1">
      <c r="A75"/>
      <c r="B75" s="41" t="s">
        <v>77</v>
      </c>
      <c r="C75" s="105">
        <v>0</v>
      </c>
      <c r="D75" s="105">
        <v>19157.903996452238</v>
      </c>
      <c r="E75" s="105">
        <v>54446.525989917318</v>
      </c>
      <c r="F75" s="105">
        <v>12411.791997701521</v>
      </c>
      <c r="G75" s="105">
        <v>27163.970994969633</v>
      </c>
      <c r="H75" s="105">
        <v>24859.81799539633</v>
      </c>
      <c r="I75" s="105">
        <v>5632.7399989568994</v>
      </c>
      <c r="J75" s="105">
        <v>716.44499986732501</v>
      </c>
      <c r="K75" s="105">
        <v>10166.930998117234</v>
      </c>
      <c r="L75" s="105">
        <v>1874.2859996529098</v>
      </c>
      <c r="M75" s="105">
        <v>9634.9499982157504</v>
      </c>
      <c r="N75" s="105">
        <v>9634.9499982157504</v>
      </c>
      <c r="O75" s="37">
        <f t="shared" si="8"/>
        <v>175700.3129674629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</row>
    <row r="76" spans="1:170" s="31" customFormat="1">
      <c r="A76"/>
      <c r="B76" s="41" t="s">
        <v>78</v>
      </c>
      <c r="C76" s="105">
        <v>1208.8979997761301</v>
      </c>
      <c r="D76" s="105">
        <v>7363.7369986363456</v>
      </c>
      <c r="E76" s="105">
        <v>10049.993998138891</v>
      </c>
      <c r="F76" s="105">
        <v>2399.6789995556151</v>
      </c>
      <c r="G76" s="105">
        <v>7663.4909985808354</v>
      </c>
      <c r="H76" s="105">
        <v>1526.7689997172652</v>
      </c>
      <c r="I76" s="105">
        <v>0</v>
      </c>
      <c r="J76" s="105">
        <v>950.31899982401501</v>
      </c>
      <c r="K76" s="105">
        <v>7441.1459986220098</v>
      </c>
      <c r="L76" s="105">
        <v>0</v>
      </c>
      <c r="M76" s="105">
        <v>4817.4749991078752</v>
      </c>
      <c r="N76" s="105">
        <v>1926.98999964315</v>
      </c>
      <c r="O76" s="37">
        <f t="shared" si="8"/>
        <v>45348.497991602126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</row>
    <row r="77" spans="1:170">
      <c r="B77" s="41" t="s">
        <v>80</v>
      </c>
      <c r="C77" s="105">
        <v>2500</v>
      </c>
      <c r="D77" s="105">
        <v>0</v>
      </c>
      <c r="E77" s="105">
        <v>0</v>
      </c>
      <c r="F77" s="105">
        <v>2500</v>
      </c>
      <c r="G77" s="105">
        <v>0</v>
      </c>
      <c r="H77" s="105">
        <v>0</v>
      </c>
      <c r="I77" s="105">
        <v>2500</v>
      </c>
      <c r="J77" s="105">
        <v>0</v>
      </c>
      <c r="K77" s="105">
        <v>0</v>
      </c>
      <c r="L77" s="105">
        <v>2500</v>
      </c>
      <c r="M77" s="105">
        <v>0</v>
      </c>
      <c r="N77" s="105">
        <v>0</v>
      </c>
      <c r="O77" s="37">
        <f t="shared" si="8"/>
        <v>10000</v>
      </c>
    </row>
    <row r="78" spans="1:170">
      <c r="B78" s="41" t="s">
        <v>82</v>
      </c>
      <c r="C78" s="105">
        <v>6000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37">
        <f t="shared" si="8"/>
        <v>6000</v>
      </c>
    </row>
    <row r="79" spans="1:170">
      <c r="B79" s="41" t="s">
        <v>83</v>
      </c>
      <c r="C79" s="105">
        <v>14000</v>
      </c>
      <c r="D79" s="105">
        <v>14000</v>
      </c>
      <c r="E79" s="105">
        <v>14000</v>
      </c>
      <c r="F79" s="105">
        <v>14000</v>
      </c>
      <c r="G79" s="105">
        <v>14000</v>
      </c>
      <c r="H79" s="105">
        <v>14000</v>
      </c>
      <c r="I79" s="105">
        <v>14000</v>
      </c>
      <c r="J79" s="105">
        <v>14000</v>
      </c>
      <c r="K79" s="105">
        <v>14000</v>
      </c>
      <c r="L79" s="105">
        <v>14000</v>
      </c>
      <c r="M79" s="105">
        <v>14000</v>
      </c>
      <c r="N79" s="105">
        <v>14000</v>
      </c>
      <c r="O79" s="37">
        <f t="shared" si="8"/>
        <v>168000</v>
      </c>
    </row>
    <row r="80" spans="1:170">
      <c r="B80" s="41" t="s">
        <v>155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37">
        <f t="shared" si="8"/>
        <v>0</v>
      </c>
    </row>
    <row r="81" spans="1:15">
      <c r="B81" s="41" t="s">
        <v>84</v>
      </c>
      <c r="C81" s="120">
        <v>2500</v>
      </c>
      <c r="D81" s="120">
        <v>2500</v>
      </c>
      <c r="E81" s="120">
        <v>2500</v>
      </c>
      <c r="F81" s="120">
        <v>2500</v>
      </c>
      <c r="G81" s="120">
        <v>2500</v>
      </c>
      <c r="H81" s="120">
        <v>2500</v>
      </c>
      <c r="I81" s="120">
        <v>2500</v>
      </c>
      <c r="J81" s="120">
        <v>2500</v>
      </c>
      <c r="K81" s="120">
        <v>2500</v>
      </c>
      <c r="L81" s="120">
        <v>2500</v>
      </c>
      <c r="M81" s="120">
        <v>2500</v>
      </c>
      <c r="N81" s="120">
        <v>2500</v>
      </c>
      <c r="O81" s="37">
        <f t="shared" si="8"/>
        <v>30000</v>
      </c>
    </row>
    <row r="82" spans="1:15">
      <c r="B82" s="41" t="s">
        <v>85</v>
      </c>
      <c r="C82" s="105">
        <v>12500</v>
      </c>
      <c r="D82" s="105">
        <v>12500</v>
      </c>
      <c r="E82" s="105">
        <v>12500</v>
      </c>
      <c r="F82" s="105">
        <v>12500</v>
      </c>
      <c r="G82" s="105">
        <v>12500</v>
      </c>
      <c r="H82" s="105">
        <v>12500</v>
      </c>
      <c r="I82" s="105">
        <v>12500</v>
      </c>
      <c r="J82" s="105">
        <v>12500</v>
      </c>
      <c r="K82" s="105">
        <v>12500</v>
      </c>
      <c r="L82" s="105">
        <v>12500</v>
      </c>
      <c r="M82" s="105">
        <v>12500</v>
      </c>
      <c r="N82" s="105">
        <v>12500</v>
      </c>
      <c r="O82" s="37">
        <f t="shared" si="8"/>
        <v>150000</v>
      </c>
    </row>
    <row r="83" spans="1:15" hidden="1">
      <c r="B83" s="41" t="s">
        <v>86</v>
      </c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37">
        <f t="shared" si="8"/>
        <v>0</v>
      </c>
    </row>
    <row r="84" spans="1:15" hidden="1">
      <c r="B84" s="41" t="s">
        <v>87</v>
      </c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37">
        <f t="shared" si="8"/>
        <v>0</v>
      </c>
    </row>
    <row r="85" spans="1:15" hidden="1">
      <c r="B85" s="41" t="s">
        <v>88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1089</v>
      </c>
      <c r="K85" s="105">
        <v>0</v>
      </c>
      <c r="L85" s="105">
        <v>0</v>
      </c>
      <c r="M85" s="105">
        <v>0</v>
      </c>
      <c r="N85" s="105">
        <v>0</v>
      </c>
      <c r="O85" s="37">
        <f t="shared" si="8"/>
        <v>1089</v>
      </c>
    </row>
    <row r="86" spans="1:15">
      <c r="B86" s="41" t="s">
        <v>89</v>
      </c>
      <c r="C86" s="105">
        <v>2000</v>
      </c>
      <c r="D86" s="105">
        <v>2000</v>
      </c>
      <c r="E86" s="105">
        <v>2000</v>
      </c>
      <c r="F86" s="105">
        <v>2000</v>
      </c>
      <c r="G86" s="105">
        <v>2000</v>
      </c>
      <c r="H86" s="105">
        <v>2000</v>
      </c>
      <c r="I86" s="105">
        <v>2000</v>
      </c>
      <c r="J86" s="105">
        <v>2000</v>
      </c>
      <c r="K86" s="105">
        <v>2000</v>
      </c>
      <c r="L86" s="105">
        <v>2000</v>
      </c>
      <c r="M86" s="105">
        <v>2000</v>
      </c>
      <c r="N86" s="105">
        <v>2000</v>
      </c>
      <c r="O86" s="37">
        <f t="shared" si="8"/>
        <v>24000</v>
      </c>
    </row>
    <row r="87" spans="1:15" hidden="1">
      <c r="B87" s="41" t="s">
        <v>90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37">
        <f t="shared" si="8"/>
        <v>0</v>
      </c>
    </row>
    <row r="88" spans="1:15" hidden="1">
      <c r="B88" s="41" t="s">
        <v>91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37">
        <f t="shared" si="8"/>
        <v>0</v>
      </c>
    </row>
    <row r="89" spans="1:15">
      <c r="B89" s="41" t="s">
        <v>327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37"/>
    </row>
    <row r="90" spans="1:15">
      <c r="A90" t="s">
        <v>335</v>
      </c>
      <c r="B90" s="41" t="s">
        <v>102</v>
      </c>
      <c r="C90" s="26">
        <v>1370.76</v>
      </c>
      <c r="D90" s="26">
        <v>1370.76</v>
      </c>
      <c r="E90" s="26">
        <v>1370.76</v>
      </c>
      <c r="F90" s="26">
        <v>1370.76</v>
      </c>
      <c r="G90" s="26">
        <v>1370.76</v>
      </c>
      <c r="H90" s="26">
        <v>1370.76</v>
      </c>
      <c r="I90" s="26">
        <v>1370.76</v>
      </c>
      <c r="J90" s="26">
        <v>1370.76</v>
      </c>
      <c r="K90" s="26">
        <v>1370.76</v>
      </c>
      <c r="L90" s="26">
        <v>1370.76</v>
      </c>
      <c r="M90" s="26">
        <v>1370.76</v>
      </c>
      <c r="N90" s="26">
        <v>1370.76</v>
      </c>
      <c r="O90" s="37">
        <f>SUM(C90:N90)</f>
        <v>16449.12</v>
      </c>
    </row>
    <row r="91" spans="1:15">
      <c r="A91" t="s">
        <v>97</v>
      </c>
      <c r="B91" s="41"/>
      <c r="C91" s="118">
        <f t="shared" ref="C91:N91" si="10">SUM(C36:C90)</f>
        <v>483629.4291465453</v>
      </c>
      <c r="D91" s="118">
        <f t="shared" si="10"/>
        <v>737109.26324144751</v>
      </c>
      <c r="E91" s="118">
        <f t="shared" si="10"/>
        <v>622252.33369318454</v>
      </c>
      <c r="F91" s="118">
        <f t="shared" si="10"/>
        <v>566244.58858038543</v>
      </c>
      <c r="G91" s="118">
        <f t="shared" si="10"/>
        <v>577507.06691267865</v>
      </c>
      <c r="H91" s="118">
        <f t="shared" si="10"/>
        <v>561922.88988224196</v>
      </c>
      <c r="I91" s="118">
        <f t="shared" si="10"/>
        <v>719250.94040331582</v>
      </c>
      <c r="J91" s="118">
        <f t="shared" si="10"/>
        <v>552559.94895881962</v>
      </c>
      <c r="K91" s="118">
        <f t="shared" si="10"/>
        <v>556335.14272386755</v>
      </c>
      <c r="L91" s="118">
        <f t="shared" si="10"/>
        <v>536870.62237278116</v>
      </c>
      <c r="M91" s="118">
        <f t="shared" si="10"/>
        <v>557597.53161845193</v>
      </c>
      <c r="N91" s="118">
        <f t="shared" si="10"/>
        <v>502364.45329529489</v>
      </c>
    </row>
    <row r="92" spans="1:15">
      <c r="A92" t="s">
        <v>104</v>
      </c>
      <c r="B92" s="119"/>
      <c r="C92" s="39">
        <f t="shared" ref="C92:N92" ca="1" si="11">C32-C91</f>
        <v>1911646.9902592227</v>
      </c>
      <c r="D92" s="39">
        <f t="shared" ca="1" si="11"/>
        <v>1290663.6896891699</v>
      </c>
      <c r="E92" s="39">
        <f t="shared" ca="1" si="11"/>
        <v>2572061.7157787015</v>
      </c>
      <c r="F92" s="39">
        <f t="shared" ca="1" si="11"/>
        <v>2097540.5039817179</v>
      </c>
      <c r="G92" s="39">
        <f t="shared" ca="1" si="11"/>
        <v>1600894.3948527086</v>
      </c>
      <c r="H92" s="39">
        <f t="shared" ca="1" si="11"/>
        <v>2939684.3377531953</v>
      </c>
      <c r="I92" s="39">
        <f t="shared" ca="1" si="11"/>
        <v>2323728.0660236478</v>
      </c>
      <c r="J92" s="39">
        <f t="shared" ca="1" si="11"/>
        <v>1858375.1728477855</v>
      </c>
      <c r="K92" s="39">
        <f t="shared" ca="1" si="11"/>
        <v>3195343.8019072455</v>
      </c>
      <c r="L92" s="39">
        <f t="shared" ca="1" si="11"/>
        <v>2750261.1133170943</v>
      </c>
      <c r="M92" s="39">
        <f t="shared" ca="1" si="11"/>
        <v>2398517.6924818847</v>
      </c>
      <c r="N92" s="39">
        <f t="shared" ca="1" si="11"/>
        <v>3761811.9379427554</v>
      </c>
    </row>
    <row r="93" spans="1:15">
      <c r="B93" s="8"/>
    </row>
    <row r="94" spans="1:15">
      <c r="B94" s="8"/>
      <c r="O94" s="13"/>
    </row>
    <row r="107" spans="2:15">
      <c r="B107" s="8"/>
      <c r="O107" s="15"/>
    </row>
    <row r="108" spans="2:15">
      <c r="B108" s="8"/>
      <c r="O108" s="15"/>
    </row>
    <row r="109" spans="2:15">
      <c r="B109" s="8"/>
      <c r="O109" s="15"/>
    </row>
    <row r="110" spans="2:15">
      <c r="B110" s="8"/>
      <c r="O110" s="15"/>
    </row>
    <row r="111" spans="2:15">
      <c r="B111" s="8"/>
      <c r="O111" s="15"/>
    </row>
    <row r="112" spans="2:15">
      <c r="B112" s="8"/>
      <c r="O112" s="15"/>
    </row>
    <row r="113" spans="2:15">
      <c r="B113" s="8"/>
      <c r="O113" s="15"/>
    </row>
    <row r="114" spans="2:15">
      <c r="B114" s="8"/>
      <c r="O114" s="15"/>
    </row>
    <row r="115" spans="2:15">
      <c r="B115" s="8"/>
      <c r="O115" s="15"/>
    </row>
    <row r="116" spans="2:15">
      <c r="B116" s="8"/>
      <c r="O116" s="15"/>
    </row>
    <row r="117" spans="2:15">
      <c r="B117" s="8"/>
      <c r="O117" s="15"/>
    </row>
    <row r="118" spans="2:15">
      <c r="B118" s="8"/>
      <c r="O118" s="15"/>
    </row>
    <row r="119" spans="2:15">
      <c r="B119" s="8"/>
      <c r="O119" s="15"/>
    </row>
    <row r="120" spans="2:15">
      <c r="B120" s="8"/>
      <c r="O120" s="15"/>
    </row>
    <row r="121" spans="2:15">
      <c r="B121" s="8"/>
      <c r="O121" s="15"/>
    </row>
    <row r="122" spans="2:15">
      <c r="B122" s="8"/>
      <c r="O122" s="15"/>
    </row>
    <row r="123" spans="2:15">
      <c r="B123" s="8"/>
      <c r="O123" s="15"/>
    </row>
    <row r="124" spans="2:15">
      <c r="B124" s="8"/>
      <c r="O124" s="15"/>
    </row>
    <row r="125" spans="2:15">
      <c r="B125" s="8"/>
      <c r="O125" s="15"/>
    </row>
    <row r="126" spans="2:15">
      <c r="B126" s="8"/>
      <c r="O126" s="15"/>
    </row>
    <row r="127" spans="2:15">
      <c r="B127" s="8"/>
      <c r="O127" s="15"/>
    </row>
    <row r="128" spans="2:15">
      <c r="B128" s="8"/>
      <c r="O128" s="15"/>
    </row>
    <row r="129" spans="2:15">
      <c r="B129" s="8"/>
      <c r="O129" s="15"/>
    </row>
    <row r="130" spans="2:15">
      <c r="B130" s="8"/>
      <c r="O130" s="15"/>
    </row>
    <row r="131" spans="2:15">
      <c r="B131" s="8"/>
      <c r="O131" s="15"/>
    </row>
    <row r="132" spans="2:15">
      <c r="B132" s="8"/>
      <c r="O132" s="15"/>
    </row>
    <row r="133" spans="2:15">
      <c r="B133" s="8"/>
      <c r="O133" s="15"/>
    </row>
    <row r="134" spans="2:15">
      <c r="B134" s="8"/>
      <c r="O134" s="15"/>
    </row>
    <row r="135" spans="2:15">
      <c r="B135" s="8"/>
      <c r="O135" s="15"/>
    </row>
    <row r="136" spans="2:15">
      <c r="B136" s="8"/>
      <c r="O136" s="15"/>
    </row>
    <row r="137" spans="2:15">
      <c r="B137" s="8"/>
      <c r="O137" s="15"/>
    </row>
    <row r="138" spans="2:15">
      <c r="B138" s="8"/>
      <c r="O138" s="15"/>
    </row>
    <row r="139" spans="2:15">
      <c r="B139" s="8"/>
      <c r="O139" s="15"/>
    </row>
    <row r="140" spans="2:15">
      <c r="B140" s="8"/>
      <c r="O140" s="15"/>
    </row>
    <row r="141" spans="2:15">
      <c r="B141" s="8"/>
      <c r="O141" s="15"/>
    </row>
    <row r="142" spans="2:15">
      <c r="B142" s="8"/>
      <c r="O142" s="15"/>
    </row>
    <row r="143" spans="2:15">
      <c r="B143" s="8"/>
      <c r="O143" s="15"/>
    </row>
    <row r="144" spans="2:15">
      <c r="B144" s="8"/>
      <c r="O144" s="15"/>
    </row>
    <row r="145" spans="2:15">
      <c r="B145" s="8"/>
      <c r="O145" s="15"/>
    </row>
    <row r="146" spans="2:15">
      <c r="B146" s="8"/>
      <c r="O146" s="15"/>
    </row>
    <row r="147" spans="2:15">
      <c r="B147" s="8"/>
      <c r="O147" s="15"/>
    </row>
    <row r="148" spans="2:15">
      <c r="B148" s="8"/>
      <c r="O148" s="15"/>
    </row>
    <row r="149" spans="2:15">
      <c r="B149" s="8"/>
      <c r="O149" s="15"/>
    </row>
    <row r="150" spans="2:15">
      <c r="B150" s="8"/>
      <c r="O150" s="15"/>
    </row>
    <row r="151" spans="2:15">
      <c r="B151" s="8"/>
      <c r="O151" s="15"/>
    </row>
    <row r="152" spans="2:15">
      <c r="B152" s="8"/>
      <c r="O152" s="15"/>
    </row>
    <row r="153" spans="2:15">
      <c r="B153" s="8"/>
      <c r="O153" s="15"/>
    </row>
    <row r="154" spans="2:15">
      <c r="B154" s="8"/>
      <c r="O154" s="15"/>
    </row>
    <row r="155" spans="2:15">
      <c r="B155" s="8"/>
      <c r="O155" s="15"/>
    </row>
    <row r="156" spans="2:15">
      <c r="B156" s="8"/>
      <c r="O156" s="15"/>
    </row>
    <row r="157" spans="2:15">
      <c r="B157" s="8"/>
      <c r="O157" s="15"/>
    </row>
    <row r="158" spans="2:15">
      <c r="B158" s="8"/>
      <c r="O158" s="15"/>
    </row>
    <row r="159" spans="2:15">
      <c r="B159" s="8"/>
      <c r="O159" s="15"/>
    </row>
    <row r="160" spans="2:15">
      <c r="B160" s="8"/>
      <c r="O160" s="15"/>
    </row>
    <row r="161" spans="2:15">
      <c r="B161" s="8"/>
      <c r="O161" s="15"/>
    </row>
    <row r="162" spans="2:15">
      <c r="B162" s="8"/>
      <c r="O162" s="15"/>
    </row>
    <row r="163" spans="2:15">
      <c r="B163" s="8"/>
      <c r="O163" s="15"/>
    </row>
    <row r="164" spans="2:15">
      <c r="B164" s="8"/>
      <c r="O164" s="15"/>
    </row>
    <row r="165" spans="2:15">
      <c r="B165" s="8"/>
      <c r="O165" s="15"/>
    </row>
    <row r="166" spans="2:15">
      <c r="B166" s="8"/>
      <c r="O166" s="15"/>
    </row>
    <row r="167" spans="2:15">
      <c r="B167" s="8"/>
      <c r="O167" s="15"/>
    </row>
    <row r="168" spans="2:15">
      <c r="B168" s="8"/>
      <c r="O168" s="15"/>
    </row>
    <row r="169" spans="2:15">
      <c r="B169" s="8"/>
      <c r="O169" s="15"/>
    </row>
    <row r="170" spans="2:15">
      <c r="B170" s="8"/>
      <c r="O170" s="15"/>
    </row>
    <row r="171" spans="2:15">
      <c r="B171" s="8"/>
      <c r="O171" s="15"/>
    </row>
    <row r="172" spans="2:15">
      <c r="B172" s="8"/>
      <c r="O172" s="15"/>
    </row>
    <row r="173" spans="2:15">
      <c r="B173" s="8"/>
      <c r="O173" s="15"/>
    </row>
    <row r="174" spans="2:15">
      <c r="B174" s="8"/>
      <c r="O174" s="15"/>
    </row>
    <row r="175" spans="2:15">
      <c r="B175" s="8"/>
      <c r="O175" s="15"/>
    </row>
    <row r="176" spans="2:15">
      <c r="B176" s="8"/>
      <c r="O176" s="15"/>
    </row>
    <row r="177" spans="2:15">
      <c r="B177" s="8"/>
      <c r="O177" s="15"/>
    </row>
    <row r="178" spans="2:15">
      <c r="B178" s="8"/>
      <c r="O178" s="15"/>
    </row>
    <row r="179" spans="2:15">
      <c r="B179" s="8"/>
      <c r="O179" s="15"/>
    </row>
    <row r="180" spans="2:15">
      <c r="B180" s="8"/>
      <c r="O180" s="15"/>
    </row>
    <row r="181" spans="2:15">
      <c r="B181" s="8"/>
      <c r="O181" s="15"/>
    </row>
    <row r="182" spans="2:15">
      <c r="B182" s="8"/>
    </row>
    <row r="183" spans="2:15">
      <c r="B183" s="8"/>
    </row>
    <row r="184" spans="2:15">
      <c r="B184" s="8"/>
    </row>
    <row r="185" spans="2:15">
      <c r="B185" s="8"/>
    </row>
    <row r="186" spans="2:15">
      <c r="B186" s="8"/>
    </row>
    <row r="187" spans="2:15">
      <c r="B187" s="8"/>
    </row>
    <row r="188" spans="2:15">
      <c r="B188" s="8"/>
    </row>
    <row r="189" spans="2:15">
      <c r="B189" s="8"/>
    </row>
    <row r="190" spans="2:15">
      <c r="B190" s="8"/>
    </row>
    <row r="191" spans="2:15">
      <c r="B191" s="8"/>
    </row>
    <row r="192" spans="2:15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</sheetData>
  <mergeCells count="3">
    <mergeCell ref="A1:N1"/>
    <mergeCell ref="A3:N3"/>
    <mergeCell ref="A5:N5"/>
  </mergeCells>
  <phoneticPr fontId="12" type="noConversion"/>
  <pageMargins left="0.12013888888888889" right="0.11805555555555555" top="0.12986111111111112" bottom="0.12986111111111112" header="0" footer="0"/>
  <pageSetup paperSize="5" scale="85" orientation="landscape" r:id="rId1"/>
  <headerFooter alignWithMargins="0"/>
  <rowBreaks count="1" manualBreakCount="1">
    <brk id="33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DESE-231-25695</_dlc_DocId>
    <_dlc_DocIdUrl xmlns="733efe1c-5bbe-4968-87dc-d400e65c879f">
      <Url>https://sharepoint.doemass.org/ese/webteam/cps/_layouts/DocIdRedir.aspx?ID=DESE-231-25695</Url>
      <Description>DESE-231-25695</Description>
    </_dlc_DocIdUrl>
  </documentManagement>
</p:properties>
</file>

<file path=customXml/itemProps1.xml><?xml version="1.0" encoding="utf-8"?>
<ds:datastoreItem xmlns:ds="http://schemas.openxmlformats.org/officeDocument/2006/customXml" ds:itemID="{17A6972E-A36D-4BCE-A6E4-E36A3B34D95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56D1BF-84E0-49B2-A975-59D9D7A03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FB3E9E-9F1D-4443-82A6-F836B1A103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CE4097-C6F1-4297-95D9-D82327842C21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Cash Flow 2009</vt:lpstr>
      <vt:lpstr>Cash Flow 2010</vt:lpstr>
      <vt:lpstr>Cash Flow2011</vt:lpstr>
      <vt:lpstr>Cash Flow 2012 </vt:lpstr>
      <vt:lpstr>Cash Flow 2013</vt:lpstr>
      <vt:lpstr>Cash Flow 2014</vt:lpstr>
      <vt:lpstr>Cash Flow 2015</vt:lpstr>
      <vt:lpstr>Cash Flow 2016</vt:lpstr>
      <vt:lpstr>Cash Flow 2017</vt:lpstr>
      <vt:lpstr>Cash Flow 2018</vt:lpstr>
      <vt:lpstr>Cash Flow 2019</vt:lpstr>
      <vt:lpstr>Personnel</vt:lpstr>
      <vt:lpstr>'Cash Flow 2009'!Print_Area</vt:lpstr>
      <vt:lpstr>'Cash Flow 2010'!Print_Area</vt:lpstr>
      <vt:lpstr>'Cash Flow 2012 '!Print_Area</vt:lpstr>
      <vt:lpstr>'Cash Flow 2013'!Print_Area</vt:lpstr>
      <vt:lpstr>'Cash Flow 2014'!Print_Area</vt:lpstr>
      <vt:lpstr>'Cash Flow 2015'!Print_Area</vt:lpstr>
      <vt:lpstr>'Cash Flow 2016'!Print_Area</vt:lpstr>
      <vt:lpstr>'Cash Flow 2017'!Print_Area</vt:lpstr>
      <vt:lpstr>'Cash Flow 2018'!Print_Area</vt:lpstr>
      <vt:lpstr>'Cash Flow 2019'!Print_Area</vt:lpstr>
      <vt:lpstr>'Cash Flow2011'!Print_Area</vt:lpstr>
      <vt:lpstr>Personnel!Print_Area</vt:lpstr>
      <vt:lpstr>'Cash Flow 2009'!Print_Titles</vt:lpstr>
      <vt:lpstr>'Cash Flow 2010'!Print_Titles</vt:lpstr>
      <vt:lpstr>'Cash Flow 2012 '!Print_Titles</vt:lpstr>
      <vt:lpstr>'Cash Flow 2013'!Print_Titles</vt:lpstr>
      <vt:lpstr>'Cash Flow 2014'!Print_Titles</vt:lpstr>
      <vt:lpstr>'Cash Flow 2015'!Print_Titles</vt:lpstr>
      <vt:lpstr>'Cash Flow2011'!Print_Titles</vt:lpstr>
      <vt:lpstr>Personnel!Print_Titles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PVCICS Cash Flow from 2014 Amendment Request</dc:title>
  <dc:subject/>
  <dc:creator>ESE</dc:creator>
  <cp:lastModifiedBy>dzou</cp:lastModifiedBy>
  <cp:lastPrinted>2016-06-20T20:39:57Z</cp:lastPrinted>
  <dcterms:created xsi:type="dcterms:W3CDTF">2008-10-16T17:50:08Z</dcterms:created>
  <dcterms:modified xsi:type="dcterms:W3CDTF">2016-06-21T14:52:19Z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21 2016</vt:lpwstr>
  </property>
</Properties>
</file>