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dzou\Desktop\11211\"/>
    </mc:Choice>
  </mc:AlternateContent>
  <bookViews>
    <workbookView xWindow="8295" yWindow="0" windowWidth="20700" windowHeight="11655" tabRatio="702"/>
  </bookViews>
  <sheets>
    <sheet name="Summary" sheetId="5" r:id="rId1"/>
    <sheet name="FY18 earmarks" sheetId="8" state="hidden" r:id="rId2"/>
  </sheets>
  <definedNames>
    <definedName name="_xlnm._FilterDatabase" localSheetId="0" hidden="1">Summary!$A$7:$IJ$60</definedName>
    <definedName name="_xlnm.Print_Area" localSheetId="0">Summary!$A$1:$IH$60</definedName>
    <definedName name="_xlnm.Print_Titles" localSheetId="0">Summary!$1:$7</definedName>
  </definedNames>
  <calcPr calcId="162913"/>
</workbook>
</file>

<file path=xl/calcChain.xml><?xml version="1.0" encoding="utf-8"?>
<calcChain xmlns="http://schemas.openxmlformats.org/spreadsheetml/2006/main">
  <c r="IG8" i="5" l="1"/>
  <c r="IG9" i="5"/>
  <c r="IG10" i="5"/>
  <c r="IG11" i="5"/>
  <c r="IG12" i="5"/>
  <c r="IG13" i="5"/>
  <c r="IG14" i="5"/>
  <c r="IG15" i="5"/>
  <c r="IG16" i="5"/>
  <c r="IG17" i="5"/>
  <c r="IG18" i="5"/>
  <c r="IG19" i="5"/>
  <c r="IG20" i="5"/>
  <c r="IG21" i="5"/>
  <c r="IG22" i="5"/>
  <c r="IG23" i="5"/>
  <c r="IG24" i="5"/>
  <c r="IG25" i="5"/>
  <c r="IG26" i="5"/>
  <c r="IG27" i="5"/>
  <c r="IG28" i="5"/>
  <c r="IG29" i="5"/>
  <c r="IG30" i="5"/>
  <c r="IG31" i="5"/>
  <c r="IG32" i="5"/>
  <c r="IG33" i="5"/>
  <c r="IG34" i="5"/>
  <c r="IG35" i="5"/>
  <c r="IG36" i="5"/>
  <c r="IG37" i="5"/>
  <c r="IG38" i="5"/>
  <c r="IG39" i="5"/>
  <c r="IG40" i="5"/>
  <c r="IG41" i="5"/>
  <c r="IG42" i="5"/>
  <c r="IG43" i="5"/>
  <c r="IG44" i="5"/>
  <c r="IG45" i="5"/>
  <c r="IG46" i="5"/>
  <c r="IG47" i="5"/>
  <c r="IG48" i="5"/>
  <c r="IG49" i="5"/>
  <c r="IG50" i="5"/>
  <c r="IG51" i="5"/>
  <c r="IG52" i="5"/>
  <c r="IG53" i="5"/>
  <c r="IG54" i="5"/>
  <c r="IG55" i="5"/>
  <c r="IG56" i="5"/>
  <c r="IG57" i="5"/>
  <c r="IG58" i="5"/>
  <c r="IG59" i="5"/>
  <c r="IG60" i="5" l="1"/>
  <c r="IF60" i="5"/>
  <c r="IE46" i="5"/>
  <c r="ID39" i="5"/>
  <c r="IE39" i="5" s="1"/>
  <c r="ID9" i="5"/>
  <c r="IE9" i="5" s="1"/>
  <c r="ID10" i="5"/>
  <c r="IE10" i="5" s="1"/>
  <c r="ID11" i="5"/>
  <c r="IE11" i="5" s="1"/>
  <c r="ID12" i="5"/>
  <c r="IE12" i="5" s="1"/>
  <c r="ID13" i="5"/>
  <c r="IE13" i="5" s="1"/>
  <c r="ID14" i="5"/>
  <c r="IE14" i="5" s="1"/>
  <c r="ID15" i="5"/>
  <c r="IE15" i="5" s="1"/>
  <c r="ID16" i="5"/>
  <c r="IE16" i="5" s="1"/>
  <c r="ID17" i="5"/>
  <c r="IE17" i="5" s="1"/>
  <c r="ID18" i="5"/>
  <c r="IE18" i="5" s="1"/>
  <c r="ID19" i="5"/>
  <c r="IE19" i="5" s="1"/>
  <c r="ID20" i="5"/>
  <c r="IE20" i="5" s="1"/>
  <c r="ID21" i="5"/>
  <c r="IE21" i="5" s="1"/>
  <c r="ID22" i="5"/>
  <c r="IE22" i="5" s="1"/>
  <c r="ID23" i="5"/>
  <c r="IE23" i="5" s="1"/>
  <c r="ID24" i="5"/>
  <c r="IE24" i="5" s="1"/>
  <c r="ID25" i="5"/>
  <c r="IE25" i="5" s="1"/>
  <c r="ID26" i="5"/>
  <c r="IE26" i="5" s="1"/>
  <c r="ID27" i="5"/>
  <c r="IE27" i="5" s="1"/>
  <c r="ID28" i="5"/>
  <c r="IE28" i="5" s="1"/>
  <c r="ID29" i="5"/>
  <c r="IE29" i="5" s="1"/>
  <c r="ID30" i="5"/>
  <c r="IE30" i="5" s="1"/>
  <c r="ID31" i="5"/>
  <c r="IE31" i="5" s="1"/>
  <c r="ID32" i="5"/>
  <c r="IE32" i="5" s="1"/>
  <c r="ID33" i="5"/>
  <c r="IE33" i="5" s="1"/>
  <c r="ID34" i="5"/>
  <c r="IE34" i="5" s="1"/>
  <c r="ID35" i="5"/>
  <c r="IE35" i="5" s="1"/>
  <c r="ID36" i="5"/>
  <c r="IE36" i="5" s="1"/>
  <c r="ID37" i="5"/>
  <c r="IE37" i="5" s="1"/>
  <c r="ID38" i="5"/>
  <c r="IE38" i="5" s="1"/>
  <c r="ID40" i="5"/>
  <c r="IE40" i="5" s="1"/>
  <c r="ID41" i="5"/>
  <c r="IE41" i="5" s="1"/>
  <c r="ID42" i="5"/>
  <c r="IE42" i="5" s="1"/>
  <c r="ID43" i="5"/>
  <c r="IE43" i="5" s="1"/>
  <c r="ID44" i="5"/>
  <c r="IE44" i="5" s="1"/>
  <c r="ID45" i="5"/>
  <c r="IE45" i="5" s="1"/>
  <c r="ID46" i="5"/>
  <c r="ID47" i="5"/>
  <c r="IE47" i="5" s="1"/>
  <c r="ID49" i="5"/>
  <c r="IE49" i="5" s="1"/>
  <c r="ID50" i="5"/>
  <c r="IE50" i="5" s="1"/>
  <c r="ID51" i="5"/>
  <c r="IE51" i="5" s="1"/>
  <c r="ID52" i="5"/>
  <c r="IE52" i="5" s="1"/>
  <c r="ID53" i="5"/>
  <c r="IE53" i="5" s="1"/>
  <c r="ID54" i="5"/>
  <c r="IE54" i="5" s="1"/>
  <c r="ID55" i="5"/>
  <c r="IE55" i="5" s="1"/>
  <c r="ID56" i="5"/>
  <c r="IE56" i="5" s="1"/>
  <c r="ID57" i="5"/>
  <c r="IE57" i="5" s="1"/>
  <c r="ID58" i="5"/>
  <c r="IE58" i="5" s="1"/>
  <c r="ID59" i="5"/>
  <c r="ID8" i="5"/>
  <c r="IE8" i="5" s="1"/>
  <c r="ID60" i="5" l="1"/>
  <c r="IB60" i="5"/>
  <c r="D48" i="8" l="1"/>
  <c r="HZ53" i="5"/>
  <c r="HX9" i="5"/>
  <c r="HY9" i="5"/>
  <c r="HZ9" i="5"/>
  <c r="HX10" i="5"/>
  <c r="HY10" i="5"/>
  <c r="HZ10" i="5"/>
  <c r="HX11" i="5"/>
  <c r="HY11" i="5"/>
  <c r="HZ11" i="5"/>
  <c r="HX12" i="5"/>
  <c r="HY12" i="5"/>
  <c r="HZ12" i="5"/>
  <c r="HX13" i="5"/>
  <c r="HY13" i="5"/>
  <c r="HZ13" i="5"/>
  <c r="HX14" i="5"/>
  <c r="HY14" i="5"/>
  <c r="HZ14" i="5"/>
  <c r="HX15" i="5"/>
  <c r="HY15" i="5"/>
  <c r="HZ15" i="5"/>
  <c r="HX16" i="5"/>
  <c r="HY16" i="5"/>
  <c r="HZ16" i="5"/>
  <c r="HX17" i="5"/>
  <c r="HY17" i="5"/>
  <c r="HZ17" i="5"/>
  <c r="HX18" i="5"/>
  <c r="HY18" i="5"/>
  <c r="HZ18" i="5"/>
  <c r="HX19" i="5"/>
  <c r="HY19" i="5"/>
  <c r="HZ19" i="5"/>
  <c r="HX20" i="5"/>
  <c r="HY20" i="5"/>
  <c r="HZ20" i="5"/>
  <c r="HX21" i="5"/>
  <c r="HY21" i="5"/>
  <c r="HZ21" i="5"/>
  <c r="HX22" i="5"/>
  <c r="HY22" i="5"/>
  <c r="HZ22" i="5"/>
  <c r="HX23" i="5"/>
  <c r="HY23" i="5"/>
  <c r="HZ23" i="5"/>
  <c r="HX24" i="5"/>
  <c r="HY24" i="5"/>
  <c r="HZ24" i="5"/>
  <c r="HX25" i="5"/>
  <c r="HY25" i="5"/>
  <c r="HZ25" i="5"/>
  <c r="HX26" i="5"/>
  <c r="HY26" i="5"/>
  <c r="HZ26" i="5"/>
  <c r="HX27" i="5"/>
  <c r="HY27" i="5"/>
  <c r="HZ27" i="5"/>
  <c r="HX28" i="5"/>
  <c r="HY28" i="5"/>
  <c r="HZ28" i="5"/>
  <c r="HX29" i="5"/>
  <c r="HY29" i="5"/>
  <c r="HZ29" i="5"/>
  <c r="HX30" i="5"/>
  <c r="HY30" i="5"/>
  <c r="HZ30" i="5"/>
  <c r="HX31" i="5"/>
  <c r="HY31" i="5"/>
  <c r="HZ31" i="5"/>
  <c r="HX32" i="5"/>
  <c r="HY32" i="5"/>
  <c r="HZ32" i="5"/>
  <c r="HX33" i="5"/>
  <c r="HY33" i="5"/>
  <c r="HZ33" i="5"/>
  <c r="HX34" i="5"/>
  <c r="HY34" i="5"/>
  <c r="HZ34" i="5"/>
  <c r="HX35" i="5"/>
  <c r="HY35" i="5"/>
  <c r="HZ35" i="5"/>
  <c r="HX36" i="5"/>
  <c r="HY36" i="5"/>
  <c r="HZ36" i="5"/>
  <c r="HX37" i="5"/>
  <c r="HY37" i="5"/>
  <c r="HZ37" i="5"/>
  <c r="HX38" i="5"/>
  <c r="HY38" i="5"/>
  <c r="HZ38" i="5"/>
  <c r="HX39" i="5"/>
  <c r="HY39" i="5"/>
  <c r="HZ39" i="5"/>
  <c r="HX40" i="5"/>
  <c r="HY40" i="5"/>
  <c r="HZ40" i="5"/>
  <c r="HX41" i="5"/>
  <c r="HY41" i="5"/>
  <c r="HZ41" i="5"/>
  <c r="HX42" i="5"/>
  <c r="HY42" i="5"/>
  <c r="HZ42" i="5"/>
  <c r="HX43" i="5"/>
  <c r="HY43" i="5"/>
  <c r="HZ43" i="5"/>
  <c r="HX44" i="5"/>
  <c r="HY44" i="5"/>
  <c r="HZ44" i="5"/>
  <c r="HX45" i="5"/>
  <c r="HY45" i="5"/>
  <c r="HZ45" i="5"/>
  <c r="HX46" i="5"/>
  <c r="HY46" i="5"/>
  <c r="HZ46" i="5"/>
  <c r="HX47" i="5"/>
  <c r="HY47" i="5"/>
  <c r="HZ47" i="5"/>
  <c r="HX49" i="5"/>
  <c r="HY49" i="5"/>
  <c r="HZ49" i="5"/>
  <c r="HX50" i="5"/>
  <c r="HY50" i="5"/>
  <c r="HZ50" i="5"/>
  <c r="HX51" i="5"/>
  <c r="HY51" i="5"/>
  <c r="HZ51" i="5"/>
  <c r="HX52" i="5"/>
  <c r="HY52" i="5"/>
  <c r="HZ52" i="5"/>
  <c r="HX53" i="5"/>
  <c r="HY53" i="5"/>
  <c r="HX54" i="5"/>
  <c r="HY54" i="5"/>
  <c r="HZ54" i="5"/>
  <c r="HX55" i="5"/>
  <c r="HY55" i="5"/>
  <c r="HZ55" i="5"/>
  <c r="HX56" i="5"/>
  <c r="HY56" i="5"/>
  <c r="HZ56" i="5"/>
  <c r="HX57" i="5"/>
  <c r="HY57" i="5"/>
  <c r="HZ57" i="5"/>
  <c r="HX58" i="5"/>
  <c r="HY58" i="5"/>
  <c r="HZ58" i="5"/>
  <c r="HY59" i="5"/>
  <c r="HZ59" i="5"/>
  <c r="HZ8" i="5"/>
  <c r="HY8" i="5"/>
  <c r="HX8" i="5"/>
  <c r="HW60" i="5"/>
  <c r="HY60" i="5" l="1"/>
  <c r="HR37" i="5"/>
  <c r="HR9" i="5" l="1"/>
  <c r="HS9" i="5"/>
  <c r="HT9" i="5"/>
  <c r="HU9" i="5"/>
  <c r="HR10" i="5"/>
  <c r="HS10" i="5"/>
  <c r="HU10" i="5"/>
  <c r="HR11" i="5"/>
  <c r="HS11" i="5"/>
  <c r="HT11" i="5"/>
  <c r="HU11" i="5"/>
  <c r="HR12" i="5"/>
  <c r="HS12" i="5"/>
  <c r="HR13" i="5"/>
  <c r="HS13" i="5"/>
  <c r="HT13" i="5"/>
  <c r="HU13" i="5"/>
  <c r="HR14" i="5"/>
  <c r="HS14" i="5"/>
  <c r="HT14" i="5"/>
  <c r="HU14" i="5"/>
  <c r="HR15" i="5"/>
  <c r="HS15" i="5"/>
  <c r="HR16" i="5"/>
  <c r="HS16" i="5"/>
  <c r="HT16" i="5"/>
  <c r="HU16" i="5"/>
  <c r="HR17" i="5"/>
  <c r="HS17" i="5"/>
  <c r="HT17" i="5"/>
  <c r="HU17" i="5"/>
  <c r="HR18" i="5"/>
  <c r="HS18" i="5"/>
  <c r="HT18" i="5"/>
  <c r="HU18" i="5"/>
  <c r="HR19" i="5"/>
  <c r="HS19" i="5"/>
  <c r="HT19" i="5"/>
  <c r="HU19" i="5"/>
  <c r="HR20" i="5"/>
  <c r="HS20" i="5"/>
  <c r="HR21" i="5"/>
  <c r="HS21" i="5"/>
  <c r="HT21" i="5"/>
  <c r="HU21" i="5"/>
  <c r="HR22" i="5"/>
  <c r="HS22" i="5"/>
  <c r="HT22" i="5"/>
  <c r="HU22" i="5"/>
  <c r="HR23" i="5"/>
  <c r="HS23" i="5"/>
  <c r="HT23" i="5"/>
  <c r="HU23" i="5"/>
  <c r="HR24" i="5"/>
  <c r="HS24" i="5"/>
  <c r="HT24" i="5"/>
  <c r="HU24" i="5"/>
  <c r="HR25" i="5"/>
  <c r="HS25" i="5"/>
  <c r="HT25" i="5"/>
  <c r="HU25" i="5"/>
  <c r="HR26" i="5"/>
  <c r="HS26" i="5"/>
  <c r="HT26" i="5"/>
  <c r="HU26" i="5"/>
  <c r="HS27" i="5"/>
  <c r="HT27" i="5"/>
  <c r="HU27" i="5"/>
  <c r="HR28" i="5"/>
  <c r="HS28" i="5"/>
  <c r="HT28" i="5"/>
  <c r="HU28" i="5"/>
  <c r="HR29" i="5"/>
  <c r="HS29" i="5"/>
  <c r="HT29" i="5"/>
  <c r="HU29" i="5"/>
  <c r="HR30" i="5"/>
  <c r="HS30" i="5"/>
  <c r="HT30" i="5"/>
  <c r="HR31" i="5"/>
  <c r="HS31" i="5"/>
  <c r="HT31" i="5"/>
  <c r="HU31" i="5"/>
  <c r="HR32" i="5"/>
  <c r="HS32" i="5"/>
  <c r="HT32" i="5"/>
  <c r="HU32" i="5"/>
  <c r="HR33" i="5"/>
  <c r="HS33" i="5"/>
  <c r="HT33" i="5"/>
  <c r="HU33" i="5"/>
  <c r="HR34" i="5"/>
  <c r="HS34" i="5"/>
  <c r="HT34" i="5"/>
  <c r="HU34" i="5"/>
  <c r="HR35" i="5"/>
  <c r="HS35" i="5"/>
  <c r="HT35" i="5"/>
  <c r="HU35" i="5"/>
  <c r="HR36" i="5"/>
  <c r="HS36" i="5"/>
  <c r="HT36" i="5"/>
  <c r="HU36" i="5"/>
  <c r="HS37" i="5"/>
  <c r="HT37" i="5"/>
  <c r="HU37" i="5"/>
  <c r="HR38" i="5"/>
  <c r="HS38" i="5"/>
  <c r="HT38" i="5"/>
  <c r="HU38" i="5"/>
  <c r="HR39" i="5"/>
  <c r="HS39" i="5"/>
  <c r="HT39" i="5"/>
  <c r="HU39" i="5"/>
  <c r="HR40" i="5"/>
  <c r="HS40" i="5"/>
  <c r="HT40" i="5"/>
  <c r="HU40" i="5"/>
  <c r="HR41" i="5"/>
  <c r="HS41" i="5"/>
  <c r="HT41" i="5"/>
  <c r="HU41" i="5"/>
  <c r="HR42" i="5"/>
  <c r="HS42" i="5"/>
  <c r="HT42" i="5"/>
  <c r="HU42" i="5"/>
  <c r="HR43" i="5"/>
  <c r="HS43" i="5"/>
  <c r="HT43" i="5"/>
  <c r="HR44" i="5"/>
  <c r="HS44" i="5"/>
  <c r="HT44" i="5"/>
  <c r="HU44" i="5"/>
  <c r="HR45" i="5"/>
  <c r="HS45" i="5"/>
  <c r="HT45" i="5"/>
  <c r="HU45" i="5"/>
  <c r="HR46" i="5"/>
  <c r="HS46" i="5"/>
  <c r="HT46" i="5"/>
  <c r="HU46" i="5"/>
  <c r="HR47" i="5"/>
  <c r="HS47" i="5"/>
  <c r="HT47" i="5"/>
  <c r="HU47" i="5"/>
  <c r="HR49" i="5"/>
  <c r="HS49" i="5"/>
  <c r="HR50" i="5"/>
  <c r="HS50" i="5"/>
  <c r="HU50" i="5"/>
  <c r="HR51" i="5"/>
  <c r="HS51" i="5"/>
  <c r="HT51" i="5"/>
  <c r="HU51" i="5"/>
  <c r="HR52" i="5"/>
  <c r="HS52" i="5"/>
  <c r="HT52" i="5"/>
  <c r="HU52" i="5"/>
  <c r="HR53" i="5"/>
  <c r="HS53" i="5"/>
  <c r="HT53" i="5"/>
  <c r="HU53" i="5"/>
  <c r="HR54" i="5"/>
  <c r="HS54" i="5"/>
  <c r="HT54" i="5"/>
  <c r="HU54" i="5"/>
  <c r="HR55" i="5"/>
  <c r="HS55" i="5"/>
  <c r="HU55" i="5"/>
  <c r="HR56" i="5"/>
  <c r="HS56" i="5"/>
  <c r="HT56" i="5"/>
  <c r="HU56" i="5"/>
  <c r="HR57" i="5"/>
  <c r="HS57" i="5"/>
  <c r="HT57" i="5"/>
  <c r="HU57" i="5"/>
  <c r="HR58" i="5"/>
  <c r="HS58" i="5"/>
  <c r="HT58" i="5"/>
  <c r="HU58" i="5"/>
  <c r="HS59" i="5"/>
  <c r="HT59" i="5"/>
  <c r="HU59" i="5"/>
  <c r="A104" i="8" l="1"/>
  <c r="A55" i="8" l="1"/>
  <c r="A48" i="8" l="1"/>
  <c r="A35" i="8" l="1"/>
  <c r="A84" i="8"/>
  <c r="A65" i="8"/>
  <c r="HS8" i="5" l="1"/>
  <c r="HR8" i="5"/>
  <c r="HQ60" i="5"/>
  <c r="HS60" i="5" l="1"/>
  <c r="HK49" i="5" l="1"/>
  <c r="HU49" i="5" s="1"/>
  <c r="HK43" i="5"/>
  <c r="HK30" i="5"/>
  <c r="HU30" i="5" s="1"/>
  <c r="HU43" i="5" l="1"/>
  <c r="HN43" i="5"/>
  <c r="HK20" i="5"/>
  <c r="HO20" i="5" s="1"/>
  <c r="HK15" i="5"/>
  <c r="HM15" i="5" s="1"/>
  <c r="HK8" i="5"/>
  <c r="HO8" i="5" s="1"/>
  <c r="HK12" i="5"/>
  <c r="HL9" i="5"/>
  <c r="HM9" i="5"/>
  <c r="HN9" i="5"/>
  <c r="HO9" i="5"/>
  <c r="HL10" i="5"/>
  <c r="HM10" i="5"/>
  <c r="HO10" i="5"/>
  <c r="HL11" i="5"/>
  <c r="HM11" i="5"/>
  <c r="HN11" i="5"/>
  <c r="HO11" i="5"/>
  <c r="HL12" i="5"/>
  <c r="HL13" i="5"/>
  <c r="HM13" i="5"/>
  <c r="HN13" i="5"/>
  <c r="HO13" i="5"/>
  <c r="HL14" i="5"/>
  <c r="HM14" i="5"/>
  <c r="HN14" i="5"/>
  <c r="HO14" i="5"/>
  <c r="HL16" i="5"/>
  <c r="HM16" i="5"/>
  <c r="HN16" i="5"/>
  <c r="HO16" i="5"/>
  <c r="HL17" i="5"/>
  <c r="HM17" i="5"/>
  <c r="HN17" i="5"/>
  <c r="HO17" i="5"/>
  <c r="HL18" i="5"/>
  <c r="HM18" i="5"/>
  <c r="HN18" i="5"/>
  <c r="HO18" i="5"/>
  <c r="HL19" i="5"/>
  <c r="HM19" i="5"/>
  <c r="HN19" i="5"/>
  <c r="HO19" i="5"/>
  <c r="HM20" i="5"/>
  <c r="HL21" i="5"/>
  <c r="HM21" i="5"/>
  <c r="HN21" i="5"/>
  <c r="HO21" i="5"/>
  <c r="HL22" i="5"/>
  <c r="HM22" i="5"/>
  <c r="HN22" i="5"/>
  <c r="HO22" i="5"/>
  <c r="HL23" i="5"/>
  <c r="HM23" i="5"/>
  <c r="HN23" i="5"/>
  <c r="HO23" i="5"/>
  <c r="HL24" i="5"/>
  <c r="HM24" i="5"/>
  <c r="HN24" i="5"/>
  <c r="HO24" i="5"/>
  <c r="HL25" i="5"/>
  <c r="HM25" i="5"/>
  <c r="HN25" i="5"/>
  <c r="HO25" i="5"/>
  <c r="HL26" i="5"/>
  <c r="HM26" i="5"/>
  <c r="HN26" i="5"/>
  <c r="HO26" i="5"/>
  <c r="HL27" i="5"/>
  <c r="HM27" i="5"/>
  <c r="HN27" i="5"/>
  <c r="HO27" i="5"/>
  <c r="HL28" i="5"/>
  <c r="HM28" i="5"/>
  <c r="HN28" i="5"/>
  <c r="HO28" i="5"/>
  <c r="HL29" i="5"/>
  <c r="HM29" i="5"/>
  <c r="HN29" i="5"/>
  <c r="HO29" i="5"/>
  <c r="HL30" i="5"/>
  <c r="HM30" i="5"/>
  <c r="HN30" i="5"/>
  <c r="HO30" i="5"/>
  <c r="HL31" i="5"/>
  <c r="HM31" i="5"/>
  <c r="HN31" i="5"/>
  <c r="HO31" i="5"/>
  <c r="HL32" i="5"/>
  <c r="HM32" i="5"/>
  <c r="HN32" i="5"/>
  <c r="HO32" i="5"/>
  <c r="HL33" i="5"/>
  <c r="HM33" i="5"/>
  <c r="HN33" i="5"/>
  <c r="HO33" i="5"/>
  <c r="HL34" i="5"/>
  <c r="HM34" i="5"/>
  <c r="HN34" i="5"/>
  <c r="HO34" i="5"/>
  <c r="HL35" i="5"/>
  <c r="HM35" i="5"/>
  <c r="HN35" i="5"/>
  <c r="HO35" i="5"/>
  <c r="HL36" i="5"/>
  <c r="HM36" i="5"/>
  <c r="HN36" i="5"/>
  <c r="HO36" i="5"/>
  <c r="HL37" i="5"/>
  <c r="HM37" i="5"/>
  <c r="HN37" i="5"/>
  <c r="HO37" i="5"/>
  <c r="HL38" i="5"/>
  <c r="HM38" i="5"/>
  <c r="HN38" i="5"/>
  <c r="HO38" i="5"/>
  <c r="HL39" i="5"/>
  <c r="HM39" i="5"/>
  <c r="HN39" i="5"/>
  <c r="HO39" i="5"/>
  <c r="HL40" i="5"/>
  <c r="HM40" i="5"/>
  <c r="HN40" i="5"/>
  <c r="HO40" i="5"/>
  <c r="HL41" i="5"/>
  <c r="HM41" i="5"/>
  <c r="HN41" i="5"/>
  <c r="HO41" i="5"/>
  <c r="HL42" i="5"/>
  <c r="HM42" i="5"/>
  <c r="HN42" i="5"/>
  <c r="HO42" i="5"/>
  <c r="HL43" i="5"/>
  <c r="HM43" i="5"/>
  <c r="HO43" i="5"/>
  <c r="HL44" i="5"/>
  <c r="HM44" i="5"/>
  <c r="HN44" i="5"/>
  <c r="HO44" i="5"/>
  <c r="HL45" i="5"/>
  <c r="HM45" i="5"/>
  <c r="HN45" i="5"/>
  <c r="HO45" i="5"/>
  <c r="HL46" i="5"/>
  <c r="HM46" i="5"/>
  <c r="HN46" i="5"/>
  <c r="HO46" i="5"/>
  <c r="HL47" i="5"/>
  <c r="HM47" i="5"/>
  <c r="HN47" i="5"/>
  <c r="HO47" i="5"/>
  <c r="HL49" i="5"/>
  <c r="HM49" i="5"/>
  <c r="HO49" i="5"/>
  <c r="HL50" i="5"/>
  <c r="HM50" i="5"/>
  <c r="HO50" i="5"/>
  <c r="HL51" i="5"/>
  <c r="HM51" i="5"/>
  <c r="HN51" i="5"/>
  <c r="HO51" i="5"/>
  <c r="HL52" i="5"/>
  <c r="HM52" i="5"/>
  <c r="HN52" i="5"/>
  <c r="HO52" i="5"/>
  <c r="HL53" i="5"/>
  <c r="HM53" i="5"/>
  <c r="HN53" i="5"/>
  <c r="HO53" i="5"/>
  <c r="HL54" i="5"/>
  <c r="HM54" i="5"/>
  <c r="HN54" i="5"/>
  <c r="HO54" i="5"/>
  <c r="HL55" i="5"/>
  <c r="HM55" i="5"/>
  <c r="HO55" i="5"/>
  <c r="HL56" i="5"/>
  <c r="HM56" i="5"/>
  <c r="HN56" i="5"/>
  <c r="HO56" i="5"/>
  <c r="HL57" i="5"/>
  <c r="HM57" i="5"/>
  <c r="HN57" i="5"/>
  <c r="HO57" i="5"/>
  <c r="HL58" i="5"/>
  <c r="HM58" i="5"/>
  <c r="HN58" i="5"/>
  <c r="HO58" i="5"/>
  <c r="HM59" i="5"/>
  <c r="HN59" i="5"/>
  <c r="HO59" i="5"/>
  <c r="HG43" i="5"/>
  <c r="HL20" i="5" l="1"/>
  <c r="HU20" i="5"/>
  <c r="HL15" i="5"/>
  <c r="HU15" i="5"/>
  <c r="HM12" i="5"/>
  <c r="HU12" i="5"/>
  <c r="HO15" i="5"/>
  <c r="HM8" i="5"/>
  <c r="HU8" i="5"/>
  <c r="HL8" i="5"/>
  <c r="HO12" i="5"/>
  <c r="HO60" i="5" s="1"/>
  <c r="HK60" i="5"/>
  <c r="HG49" i="5"/>
  <c r="HG9" i="5"/>
  <c r="HG8" i="5"/>
  <c r="HH9" i="5"/>
  <c r="HI9" i="5"/>
  <c r="HG10" i="5"/>
  <c r="HH10" i="5"/>
  <c r="HG11" i="5"/>
  <c r="HH11" i="5"/>
  <c r="HI11" i="5"/>
  <c r="HG12" i="5"/>
  <c r="HH12" i="5"/>
  <c r="HG13" i="5"/>
  <c r="HH13" i="5"/>
  <c r="HI13" i="5"/>
  <c r="HG14" i="5"/>
  <c r="HH14" i="5"/>
  <c r="HI14" i="5"/>
  <c r="HG15" i="5"/>
  <c r="HH15" i="5"/>
  <c r="HG16" i="5"/>
  <c r="HH16" i="5"/>
  <c r="HI16" i="5"/>
  <c r="HG17" i="5"/>
  <c r="HH17" i="5"/>
  <c r="HI17" i="5"/>
  <c r="HG18" i="5"/>
  <c r="HH18" i="5"/>
  <c r="HI18" i="5"/>
  <c r="HG19" i="5"/>
  <c r="HH19" i="5"/>
  <c r="HI19" i="5"/>
  <c r="HG20" i="5"/>
  <c r="HH20" i="5"/>
  <c r="HG21" i="5"/>
  <c r="HH21" i="5"/>
  <c r="HI21" i="5"/>
  <c r="HG22" i="5"/>
  <c r="HH22" i="5"/>
  <c r="HI22" i="5"/>
  <c r="HG23" i="5"/>
  <c r="HH23" i="5"/>
  <c r="HI23" i="5"/>
  <c r="HG24" i="5"/>
  <c r="HH24" i="5"/>
  <c r="HI24" i="5"/>
  <c r="HG25" i="5"/>
  <c r="HH25" i="5"/>
  <c r="HI25" i="5"/>
  <c r="HG26" i="5"/>
  <c r="HH26" i="5"/>
  <c r="HI26" i="5"/>
  <c r="HG27" i="5"/>
  <c r="HH27" i="5"/>
  <c r="HI27" i="5"/>
  <c r="HG28" i="5"/>
  <c r="HH28" i="5"/>
  <c r="HI28" i="5"/>
  <c r="HG29" i="5"/>
  <c r="HH29" i="5"/>
  <c r="HI29" i="5"/>
  <c r="HG30" i="5"/>
  <c r="HH30" i="5"/>
  <c r="HI30" i="5"/>
  <c r="HG31" i="5"/>
  <c r="HH31" i="5"/>
  <c r="HI31" i="5"/>
  <c r="HG32" i="5"/>
  <c r="HH32" i="5"/>
  <c r="HI32" i="5"/>
  <c r="HG33" i="5"/>
  <c r="HH33" i="5"/>
  <c r="HI33" i="5"/>
  <c r="HG34" i="5"/>
  <c r="HH34" i="5"/>
  <c r="HI34" i="5"/>
  <c r="HG35" i="5"/>
  <c r="HH35" i="5"/>
  <c r="HI35" i="5"/>
  <c r="HG36" i="5"/>
  <c r="HH36" i="5"/>
  <c r="HI36" i="5"/>
  <c r="HG37" i="5"/>
  <c r="HH37" i="5"/>
  <c r="HI37" i="5"/>
  <c r="HG38" i="5"/>
  <c r="HH38" i="5"/>
  <c r="HI38" i="5"/>
  <c r="HG39" i="5"/>
  <c r="HH39" i="5"/>
  <c r="HI39" i="5"/>
  <c r="HG40" i="5"/>
  <c r="HH40" i="5"/>
  <c r="HI40" i="5"/>
  <c r="HG41" i="5"/>
  <c r="HH41" i="5"/>
  <c r="HI41" i="5"/>
  <c r="HG42" i="5"/>
  <c r="HH42" i="5"/>
  <c r="HI42" i="5"/>
  <c r="HH43" i="5"/>
  <c r="HI43" i="5"/>
  <c r="HG44" i="5"/>
  <c r="HH44" i="5"/>
  <c r="HI44" i="5"/>
  <c r="HG45" i="5"/>
  <c r="HH45" i="5"/>
  <c r="HI45" i="5"/>
  <c r="HG46" i="5"/>
  <c r="HH46" i="5"/>
  <c r="HI46" i="5"/>
  <c r="HG47" i="5"/>
  <c r="HH47" i="5"/>
  <c r="HI47" i="5"/>
  <c r="HH49" i="5"/>
  <c r="HG50" i="5"/>
  <c r="HH50" i="5"/>
  <c r="HG51" i="5"/>
  <c r="HH51" i="5"/>
  <c r="HI51" i="5"/>
  <c r="HG52" i="5"/>
  <c r="HH52" i="5"/>
  <c r="HI52" i="5"/>
  <c r="HG53" i="5"/>
  <c r="HH53" i="5"/>
  <c r="HI53" i="5"/>
  <c r="HG54" i="5"/>
  <c r="HH54" i="5"/>
  <c r="HI54" i="5"/>
  <c r="HG55" i="5"/>
  <c r="HH55" i="5"/>
  <c r="HG56" i="5"/>
  <c r="HH56" i="5"/>
  <c r="HI56" i="5"/>
  <c r="HG57" i="5"/>
  <c r="HH57" i="5"/>
  <c r="HI57" i="5"/>
  <c r="HG58" i="5"/>
  <c r="HH58" i="5"/>
  <c r="HI58" i="5"/>
  <c r="HH59" i="5"/>
  <c r="HI59" i="5"/>
  <c r="HH8" i="5"/>
  <c r="HM60" i="5" l="1"/>
  <c r="HU60" i="5"/>
  <c r="HF60" i="5"/>
  <c r="HH60" i="5"/>
  <c r="HA12" i="5"/>
  <c r="HT12" i="5" s="1"/>
  <c r="HA55" i="5"/>
  <c r="HA50" i="5"/>
  <c r="HB9" i="5"/>
  <c r="HC9" i="5"/>
  <c r="HD9" i="5"/>
  <c r="HB11" i="5"/>
  <c r="HC11" i="5"/>
  <c r="HD11" i="5"/>
  <c r="HB13" i="5"/>
  <c r="HC13" i="5"/>
  <c r="HD13" i="5"/>
  <c r="HB14" i="5"/>
  <c r="HC14" i="5"/>
  <c r="HD14" i="5"/>
  <c r="HB16" i="5"/>
  <c r="HC16" i="5"/>
  <c r="HD16" i="5"/>
  <c r="HB17" i="5"/>
  <c r="HC17" i="5"/>
  <c r="HD17" i="5"/>
  <c r="HB18" i="5"/>
  <c r="HC18" i="5"/>
  <c r="HD18" i="5"/>
  <c r="HB19" i="5"/>
  <c r="HC19" i="5"/>
  <c r="HD19" i="5"/>
  <c r="HB21" i="5"/>
  <c r="HC21" i="5"/>
  <c r="HD21" i="5"/>
  <c r="HB22" i="5"/>
  <c r="HC22" i="5"/>
  <c r="HD22" i="5"/>
  <c r="HB23" i="5"/>
  <c r="HC23" i="5"/>
  <c r="HD23" i="5"/>
  <c r="HB24" i="5"/>
  <c r="HC24" i="5"/>
  <c r="HD24" i="5"/>
  <c r="HB25" i="5"/>
  <c r="HC25" i="5"/>
  <c r="HD25" i="5"/>
  <c r="HB26" i="5"/>
  <c r="HC26" i="5"/>
  <c r="HD26" i="5"/>
  <c r="HB27" i="5"/>
  <c r="HC27" i="5"/>
  <c r="HD27" i="5"/>
  <c r="HB28" i="5"/>
  <c r="HC28" i="5"/>
  <c r="HD28" i="5"/>
  <c r="HB29" i="5"/>
  <c r="HC29" i="5"/>
  <c r="HD29" i="5"/>
  <c r="HB30" i="5"/>
  <c r="HC30" i="5"/>
  <c r="HD30" i="5"/>
  <c r="HB31" i="5"/>
  <c r="HC31" i="5"/>
  <c r="HD31" i="5"/>
  <c r="HB32" i="5"/>
  <c r="HC32" i="5"/>
  <c r="HD32" i="5"/>
  <c r="HB33" i="5"/>
  <c r="HC33" i="5"/>
  <c r="HD33" i="5"/>
  <c r="HB34" i="5"/>
  <c r="HC34" i="5"/>
  <c r="HD34" i="5"/>
  <c r="HB35" i="5"/>
  <c r="HC35" i="5"/>
  <c r="HD35" i="5"/>
  <c r="HB36" i="5"/>
  <c r="HC36" i="5"/>
  <c r="HD36" i="5"/>
  <c r="HB37" i="5"/>
  <c r="HC37" i="5"/>
  <c r="HD37" i="5"/>
  <c r="HB38" i="5"/>
  <c r="HC38" i="5"/>
  <c r="HD38" i="5"/>
  <c r="HB39" i="5"/>
  <c r="HC39" i="5"/>
  <c r="HD39" i="5"/>
  <c r="HB40" i="5"/>
  <c r="HC40" i="5"/>
  <c r="HD40" i="5"/>
  <c r="HB41" i="5"/>
  <c r="HC41" i="5"/>
  <c r="HD41" i="5"/>
  <c r="HB42" i="5"/>
  <c r="HC42" i="5"/>
  <c r="HD42" i="5"/>
  <c r="HB43" i="5"/>
  <c r="HC43" i="5"/>
  <c r="HD43" i="5"/>
  <c r="HB44" i="5"/>
  <c r="HC44" i="5"/>
  <c r="HD44" i="5"/>
  <c r="HB45" i="5"/>
  <c r="HC45" i="5"/>
  <c r="HD45" i="5"/>
  <c r="HB46" i="5"/>
  <c r="HC46" i="5"/>
  <c r="HD46" i="5"/>
  <c r="HB47" i="5"/>
  <c r="HC47" i="5"/>
  <c r="HD47" i="5"/>
  <c r="HB51" i="5"/>
  <c r="HC51" i="5"/>
  <c r="HD51" i="5"/>
  <c r="HB52" i="5"/>
  <c r="HC52" i="5"/>
  <c r="HD52" i="5"/>
  <c r="HB53" i="5"/>
  <c r="HC53" i="5"/>
  <c r="HD53" i="5"/>
  <c r="HB54" i="5"/>
  <c r="HC54" i="5"/>
  <c r="HD54" i="5"/>
  <c r="HB56" i="5"/>
  <c r="HC56" i="5"/>
  <c r="HD56" i="5"/>
  <c r="HB57" i="5"/>
  <c r="HC57" i="5"/>
  <c r="HD57" i="5"/>
  <c r="HB58" i="5"/>
  <c r="HC58" i="5"/>
  <c r="HD58" i="5"/>
  <c r="HC59" i="5"/>
  <c r="HD59" i="5"/>
  <c r="HA49" i="5"/>
  <c r="HA20" i="5"/>
  <c r="HT20" i="5" s="1"/>
  <c r="HA15" i="5"/>
  <c r="HA10" i="5"/>
  <c r="HA8" i="5"/>
  <c r="GX54" i="5"/>
  <c r="GY54" i="5"/>
  <c r="GX55" i="5"/>
  <c r="GY55" i="5"/>
  <c r="GX56" i="5"/>
  <c r="GY56" i="5"/>
  <c r="GX57" i="5"/>
  <c r="GY57" i="5"/>
  <c r="GX58" i="5"/>
  <c r="GY58" i="5"/>
  <c r="GY59" i="5"/>
  <c r="HN8" i="5" l="1"/>
  <c r="HT8" i="5"/>
  <c r="HN49" i="5"/>
  <c r="HT49" i="5"/>
  <c r="HN10" i="5"/>
  <c r="HT10" i="5"/>
  <c r="HN50" i="5"/>
  <c r="HT50" i="5"/>
  <c r="HN15" i="5"/>
  <c r="HT15" i="5"/>
  <c r="HN55" i="5"/>
  <c r="HT55" i="5"/>
  <c r="HI20" i="5"/>
  <c r="HN20" i="5"/>
  <c r="HI12" i="5"/>
  <c r="HN12" i="5"/>
  <c r="HB8" i="5"/>
  <c r="HI8" i="5"/>
  <c r="HD49" i="5"/>
  <c r="HI49" i="5"/>
  <c r="HB49" i="5"/>
  <c r="HD15" i="5"/>
  <c r="HI15" i="5"/>
  <c r="HB12" i="5"/>
  <c r="HD55" i="5"/>
  <c r="HI55" i="5"/>
  <c r="HD12" i="5"/>
  <c r="HC10" i="5"/>
  <c r="HI10" i="5"/>
  <c r="HC12" i="5"/>
  <c r="HD50" i="5"/>
  <c r="HI50" i="5"/>
  <c r="HB15" i="5"/>
  <c r="HD8" i="5"/>
  <c r="HB55" i="5"/>
  <c r="HC49" i="5"/>
  <c r="HC15" i="5"/>
  <c r="HC55" i="5"/>
  <c r="HC8" i="5"/>
  <c r="HC50" i="5"/>
  <c r="HB20" i="5"/>
  <c r="HD10" i="5"/>
  <c r="HC20" i="5"/>
  <c r="HD20" i="5"/>
  <c r="HB10" i="5"/>
  <c r="HB50" i="5"/>
  <c r="HA60" i="5"/>
  <c r="GX9" i="5"/>
  <c r="GY9" i="5"/>
  <c r="GX10" i="5"/>
  <c r="GY10" i="5"/>
  <c r="GX11" i="5"/>
  <c r="GY11" i="5"/>
  <c r="GX12" i="5"/>
  <c r="GY12" i="5"/>
  <c r="GX13" i="5"/>
  <c r="GY13" i="5"/>
  <c r="GX14" i="5"/>
  <c r="GY14" i="5"/>
  <c r="GX15" i="5"/>
  <c r="GY15" i="5"/>
  <c r="GX16" i="5"/>
  <c r="GY16" i="5"/>
  <c r="GX17" i="5"/>
  <c r="GY17" i="5"/>
  <c r="GX18" i="5"/>
  <c r="GY18" i="5"/>
  <c r="GX19" i="5"/>
  <c r="GY19" i="5"/>
  <c r="GX20" i="5"/>
  <c r="GY20" i="5"/>
  <c r="GX21" i="5"/>
  <c r="GY21" i="5"/>
  <c r="GX22" i="5"/>
  <c r="GY22" i="5"/>
  <c r="GX23" i="5"/>
  <c r="GY23" i="5"/>
  <c r="GX24" i="5"/>
  <c r="GY24" i="5"/>
  <c r="GX25" i="5"/>
  <c r="GY25" i="5"/>
  <c r="GX26" i="5"/>
  <c r="GY26" i="5"/>
  <c r="GX27" i="5"/>
  <c r="GY27" i="5"/>
  <c r="GX28" i="5"/>
  <c r="GY28" i="5"/>
  <c r="GX29" i="5"/>
  <c r="GY29" i="5"/>
  <c r="GX30" i="5"/>
  <c r="GY30" i="5"/>
  <c r="GX31" i="5"/>
  <c r="GY31" i="5"/>
  <c r="GX32" i="5"/>
  <c r="GY32" i="5"/>
  <c r="GX33" i="5"/>
  <c r="GY33" i="5"/>
  <c r="GX34" i="5"/>
  <c r="GY34" i="5"/>
  <c r="GX35" i="5"/>
  <c r="GY35" i="5"/>
  <c r="GX36" i="5"/>
  <c r="GY36" i="5"/>
  <c r="GX37" i="5"/>
  <c r="GY37" i="5"/>
  <c r="GX38" i="5"/>
  <c r="GY38" i="5"/>
  <c r="GX39" i="5"/>
  <c r="GY39" i="5"/>
  <c r="GX40" i="5"/>
  <c r="GY40" i="5"/>
  <c r="GX41" i="5"/>
  <c r="GY41" i="5"/>
  <c r="GX42" i="5"/>
  <c r="GY42" i="5"/>
  <c r="GX43" i="5"/>
  <c r="GY43" i="5"/>
  <c r="GX44" i="5"/>
  <c r="GY44" i="5"/>
  <c r="GX45" i="5"/>
  <c r="GY45" i="5"/>
  <c r="GX46" i="5"/>
  <c r="GY46" i="5"/>
  <c r="GX47" i="5"/>
  <c r="GY47" i="5"/>
  <c r="GX49" i="5"/>
  <c r="GY49" i="5"/>
  <c r="GX50" i="5"/>
  <c r="GY50" i="5"/>
  <c r="GX51" i="5"/>
  <c r="GY51" i="5"/>
  <c r="GX52" i="5"/>
  <c r="GY52" i="5"/>
  <c r="GX53" i="5"/>
  <c r="GY53" i="5"/>
  <c r="GY8" i="5"/>
  <c r="GX8" i="5"/>
  <c r="GW60" i="5"/>
  <c r="GU53" i="5"/>
  <c r="GU14" i="5"/>
  <c r="GT60" i="5"/>
  <c r="GN60" i="5"/>
  <c r="GP60" i="5"/>
  <c r="GR60" i="5"/>
  <c r="GF60" i="5"/>
  <c r="GE8" i="5"/>
  <c r="GG8" i="5" s="1"/>
  <c r="GO8" i="5" s="1"/>
  <c r="GQ8" i="5" s="1"/>
  <c r="GE9" i="5"/>
  <c r="GG9" i="5" s="1"/>
  <c r="GO9" i="5" s="1"/>
  <c r="GQ9" i="5" s="1"/>
  <c r="GE10" i="5"/>
  <c r="GG10" i="5" s="1"/>
  <c r="GK10" i="5" s="1"/>
  <c r="GE11" i="5"/>
  <c r="GG11" i="5" s="1"/>
  <c r="GJ11" i="5" s="1"/>
  <c r="GE12" i="5"/>
  <c r="GG12" i="5" s="1"/>
  <c r="GO12" i="5" s="1"/>
  <c r="GQ12" i="5" s="1"/>
  <c r="GE13" i="5"/>
  <c r="GG13" i="5" s="1"/>
  <c r="GO13" i="5" s="1"/>
  <c r="GQ13" i="5" s="1"/>
  <c r="GE14" i="5"/>
  <c r="GG14" i="5" s="1"/>
  <c r="GK14" i="5" s="1"/>
  <c r="GE15" i="5"/>
  <c r="GG15" i="5" s="1"/>
  <c r="GJ15" i="5" s="1"/>
  <c r="GE16" i="5"/>
  <c r="GG16" i="5" s="1"/>
  <c r="GO16" i="5" s="1"/>
  <c r="GQ16" i="5" s="1"/>
  <c r="GE17" i="5"/>
  <c r="GG17" i="5" s="1"/>
  <c r="GO17" i="5" s="1"/>
  <c r="GQ17" i="5" s="1"/>
  <c r="GE18" i="5"/>
  <c r="GG18" i="5" s="1"/>
  <c r="GO18" i="5" s="1"/>
  <c r="GQ18" i="5" s="1"/>
  <c r="GE19" i="5"/>
  <c r="GG19" i="5" s="1"/>
  <c r="GJ19" i="5" s="1"/>
  <c r="GE20" i="5"/>
  <c r="GG20" i="5" s="1"/>
  <c r="GO20" i="5" s="1"/>
  <c r="GQ20" i="5" s="1"/>
  <c r="GE21" i="5"/>
  <c r="GG21" i="5" s="1"/>
  <c r="GO21" i="5" s="1"/>
  <c r="GQ21" i="5" s="1"/>
  <c r="GE22" i="5"/>
  <c r="GG22" i="5" s="1"/>
  <c r="GO22" i="5" s="1"/>
  <c r="GQ22" i="5" s="1"/>
  <c r="GE23" i="5"/>
  <c r="GG23" i="5" s="1"/>
  <c r="GJ23" i="5" s="1"/>
  <c r="GE24" i="5"/>
  <c r="GG24" i="5" s="1"/>
  <c r="GO24" i="5" s="1"/>
  <c r="GQ24" i="5" s="1"/>
  <c r="GE25" i="5"/>
  <c r="GG25" i="5" s="1"/>
  <c r="GO25" i="5" s="1"/>
  <c r="GQ25" i="5" s="1"/>
  <c r="GE26" i="5"/>
  <c r="GG26" i="5" s="1"/>
  <c r="GO26" i="5" s="1"/>
  <c r="GQ26" i="5" s="1"/>
  <c r="GE27" i="5"/>
  <c r="GG27" i="5" s="1"/>
  <c r="GJ27" i="5" s="1"/>
  <c r="GE28" i="5"/>
  <c r="GG28" i="5" s="1"/>
  <c r="GO28" i="5" s="1"/>
  <c r="GQ28" i="5" s="1"/>
  <c r="GE29" i="5"/>
  <c r="GG29" i="5" s="1"/>
  <c r="GO29" i="5" s="1"/>
  <c r="GQ29" i="5" s="1"/>
  <c r="GE30" i="5"/>
  <c r="GG30" i="5" s="1"/>
  <c r="GO30" i="5" s="1"/>
  <c r="GQ30" i="5" s="1"/>
  <c r="GE31" i="5"/>
  <c r="GG31" i="5" s="1"/>
  <c r="GJ31" i="5" s="1"/>
  <c r="GE32" i="5"/>
  <c r="GG32" i="5" s="1"/>
  <c r="GO32" i="5" s="1"/>
  <c r="GQ32" i="5" s="1"/>
  <c r="GE33" i="5"/>
  <c r="GG33" i="5" s="1"/>
  <c r="GO33" i="5" s="1"/>
  <c r="GQ33" i="5" s="1"/>
  <c r="GE34" i="5"/>
  <c r="GG34" i="5" s="1"/>
  <c r="GO34" i="5" s="1"/>
  <c r="GQ34" i="5" s="1"/>
  <c r="GE35" i="5"/>
  <c r="GG35" i="5" s="1"/>
  <c r="GO35" i="5" s="1"/>
  <c r="GQ35" i="5" s="1"/>
  <c r="GE36" i="5"/>
  <c r="GG36" i="5" s="1"/>
  <c r="GO36" i="5" s="1"/>
  <c r="GQ36" i="5" s="1"/>
  <c r="GE37" i="5"/>
  <c r="GG37" i="5" s="1"/>
  <c r="GO37" i="5" s="1"/>
  <c r="GQ37" i="5" s="1"/>
  <c r="GE38" i="5"/>
  <c r="GG38" i="5" s="1"/>
  <c r="GO38" i="5" s="1"/>
  <c r="GQ38" i="5" s="1"/>
  <c r="GE39" i="5"/>
  <c r="GG39" i="5" s="1"/>
  <c r="GO39" i="5" s="1"/>
  <c r="GQ39" i="5" s="1"/>
  <c r="GE40" i="5"/>
  <c r="GG40" i="5" s="1"/>
  <c r="GO40" i="5" s="1"/>
  <c r="GQ40" i="5" s="1"/>
  <c r="GE41" i="5"/>
  <c r="GG41" i="5" s="1"/>
  <c r="GO41" i="5" s="1"/>
  <c r="GQ41" i="5" s="1"/>
  <c r="GE42" i="5"/>
  <c r="GG42" i="5" s="1"/>
  <c r="GO42" i="5" s="1"/>
  <c r="GQ42" i="5" s="1"/>
  <c r="GE43" i="5"/>
  <c r="GG43" i="5" s="1"/>
  <c r="GO43" i="5" s="1"/>
  <c r="GQ43" i="5" s="1"/>
  <c r="GE44" i="5"/>
  <c r="GG44" i="5" s="1"/>
  <c r="GO44" i="5" s="1"/>
  <c r="GQ44" i="5" s="1"/>
  <c r="GE45" i="5"/>
  <c r="GG45" i="5" s="1"/>
  <c r="GO45" i="5" s="1"/>
  <c r="GQ45" i="5" s="1"/>
  <c r="GE46" i="5"/>
  <c r="GG46" i="5" s="1"/>
  <c r="GO46" i="5" s="1"/>
  <c r="GQ46" i="5" s="1"/>
  <c r="GE47" i="5"/>
  <c r="GG47" i="5" s="1"/>
  <c r="GO47" i="5" s="1"/>
  <c r="GQ47" i="5" s="1"/>
  <c r="GE49" i="5"/>
  <c r="GG49" i="5" s="1"/>
  <c r="GO49" i="5" s="1"/>
  <c r="GQ49" i="5" s="1"/>
  <c r="GE50" i="5"/>
  <c r="GG50" i="5" s="1"/>
  <c r="GO50" i="5" s="1"/>
  <c r="GQ50" i="5" s="1"/>
  <c r="GE51" i="5"/>
  <c r="GG51" i="5" s="1"/>
  <c r="GO51" i="5" s="1"/>
  <c r="GQ51" i="5" s="1"/>
  <c r="GE52" i="5"/>
  <c r="GG52" i="5" s="1"/>
  <c r="GO52" i="5" s="1"/>
  <c r="GQ52" i="5" s="1"/>
  <c r="GE54" i="5"/>
  <c r="GG54" i="5" s="1"/>
  <c r="GO54" i="5" s="1"/>
  <c r="GQ54" i="5" s="1"/>
  <c r="GE55" i="5"/>
  <c r="GG55" i="5" s="1"/>
  <c r="GO55" i="5" s="1"/>
  <c r="GQ55" i="5" s="1"/>
  <c r="GE56" i="5"/>
  <c r="GG56" i="5" s="1"/>
  <c r="GO56" i="5" s="1"/>
  <c r="GQ56" i="5" s="1"/>
  <c r="GE57" i="5"/>
  <c r="GG57" i="5" s="1"/>
  <c r="GO57" i="5" s="1"/>
  <c r="GQ57" i="5" s="1"/>
  <c r="GE58" i="5"/>
  <c r="GG58" i="5" s="1"/>
  <c r="GO58" i="5" s="1"/>
  <c r="GQ58" i="5" s="1"/>
  <c r="GE59" i="5"/>
  <c r="GG59" i="5" s="1"/>
  <c r="GO59" i="5" s="1"/>
  <c r="GQ59" i="5" s="1"/>
  <c r="FW43" i="5"/>
  <c r="GA43" i="5" s="1"/>
  <c r="FW30" i="5"/>
  <c r="FY30" i="5" s="1"/>
  <c r="FW20" i="5"/>
  <c r="FX20" i="5" s="1"/>
  <c r="FC46" i="5"/>
  <c r="FD46" i="5"/>
  <c r="FC28" i="5"/>
  <c r="FF28" i="5" s="1"/>
  <c r="FC22" i="5"/>
  <c r="FF22" i="5" s="1"/>
  <c r="FC19" i="5"/>
  <c r="FF19" i="5" s="1"/>
  <c r="FC10" i="5"/>
  <c r="FF10" i="5" s="1"/>
  <c r="GD60" i="5"/>
  <c r="FZ20" i="5"/>
  <c r="FY9" i="5"/>
  <c r="FZ9" i="5"/>
  <c r="GA9" i="5"/>
  <c r="FY10" i="5"/>
  <c r="FZ10" i="5"/>
  <c r="GA10" i="5"/>
  <c r="FX11" i="5"/>
  <c r="FY11" i="5"/>
  <c r="FZ11" i="5"/>
  <c r="GA11" i="5"/>
  <c r="FY12" i="5"/>
  <c r="FZ12" i="5"/>
  <c r="GA12" i="5"/>
  <c r="FY13" i="5"/>
  <c r="FZ13" i="5"/>
  <c r="GA13" i="5"/>
  <c r="FY14" i="5"/>
  <c r="FZ14" i="5"/>
  <c r="GA14" i="5"/>
  <c r="FY15" i="5"/>
  <c r="FZ15" i="5"/>
  <c r="GA15" i="5"/>
  <c r="FY16" i="5"/>
  <c r="FZ16" i="5"/>
  <c r="GA16" i="5"/>
  <c r="FY17" i="5"/>
  <c r="FZ17" i="5"/>
  <c r="GA17" i="5"/>
  <c r="FY18" i="5"/>
  <c r="FZ18" i="5"/>
  <c r="GA18" i="5"/>
  <c r="FY19" i="5"/>
  <c r="FZ19" i="5"/>
  <c r="GA19" i="5"/>
  <c r="FY21" i="5"/>
  <c r="FZ21" i="5"/>
  <c r="GA21" i="5"/>
  <c r="FY22" i="5"/>
  <c r="FZ22" i="5"/>
  <c r="GA22" i="5"/>
  <c r="FY23" i="5"/>
  <c r="FZ23" i="5"/>
  <c r="GA23" i="5"/>
  <c r="FY24" i="5"/>
  <c r="FZ24" i="5"/>
  <c r="GA24" i="5"/>
  <c r="FY25" i="5"/>
  <c r="FZ25" i="5"/>
  <c r="GA25" i="5"/>
  <c r="FY26" i="5"/>
  <c r="FZ26" i="5"/>
  <c r="GA26" i="5"/>
  <c r="FY27" i="5"/>
  <c r="FZ27" i="5"/>
  <c r="GA27" i="5"/>
  <c r="FY28" i="5"/>
  <c r="FZ28" i="5"/>
  <c r="GA28" i="5"/>
  <c r="FY29" i="5"/>
  <c r="FZ29" i="5"/>
  <c r="GA29" i="5"/>
  <c r="FY31" i="5"/>
  <c r="FZ31" i="5"/>
  <c r="GA31" i="5"/>
  <c r="FY32" i="5"/>
  <c r="FZ32" i="5"/>
  <c r="GA32" i="5"/>
  <c r="FY33" i="5"/>
  <c r="FZ33" i="5"/>
  <c r="GA33" i="5"/>
  <c r="FY34" i="5"/>
  <c r="FZ34" i="5"/>
  <c r="GA34" i="5"/>
  <c r="FY35" i="5"/>
  <c r="FZ35" i="5"/>
  <c r="GA35" i="5"/>
  <c r="FY36" i="5"/>
  <c r="FZ36" i="5"/>
  <c r="GA36" i="5"/>
  <c r="FY37" i="5"/>
  <c r="FZ37" i="5"/>
  <c r="GA37" i="5"/>
  <c r="FY38" i="5"/>
  <c r="FZ38" i="5"/>
  <c r="GA38" i="5"/>
  <c r="FY39" i="5"/>
  <c r="FZ39" i="5"/>
  <c r="GA39" i="5"/>
  <c r="FX40" i="5"/>
  <c r="FY40" i="5"/>
  <c r="FZ40" i="5"/>
  <c r="GA40" i="5"/>
  <c r="FY41" i="5"/>
  <c r="FZ41" i="5"/>
  <c r="GA41" i="5"/>
  <c r="FY42" i="5"/>
  <c r="FZ42" i="5"/>
  <c r="GA42" i="5"/>
  <c r="FY44" i="5"/>
  <c r="FZ44" i="5"/>
  <c r="GA44" i="5"/>
  <c r="FY45" i="5"/>
  <c r="FZ45" i="5"/>
  <c r="GA45" i="5"/>
  <c r="FY46" i="5"/>
  <c r="FZ46" i="5"/>
  <c r="GA46" i="5"/>
  <c r="FY47" i="5"/>
  <c r="FZ47" i="5"/>
  <c r="GA47" i="5"/>
  <c r="GA8" i="5"/>
  <c r="GA49" i="5"/>
  <c r="GA50" i="5"/>
  <c r="GA51" i="5"/>
  <c r="GA52" i="5"/>
  <c r="GA54" i="5"/>
  <c r="GA55" i="5"/>
  <c r="GA56" i="5"/>
  <c r="GA57" i="5"/>
  <c r="GA58" i="5"/>
  <c r="GA59" i="5"/>
  <c r="FY49" i="5"/>
  <c r="FZ49" i="5"/>
  <c r="FY50" i="5"/>
  <c r="FZ50" i="5"/>
  <c r="FY51" i="5"/>
  <c r="FZ51" i="5"/>
  <c r="FY52" i="5"/>
  <c r="FZ52" i="5"/>
  <c r="FY54" i="5"/>
  <c r="FZ54" i="5"/>
  <c r="FY55" i="5"/>
  <c r="FZ55" i="5"/>
  <c r="FY56" i="5"/>
  <c r="FZ56" i="5"/>
  <c r="FY57" i="5"/>
  <c r="FZ57" i="5"/>
  <c r="FY58" i="5"/>
  <c r="FZ58" i="5"/>
  <c r="FY59" i="5"/>
  <c r="FZ59" i="5"/>
  <c r="FZ8" i="5"/>
  <c r="FY8" i="5"/>
  <c r="FY20" i="5"/>
  <c r="GC60" i="5"/>
  <c r="FT9" i="5"/>
  <c r="FU9" i="5"/>
  <c r="FT10" i="5"/>
  <c r="FU10" i="5"/>
  <c r="FT11" i="5"/>
  <c r="FU11" i="5"/>
  <c r="FT12" i="5"/>
  <c r="FU12" i="5"/>
  <c r="FT13" i="5"/>
  <c r="FU13" i="5"/>
  <c r="FT14" i="5"/>
  <c r="FU14" i="5"/>
  <c r="FT15" i="5"/>
  <c r="FU15" i="5"/>
  <c r="FT16" i="5"/>
  <c r="FU16" i="5"/>
  <c r="FT17" i="5"/>
  <c r="FU17" i="5"/>
  <c r="FT18" i="5"/>
  <c r="FU18" i="5"/>
  <c r="FT19" i="5"/>
  <c r="FT8" i="5"/>
  <c r="FT20" i="5"/>
  <c r="FT21" i="5"/>
  <c r="FT22" i="5"/>
  <c r="FT23" i="5"/>
  <c r="FT24" i="5"/>
  <c r="FT25" i="5"/>
  <c r="FT26" i="5"/>
  <c r="FT27" i="5"/>
  <c r="FT28" i="5"/>
  <c r="FT29" i="5"/>
  <c r="FT30" i="5"/>
  <c r="FT31" i="5"/>
  <c r="FT32" i="5"/>
  <c r="FT33" i="5"/>
  <c r="FT34" i="5"/>
  <c r="FT35" i="5"/>
  <c r="FT36" i="5"/>
  <c r="FT37" i="5"/>
  <c r="FT39" i="5"/>
  <c r="FT40" i="5"/>
  <c r="FT41" i="5"/>
  <c r="FT42" i="5"/>
  <c r="FT43" i="5"/>
  <c r="FT44" i="5"/>
  <c r="FT45" i="5"/>
  <c r="FT46" i="5"/>
  <c r="FT47" i="5"/>
  <c r="FT49" i="5"/>
  <c r="FT50" i="5"/>
  <c r="FT51" i="5"/>
  <c r="FT52" i="5"/>
  <c r="FT54" i="5"/>
  <c r="FT55" i="5"/>
  <c r="FT56" i="5"/>
  <c r="FT57" i="5"/>
  <c r="FT58" i="5"/>
  <c r="FT59" i="5"/>
  <c r="FU19" i="5"/>
  <c r="FU20" i="5"/>
  <c r="FU21" i="5"/>
  <c r="FU22" i="5"/>
  <c r="FU23" i="5"/>
  <c r="FU24" i="5"/>
  <c r="FU25" i="5"/>
  <c r="FU26" i="5"/>
  <c r="FU27" i="5"/>
  <c r="FU28" i="5"/>
  <c r="FU29" i="5"/>
  <c r="FU30" i="5"/>
  <c r="FU31" i="5"/>
  <c r="FU32" i="5"/>
  <c r="FU33" i="5"/>
  <c r="FU34" i="5"/>
  <c r="FU35" i="5"/>
  <c r="FU36" i="5"/>
  <c r="FU37" i="5"/>
  <c r="FU38" i="5"/>
  <c r="FU39" i="5"/>
  <c r="FU40" i="5"/>
  <c r="FU41" i="5"/>
  <c r="FU42" i="5"/>
  <c r="FU43" i="5"/>
  <c r="FU44" i="5"/>
  <c r="FU45" i="5"/>
  <c r="FU46" i="5"/>
  <c r="FU47" i="5"/>
  <c r="FU8" i="5"/>
  <c r="FU49" i="5"/>
  <c r="FU50" i="5"/>
  <c r="FU51" i="5"/>
  <c r="FU52" i="5"/>
  <c r="FU54" i="5"/>
  <c r="FU55" i="5"/>
  <c r="FU56" i="5"/>
  <c r="FU57" i="5"/>
  <c r="FU58" i="5"/>
  <c r="FU59" i="5"/>
  <c r="FS11" i="5"/>
  <c r="FS20" i="5"/>
  <c r="FS40" i="5"/>
  <c r="FO40" i="5"/>
  <c r="FR60" i="5"/>
  <c r="FO32" i="5"/>
  <c r="FP32" i="5"/>
  <c r="FO33" i="5"/>
  <c r="FP33" i="5"/>
  <c r="FO34" i="5"/>
  <c r="FP34" i="5"/>
  <c r="FO35" i="5"/>
  <c r="FP35" i="5"/>
  <c r="FP9" i="5"/>
  <c r="FP8" i="5"/>
  <c r="FP10" i="5"/>
  <c r="FP11" i="5"/>
  <c r="FP12" i="5"/>
  <c r="FP13" i="5"/>
  <c r="FP14" i="5"/>
  <c r="FP15" i="5"/>
  <c r="FP16" i="5"/>
  <c r="FP17" i="5"/>
  <c r="FP18" i="5"/>
  <c r="FP19" i="5"/>
  <c r="FP20" i="5"/>
  <c r="FP21" i="5"/>
  <c r="FP22" i="5"/>
  <c r="FP23" i="5"/>
  <c r="FP24" i="5"/>
  <c r="FP25" i="5"/>
  <c r="FP26" i="5"/>
  <c r="FP27" i="5"/>
  <c r="FP28" i="5"/>
  <c r="FP29" i="5"/>
  <c r="FP30" i="5"/>
  <c r="FP31" i="5"/>
  <c r="FP36" i="5"/>
  <c r="FP37" i="5"/>
  <c r="FP38" i="5"/>
  <c r="FP39" i="5"/>
  <c r="FP41" i="5"/>
  <c r="FP42" i="5"/>
  <c r="FP43" i="5"/>
  <c r="FP44" i="5"/>
  <c r="FP45" i="5"/>
  <c r="FP46" i="5"/>
  <c r="FP47" i="5"/>
  <c r="FP49" i="5"/>
  <c r="FP50" i="5"/>
  <c r="FP51" i="5"/>
  <c r="FP52" i="5"/>
  <c r="FP54" i="5"/>
  <c r="FP55" i="5"/>
  <c r="FP56" i="5"/>
  <c r="FP57" i="5"/>
  <c r="FP58" i="5"/>
  <c r="FP59" i="5"/>
  <c r="FO9" i="5"/>
  <c r="FO10" i="5"/>
  <c r="FN11" i="5"/>
  <c r="FO11" i="5"/>
  <c r="FO12" i="5"/>
  <c r="FO13" i="5"/>
  <c r="FO14" i="5"/>
  <c r="FO15" i="5"/>
  <c r="FO16" i="5"/>
  <c r="FO17" i="5"/>
  <c r="FO18" i="5"/>
  <c r="FO19" i="5"/>
  <c r="FO20" i="5"/>
  <c r="FO21" i="5"/>
  <c r="FO22" i="5"/>
  <c r="FO23" i="5"/>
  <c r="FO24" i="5"/>
  <c r="FO25" i="5"/>
  <c r="FO26" i="5"/>
  <c r="FO27" i="5"/>
  <c r="FO28" i="5"/>
  <c r="FO29" i="5"/>
  <c r="FO30" i="5"/>
  <c r="FO31" i="5"/>
  <c r="FO36" i="5"/>
  <c r="FO37" i="5"/>
  <c r="FO38" i="5"/>
  <c r="FO39" i="5"/>
  <c r="FO41" i="5"/>
  <c r="FO42" i="5"/>
  <c r="FO43" i="5"/>
  <c r="FO44" i="5"/>
  <c r="FO45" i="5"/>
  <c r="FO46" i="5"/>
  <c r="FO47" i="5"/>
  <c r="FO49" i="5"/>
  <c r="FO50" i="5"/>
  <c r="FO51" i="5"/>
  <c r="FO52" i="5"/>
  <c r="FO54" i="5"/>
  <c r="FO55" i="5"/>
  <c r="FO56" i="5"/>
  <c r="FO57" i="5"/>
  <c r="FO58" i="5"/>
  <c r="FO59" i="5"/>
  <c r="FO8" i="5"/>
  <c r="FM60" i="5"/>
  <c r="FL9" i="5"/>
  <c r="FL10" i="5"/>
  <c r="FL11" i="5"/>
  <c r="FL12" i="5"/>
  <c r="FL13" i="5"/>
  <c r="FL14" i="5"/>
  <c r="FL15" i="5"/>
  <c r="FL16" i="5"/>
  <c r="FL17" i="5"/>
  <c r="FL18" i="5"/>
  <c r="FL19" i="5"/>
  <c r="FL20" i="5"/>
  <c r="FL21" i="5"/>
  <c r="FL22" i="5"/>
  <c r="FL23" i="5"/>
  <c r="FL24" i="5"/>
  <c r="FL25" i="5"/>
  <c r="FL26" i="5"/>
  <c r="FL27" i="5"/>
  <c r="FL28" i="5"/>
  <c r="FL29" i="5"/>
  <c r="FL30" i="5"/>
  <c r="FL31" i="5"/>
  <c r="FL32" i="5"/>
  <c r="FL33" i="5"/>
  <c r="FL34" i="5"/>
  <c r="FL35" i="5"/>
  <c r="FL36" i="5"/>
  <c r="FL37" i="5"/>
  <c r="FL38" i="5"/>
  <c r="FL39" i="5"/>
  <c r="FL41" i="5"/>
  <c r="FL42" i="5"/>
  <c r="FL43" i="5"/>
  <c r="FL44" i="5"/>
  <c r="FL45" i="5"/>
  <c r="FL46" i="5"/>
  <c r="FL47" i="5"/>
  <c r="FL49" i="5"/>
  <c r="FL50" i="5"/>
  <c r="FL51" i="5"/>
  <c r="FL52" i="5"/>
  <c r="FL54" i="5"/>
  <c r="FL55" i="5"/>
  <c r="FL56" i="5"/>
  <c r="FL57" i="5"/>
  <c r="FL58" i="5"/>
  <c r="FL59" i="5"/>
  <c r="FL8" i="5"/>
  <c r="FJ60" i="5"/>
  <c r="FK11" i="5"/>
  <c r="FH11" i="5"/>
  <c r="FD8" i="5"/>
  <c r="FD43" i="5"/>
  <c r="FD30" i="5"/>
  <c r="FD20" i="5"/>
  <c r="FD17" i="5"/>
  <c r="FG60" i="5"/>
  <c r="FE60" i="5"/>
  <c r="FB60" i="5"/>
  <c r="FC9" i="5"/>
  <c r="FF9" i="5" s="1"/>
  <c r="FC12" i="5"/>
  <c r="FF12" i="5" s="1"/>
  <c r="FC13" i="5"/>
  <c r="FF13" i="5" s="1"/>
  <c r="FC14" i="5"/>
  <c r="FF14" i="5" s="1"/>
  <c r="FC16" i="5"/>
  <c r="FF16" i="5" s="1"/>
  <c r="FC17" i="5"/>
  <c r="FC20" i="5"/>
  <c r="FH20" i="5"/>
  <c r="FC21" i="5"/>
  <c r="FF21" i="5" s="1"/>
  <c r="FC24" i="5"/>
  <c r="FF24" i="5" s="1"/>
  <c r="FC25" i="5"/>
  <c r="FF25" i="5" s="1"/>
  <c r="FC26" i="5"/>
  <c r="FF26" i="5" s="1"/>
  <c r="FC27" i="5"/>
  <c r="FF27" i="5" s="1"/>
  <c r="FC31" i="5"/>
  <c r="FF31" i="5" s="1"/>
  <c r="FC32" i="5"/>
  <c r="FF32" i="5" s="1"/>
  <c r="FC33" i="5"/>
  <c r="FF33" i="5" s="1"/>
  <c r="FC34" i="5"/>
  <c r="FF34" i="5" s="1"/>
  <c r="FC35" i="5"/>
  <c r="FF35" i="5" s="1"/>
  <c r="FC36" i="5"/>
  <c r="FF36" i="5" s="1"/>
  <c r="FC37" i="5"/>
  <c r="FF37" i="5" s="1"/>
  <c r="FC38" i="5"/>
  <c r="FF38" i="5" s="1"/>
  <c r="FC39" i="5"/>
  <c r="FF39" i="5" s="1"/>
  <c r="FC41" i="5"/>
  <c r="FF41" i="5" s="1"/>
  <c r="FC42" i="5"/>
  <c r="FF42" i="5" s="1"/>
  <c r="FC44" i="5"/>
  <c r="FF44" i="5" s="1"/>
  <c r="FC45" i="5"/>
  <c r="FF45" i="5" s="1"/>
  <c r="FC47" i="5"/>
  <c r="FF47" i="5" s="1"/>
  <c r="FC50" i="5"/>
  <c r="FF50" i="5" s="1"/>
  <c r="FC51" i="5"/>
  <c r="FF51" i="5" s="1"/>
  <c r="FC52" i="5"/>
  <c r="FF52" i="5" s="1"/>
  <c r="FC54" i="5"/>
  <c r="FF54" i="5" s="1"/>
  <c r="FC55" i="5"/>
  <c r="FF55" i="5" s="1"/>
  <c r="FC56" i="5"/>
  <c r="FF56" i="5" s="1"/>
  <c r="FC57" i="5"/>
  <c r="FF57" i="5" s="1"/>
  <c r="FC59" i="5"/>
  <c r="FF59" i="5" s="1"/>
  <c r="EZ8" i="5"/>
  <c r="FA8" i="5" s="1"/>
  <c r="EY9" i="5"/>
  <c r="EY10" i="5"/>
  <c r="EY12" i="5"/>
  <c r="EY13" i="5"/>
  <c r="EY14" i="5"/>
  <c r="EY16" i="5"/>
  <c r="EY17" i="5"/>
  <c r="EY19" i="5"/>
  <c r="EY20" i="5"/>
  <c r="EY21" i="5"/>
  <c r="EY22" i="5"/>
  <c r="EY24" i="5"/>
  <c r="EY25" i="5"/>
  <c r="EY26" i="5"/>
  <c r="EY27" i="5"/>
  <c r="EY28" i="5"/>
  <c r="EY31" i="5"/>
  <c r="EY32" i="5"/>
  <c r="EY33" i="5"/>
  <c r="EY34" i="5"/>
  <c r="EY35" i="5"/>
  <c r="EY36" i="5"/>
  <c r="EY37" i="5"/>
  <c r="EY38" i="5"/>
  <c r="EY39" i="5"/>
  <c r="EY41" i="5"/>
  <c r="EY42" i="5"/>
  <c r="EY44" i="5"/>
  <c r="EY45" i="5"/>
  <c r="EY46" i="5"/>
  <c r="EY47" i="5"/>
  <c r="EY50" i="5"/>
  <c r="EY51" i="5"/>
  <c r="EY52" i="5"/>
  <c r="EY54" i="5"/>
  <c r="EY55" i="5"/>
  <c r="EY56" i="5"/>
  <c r="EY57" i="5"/>
  <c r="EY59" i="5"/>
  <c r="FA9" i="5"/>
  <c r="FA10" i="5"/>
  <c r="FA12" i="5"/>
  <c r="FA13" i="5"/>
  <c r="FA14" i="5"/>
  <c r="FA16" i="5"/>
  <c r="FA17" i="5"/>
  <c r="FA19" i="5"/>
  <c r="EZ15" i="5"/>
  <c r="FC15" i="5" s="1"/>
  <c r="FF15" i="5" s="1"/>
  <c r="EV15" i="5"/>
  <c r="EW15" i="5" s="1"/>
  <c r="EZ18" i="5"/>
  <c r="FA18" i="5" s="1"/>
  <c r="FA20" i="5"/>
  <c r="DW21" i="5"/>
  <c r="ER21" i="5" s="1"/>
  <c r="FA22" i="5"/>
  <c r="EZ23" i="5"/>
  <c r="FA23" i="5" s="1"/>
  <c r="FA24" i="5"/>
  <c r="FA25" i="5"/>
  <c r="FA26" i="5"/>
  <c r="FA27" i="5"/>
  <c r="FA28" i="5"/>
  <c r="EZ29" i="5"/>
  <c r="FC29" i="5" s="1"/>
  <c r="FF29" i="5" s="1"/>
  <c r="EZ30" i="5"/>
  <c r="FC30" i="5" s="1"/>
  <c r="FA31" i="5"/>
  <c r="FA32" i="5"/>
  <c r="FA33" i="5"/>
  <c r="FA34" i="5"/>
  <c r="FA35" i="5"/>
  <c r="FA36" i="5"/>
  <c r="FA37" i="5"/>
  <c r="FA38" i="5"/>
  <c r="FA39" i="5"/>
  <c r="FA41" i="5"/>
  <c r="FA42" i="5"/>
  <c r="EZ43" i="5"/>
  <c r="FC43" i="5" s="1"/>
  <c r="FA44" i="5"/>
  <c r="FA45" i="5"/>
  <c r="FA46" i="5"/>
  <c r="FA47" i="5"/>
  <c r="EZ49" i="5"/>
  <c r="FC49" i="5" s="1"/>
  <c r="FF49" i="5" s="1"/>
  <c r="FA50" i="5"/>
  <c r="FA51" i="5"/>
  <c r="FA52" i="5"/>
  <c r="FA54" i="5"/>
  <c r="FA55" i="5"/>
  <c r="FA56" i="5"/>
  <c r="FA57" i="5"/>
  <c r="EZ58" i="5"/>
  <c r="FA58" i="5" s="1"/>
  <c r="FA59" i="5"/>
  <c r="EW9" i="5"/>
  <c r="EX9" i="5"/>
  <c r="EW10" i="5"/>
  <c r="EX10" i="5"/>
  <c r="EW12" i="5"/>
  <c r="EX12" i="5"/>
  <c r="EW13" i="5"/>
  <c r="EX13" i="5"/>
  <c r="EW14" i="5"/>
  <c r="EX14" i="5"/>
  <c r="EW16" i="5"/>
  <c r="EX16" i="5"/>
  <c r="EW17" i="5"/>
  <c r="EX17" i="5"/>
  <c r="EW19" i="5"/>
  <c r="EX19" i="5"/>
  <c r="EW20" i="5"/>
  <c r="EX20" i="5"/>
  <c r="EX21" i="5"/>
  <c r="EW22" i="5"/>
  <c r="EX22" i="5"/>
  <c r="EW24" i="5"/>
  <c r="EX24" i="5"/>
  <c r="EW25" i="5"/>
  <c r="EX25" i="5"/>
  <c r="EW26" i="5"/>
  <c r="EX26" i="5"/>
  <c r="EW27" i="5"/>
  <c r="EX27" i="5"/>
  <c r="EW28" i="5"/>
  <c r="EX28" i="5"/>
  <c r="EW31" i="5"/>
  <c r="EX31" i="5"/>
  <c r="EW32" i="5"/>
  <c r="EX32" i="5"/>
  <c r="EW33" i="5"/>
  <c r="EX33" i="5"/>
  <c r="EW34" i="5"/>
  <c r="EX34" i="5"/>
  <c r="EW35" i="5"/>
  <c r="EX35" i="5"/>
  <c r="EW36" i="5"/>
  <c r="EX36" i="5"/>
  <c r="EW37" i="5"/>
  <c r="EX37" i="5"/>
  <c r="EW38" i="5"/>
  <c r="EX38" i="5"/>
  <c r="EW39" i="5"/>
  <c r="EX39" i="5"/>
  <c r="EW41" i="5"/>
  <c r="EX41" i="5"/>
  <c r="EW42" i="5"/>
  <c r="EX42" i="5"/>
  <c r="EW44" i="5"/>
  <c r="EX44" i="5"/>
  <c r="EW45" i="5"/>
  <c r="EX45" i="5"/>
  <c r="EW46" i="5"/>
  <c r="EX46" i="5"/>
  <c r="EW47" i="5"/>
  <c r="EX47" i="5"/>
  <c r="EW50" i="5"/>
  <c r="EX50" i="5"/>
  <c r="EW51" i="5"/>
  <c r="EX51" i="5"/>
  <c r="EW52" i="5"/>
  <c r="EX52" i="5"/>
  <c r="EW54" i="5"/>
  <c r="EX54" i="5"/>
  <c r="EW55" i="5"/>
  <c r="EX55" i="5"/>
  <c r="EW56" i="5"/>
  <c r="EX56" i="5"/>
  <c r="EW57" i="5"/>
  <c r="EX57" i="5"/>
  <c r="EW59" i="5"/>
  <c r="EX59" i="5"/>
  <c r="EV58" i="5"/>
  <c r="EX58" i="5" s="1"/>
  <c r="EV49" i="5"/>
  <c r="EX49" i="5" s="1"/>
  <c r="EV43" i="5"/>
  <c r="EX43" i="5" s="1"/>
  <c r="EV18" i="5"/>
  <c r="EW18" i="5" s="1"/>
  <c r="EV8" i="5"/>
  <c r="EX8" i="5" s="1"/>
  <c r="EV30" i="5"/>
  <c r="EW30" i="5" s="1"/>
  <c r="EV29" i="5"/>
  <c r="EW29" i="5" s="1"/>
  <c r="EV23" i="5"/>
  <c r="EW23" i="5" s="1"/>
  <c r="ER9" i="5"/>
  <c r="ER10" i="5"/>
  <c r="ER12" i="5"/>
  <c r="ER13" i="5"/>
  <c r="ER14" i="5"/>
  <c r="ER16" i="5"/>
  <c r="ER17" i="5"/>
  <c r="ER18" i="5"/>
  <c r="ER19" i="5"/>
  <c r="ER20" i="5"/>
  <c r="ER22" i="5"/>
  <c r="ER24" i="5"/>
  <c r="ER25" i="5"/>
  <c r="ER26" i="5"/>
  <c r="ER27" i="5"/>
  <c r="ER28" i="5"/>
  <c r="ER31" i="5"/>
  <c r="ER32" i="5"/>
  <c r="ER33" i="5"/>
  <c r="ER34" i="5"/>
  <c r="ER35" i="5"/>
  <c r="ER36" i="5"/>
  <c r="ER37" i="5"/>
  <c r="ER38" i="5"/>
  <c r="ER39" i="5"/>
  <c r="ER41" i="5"/>
  <c r="ER42" i="5"/>
  <c r="ER43" i="5"/>
  <c r="ER44" i="5"/>
  <c r="ER45" i="5"/>
  <c r="ER46" i="5"/>
  <c r="ER47" i="5"/>
  <c r="ER49" i="5"/>
  <c r="ER50" i="5"/>
  <c r="ER51" i="5"/>
  <c r="ER52" i="5"/>
  <c r="ER54" i="5"/>
  <c r="ER55" i="5"/>
  <c r="ER56" i="5"/>
  <c r="ER57" i="5"/>
  <c r="ER58" i="5"/>
  <c r="ER59" i="5"/>
  <c r="ER8" i="5"/>
  <c r="CR60" i="5"/>
  <c r="CS60" i="5"/>
  <c r="CX60" i="5"/>
  <c r="DG60" i="5"/>
  <c r="DN60" i="5"/>
  <c r="DP60" i="5"/>
  <c r="DQ60" i="5"/>
  <c r="DT60" i="5"/>
  <c r="FK20" i="5"/>
  <c r="FN20" i="5"/>
  <c r="EU10" i="5"/>
  <c r="EU12" i="5"/>
  <c r="EU13" i="5"/>
  <c r="EU14" i="5"/>
  <c r="EU16" i="5"/>
  <c r="EU17" i="5"/>
  <c r="EU18" i="5"/>
  <c r="EU19" i="5"/>
  <c r="EL8" i="5"/>
  <c r="EN8" i="5" s="1"/>
  <c r="EL9" i="5"/>
  <c r="EU9" i="5" s="1"/>
  <c r="EQ15" i="5"/>
  <c r="EL15" i="5"/>
  <c r="EP15" i="5" s="1"/>
  <c r="EL20" i="5"/>
  <c r="EU20" i="5" s="1"/>
  <c r="EL21" i="5"/>
  <c r="EU21" i="5" s="1"/>
  <c r="EU22" i="5"/>
  <c r="EQ23" i="5"/>
  <c r="ET23" i="5" s="1"/>
  <c r="EL23" i="5"/>
  <c r="EO23" i="5" s="1"/>
  <c r="EU24" i="5"/>
  <c r="EU25" i="5"/>
  <c r="EU26" i="5"/>
  <c r="EU27" i="5"/>
  <c r="EU28" i="5"/>
  <c r="EQ29" i="5"/>
  <c r="ER29" i="5" s="1"/>
  <c r="EL29" i="5"/>
  <c r="EO29" i="5" s="1"/>
  <c r="EQ30" i="5"/>
  <c r="ET30" i="5" s="1"/>
  <c r="EL30" i="5"/>
  <c r="EO30" i="5" s="1"/>
  <c r="EU31" i="5"/>
  <c r="EU32" i="5"/>
  <c r="EU33" i="5"/>
  <c r="EU34" i="5"/>
  <c r="EU35" i="5"/>
  <c r="EL36" i="5"/>
  <c r="EU36" i="5" s="1"/>
  <c r="EU37" i="5"/>
  <c r="EU38" i="5"/>
  <c r="EU39" i="5"/>
  <c r="EU41" i="5"/>
  <c r="EU42" i="5"/>
  <c r="EL43" i="5"/>
  <c r="EU43" i="5" s="1"/>
  <c r="EU44" i="5"/>
  <c r="EU45" i="5"/>
  <c r="EU46" i="5"/>
  <c r="EU47" i="5"/>
  <c r="EL49" i="5"/>
  <c r="EU49" i="5" s="1"/>
  <c r="EU50" i="5"/>
  <c r="EU51" i="5"/>
  <c r="EU52" i="5"/>
  <c r="EU54" i="5"/>
  <c r="EU55" i="5"/>
  <c r="EU56" i="5"/>
  <c r="EU57" i="5"/>
  <c r="EU58" i="5"/>
  <c r="EU59" i="5"/>
  <c r="ES9" i="5"/>
  <c r="ET9" i="5"/>
  <c r="ES10" i="5"/>
  <c r="ET10" i="5"/>
  <c r="ES12" i="5"/>
  <c r="ET12" i="5"/>
  <c r="ES13" i="5"/>
  <c r="ET13" i="5"/>
  <c r="ES14" i="5"/>
  <c r="ET14" i="5"/>
  <c r="ES16" i="5"/>
  <c r="ET16" i="5"/>
  <c r="ES17" i="5"/>
  <c r="ET17" i="5"/>
  <c r="ES18" i="5"/>
  <c r="ET18" i="5"/>
  <c r="ES19" i="5"/>
  <c r="ET19" i="5"/>
  <c r="ES20" i="5"/>
  <c r="ET20" i="5"/>
  <c r="ES21" i="5"/>
  <c r="ET21" i="5"/>
  <c r="ES22" i="5"/>
  <c r="ET22" i="5"/>
  <c r="ES24" i="5"/>
  <c r="ET24" i="5"/>
  <c r="ES25" i="5"/>
  <c r="ET25" i="5"/>
  <c r="ES26" i="5"/>
  <c r="ET26" i="5"/>
  <c r="ES27" i="5"/>
  <c r="ET27" i="5"/>
  <c r="ES28" i="5"/>
  <c r="ET28" i="5"/>
  <c r="ES31" i="5"/>
  <c r="ET31" i="5"/>
  <c r="ES32" i="5"/>
  <c r="ET32" i="5"/>
  <c r="ES33" i="5"/>
  <c r="ET33" i="5"/>
  <c r="ES34" i="5"/>
  <c r="ET34" i="5"/>
  <c r="ES35" i="5"/>
  <c r="ET35" i="5"/>
  <c r="ES36" i="5"/>
  <c r="ET36" i="5"/>
  <c r="ES37" i="5"/>
  <c r="ET37" i="5"/>
  <c r="ES38" i="5"/>
  <c r="ET38" i="5"/>
  <c r="ES39" i="5"/>
  <c r="ET39" i="5"/>
  <c r="ES41" i="5"/>
  <c r="ET41" i="5"/>
  <c r="ES42" i="5"/>
  <c r="ET42" i="5"/>
  <c r="ES43" i="5"/>
  <c r="ET43" i="5"/>
  <c r="ES44" i="5"/>
  <c r="ET44" i="5"/>
  <c r="ES45" i="5"/>
  <c r="ET45" i="5"/>
  <c r="ES46" i="5"/>
  <c r="ET46" i="5"/>
  <c r="ES47" i="5"/>
  <c r="ET47" i="5"/>
  <c r="ES49" i="5"/>
  <c r="ET49" i="5"/>
  <c r="ES50" i="5"/>
  <c r="ET50" i="5"/>
  <c r="ES51" i="5"/>
  <c r="ET51" i="5"/>
  <c r="ES52" i="5"/>
  <c r="ET52" i="5"/>
  <c r="ES54" i="5"/>
  <c r="ET54" i="5"/>
  <c r="ES55" i="5"/>
  <c r="ET55" i="5"/>
  <c r="ES56" i="5"/>
  <c r="ET56" i="5"/>
  <c r="ES57" i="5"/>
  <c r="ET57" i="5"/>
  <c r="ES58" i="5"/>
  <c r="ET58" i="5"/>
  <c r="ES59" i="5"/>
  <c r="ET59" i="5"/>
  <c r="ET8" i="5"/>
  <c r="ES8" i="5"/>
  <c r="ER30" i="5"/>
  <c r="EP10" i="5"/>
  <c r="EP12" i="5"/>
  <c r="EP13" i="5"/>
  <c r="EP14" i="5"/>
  <c r="EP16" i="5"/>
  <c r="EP17" i="5"/>
  <c r="EP18" i="5"/>
  <c r="EP19" i="5"/>
  <c r="EP22" i="5"/>
  <c r="EP24" i="5"/>
  <c r="EP25" i="5"/>
  <c r="EP26" i="5"/>
  <c r="EP27" i="5"/>
  <c r="EP28" i="5"/>
  <c r="EP31" i="5"/>
  <c r="EP32" i="5"/>
  <c r="EP33" i="5"/>
  <c r="EP34" i="5"/>
  <c r="EP35" i="5"/>
  <c r="EP37" i="5"/>
  <c r="EP38" i="5"/>
  <c r="EP39" i="5"/>
  <c r="EP41" i="5"/>
  <c r="EP42" i="5"/>
  <c r="EP44" i="5"/>
  <c r="EP45" i="5"/>
  <c r="EP46" i="5"/>
  <c r="EP47" i="5"/>
  <c r="EP50" i="5"/>
  <c r="EP51" i="5"/>
  <c r="EP52" i="5"/>
  <c r="EP54" i="5"/>
  <c r="EP55" i="5"/>
  <c r="EP56" i="5"/>
  <c r="EP57" i="5"/>
  <c r="EP58" i="5"/>
  <c r="EP59" i="5"/>
  <c r="EN10" i="5"/>
  <c r="EO10" i="5"/>
  <c r="EN12" i="5"/>
  <c r="EO12" i="5"/>
  <c r="EN13" i="5"/>
  <c r="EO13" i="5"/>
  <c r="EN14" i="5"/>
  <c r="EO14" i="5"/>
  <c r="EN16" i="5"/>
  <c r="EO16" i="5"/>
  <c r="EN17" i="5"/>
  <c r="EO17" i="5"/>
  <c r="EN18" i="5"/>
  <c r="EO18" i="5"/>
  <c r="EN19" i="5"/>
  <c r="EO19" i="5"/>
  <c r="EN22" i="5"/>
  <c r="EO22" i="5"/>
  <c r="EN24" i="5"/>
  <c r="EO24" i="5"/>
  <c r="EN25" i="5"/>
  <c r="EO25" i="5"/>
  <c r="EN26" i="5"/>
  <c r="EO26" i="5"/>
  <c r="EN27" i="5"/>
  <c r="EO27" i="5"/>
  <c r="EN28" i="5"/>
  <c r="EO28" i="5"/>
  <c r="EN31" i="5"/>
  <c r="EO31" i="5"/>
  <c r="EN32" i="5"/>
  <c r="EO32" i="5"/>
  <c r="EM33" i="5"/>
  <c r="EN33" i="5"/>
  <c r="EO33" i="5"/>
  <c r="EM34" i="5"/>
  <c r="EN34" i="5"/>
  <c r="EO34" i="5"/>
  <c r="EN35" i="5"/>
  <c r="EO35" i="5"/>
  <c r="EN37" i="5"/>
  <c r="EO37" i="5"/>
  <c r="EN38" i="5"/>
  <c r="EO38" i="5"/>
  <c r="EN39" i="5"/>
  <c r="EO39" i="5"/>
  <c r="EN41" i="5"/>
  <c r="EO41" i="5"/>
  <c r="EN42" i="5"/>
  <c r="EO42" i="5"/>
  <c r="EN44" i="5"/>
  <c r="EO44" i="5"/>
  <c r="EN45" i="5"/>
  <c r="EO45" i="5"/>
  <c r="EN46" i="5"/>
  <c r="EO46" i="5"/>
  <c r="EN47" i="5"/>
  <c r="EO47" i="5"/>
  <c r="EO50" i="5"/>
  <c r="EO51" i="5"/>
  <c r="EO52" i="5"/>
  <c r="EO54" i="5"/>
  <c r="EO55" i="5"/>
  <c r="EO56" i="5"/>
  <c r="EO57" i="5"/>
  <c r="EO58" i="5"/>
  <c r="EO59" i="5"/>
  <c r="EN50" i="5"/>
  <c r="EN51" i="5"/>
  <c r="EN52" i="5"/>
  <c r="EN54" i="5"/>
  <c r="EN55" i="5"/>
  <c r="EN56" i="5"/>
  <c r="EN57" i="5"/>
  <c r="EN58" i="5"/>
  <c r="EM59" i="5"/>
  <c r="EN59" i="5"/>
  <c r="EJ9" i="5"/>
  <c r="EJ8" i="5"/>
  <c r="EJ10" i="5"/>
  <c r="EJ12" i="5"/>
  <c r="EJ13" i="5"/>
  <c r="EJ14" i="5"/>
  <c r="EJ15" i="5"/>
  <c r="EJ16" i="5"/>
  <c r="EJ17" i="5"/>
  <c r="EJ18" i="5"/>
  <c r="EJ19" i="5"/>
  <c r="EJ20" i="5"/>
  <c r="EJ21" i="5"/>
  <c r="EJ22" i="5"/>
  <c r="EJ23" i="5"/>
  <c r="EJ24" i="5"/>
  <c r="EJ25" i="5"/>
  <c r="EJ26" i="5"/>
  <c r="EJ27" i="5"/>
  <c r="EJ28" i="5"/>
  <c r="EJ29" i="5"/>
  <c r="EJ30" i="5"/>
  <c r="EJ31" i="5"/>
  <c r="EJ32" i="5"/>
  <c r="EJ33" i="5"/>
  <c r="EJ34" i="5"/>
  <c r="EJ35" i="5"/>
  <c r="EJ36" i="5"/>
  <c r="EJ37" i="5"/>
  <c r="EJ38" i="5"/>
  <c r="EJ39" i="5"/>
  <c r="EJ41" i="5"/>
  <c r="EJ42" i="5"/>
  <c r="EJ43" i="5"/>
  <c r="EJ44" i="5"/>
  <c r="EJ45" i="5"/>
  <c r="EJ46" i="5"/>
  <c r="EJ47" i="5"/>
  <c r="EJ49" i="5"/>
  <c r="EJ50" i="5"/>
  <c r="EJ51" i="5"/>
  <c r="EJ52" i="5"/>
  <c r="EJ54" i="5"/>
  <c r="EJ55" i="5"/>
  <c r="EJ56" i="5"/>
  <c r="EJ57" i="5"/>
  <c r="EJ58" i="5"/>
  <c r="EK9" i="5"/>
  <c r="EK10" i="5"/>
  <c r="EK12" i="5"/>
  <c r="EK13" i="5"/>
  <c r="EK14" i="5"/>
  <c r="EK15" i="5"/>
  <c r="EK16" i="5"/>
  <c r="EK17" i="5"/>
  <c r="EK18" i="5"/>
  <c r="EK19" i="5"/>
  <c r="EK20" i="5"/>
  <c r="EK21" i="5"/>
  <c r="EK22" i="5"/>
  <c r="EK23" i="5"/>
  <c r="EK24" i="5"/>
  <c r="EK25" i="5"/>
  <c r="EK26" i="5"/>
  <c r="EK27" i="5"/>
  <c r="EK28" i="5"/>
  <c r="EK29" i="5"/>
  <c r="EK30" i="5"/>
  <c r="EK31" i="5"/>
  <c r="EK32" i="5"/>
  <c r="EI33" i="5"/>
  <c r="EK33" i="5"/>
  <c r="EI34" i="5"/>
  <c r="EK34" i="5"/>
  <c r="EK35" i="5"/>
  <c r="EK36" i="5"/>
  <c r="EK37" i="5"/>
  <c r="EK38" i="5"/>
  <c r="EK39" i="5"/>
  <c r="EK41" i="5"/>
  <c r="EK42" i="5"/>
  <c r="EK43" i="5"/>
  <c r="EK44" i="5"/>
  <c r="EK45" i="5"/>
  <c r="EK46" i="5"/>
  <c r="EK47" i="5"/>
  <c r="EK49" i="5"/>
  <c r="EK50" i="5"/>
  <c r="EK51" i="5"/>
  <c r="EK52" i="5"/>
  <c r="EK54" i="5"/>
  <c r="EK55" i="5"/>
  <c r="EK56" i="5"/>
  <c r="EK57" i="5"/>
  <c r="EK58" i="5"/>
  <c r="EK8" i="5"/>
  <c r="EH60" i="5"/>
  <c r="EF9" i="5"/>
  <c r="EG9" i="5"/>
  <c r="EF10" i="5"/>
  <c r="EG10" i="5"/>
  <c r="EF12" i="5"/>
  <c r="EG12" i="5"/>
  <c r="EF13" i="5"/>
  <c r="EG13" i="5"/>
  <c r="EF14" i="5"/>
  <c r="EG14" i="5"/>
  <c r="EF15" i="5"/>
  <c r="EG15" i="5"/>
  <c r="EF16" i="5"/>
  <c r="EG16" i="5"/>
  <c r="EF17" i="5"/>
  <c r="EG17" i="5"/>
  <c r="EF18" i="5"/>
  <c r="EG18" i="5"/>
  <c r="EF19" i="5"/>
  <c r="EG19" i="5"/>
  <c r="EF20" i="5"/>
  <c r="EG20" i="5"/>
  <c r="EF21" i="5"/>
  <c r="EG21" i="5"/>
  <c r="EF22" i="5"/>
  <c r="EG22" i="5"/>
  <c r="EF23" i="5"/>
  <c r="EG23" i="5"/>
  <c r="EF24" i="5"/>
  <c r="EG24" i="5"/>
  <c r="EF25" i="5"/>
  <c r="EG25" i="5"/>
  <c r="EF26" i="5"/>
  <c r="EG26" i="5"/>
  <c r="EF27" i="5"/>
  <c r="EG27" i="5"/>
  <c r="EF28" i="5"/>
  <c r="EG28" i="5"/>
  <c r="EF29" i="5"/>
  <c r="EG29" i="5"/>
  <c r="EF30" i="5"/>
  <c r="EG30" i="5"/>
  <c r="EF31" i="5"/>
  <c r="EG31" i="5"/>
  <c r="EF32" i="5"/>
  <c r="EG32" i="5"/>
  <c r="EE33" i="5"/>
  <c r="EF33" i="5"/>
  <c r="EG33" i="5"/>
  <c r="EE34" i="5"/>
  <c r="EF34" i="5"/>
  <c r="EG34" i="5"/>
  <c r="EF35" i="5"/>
  <c r="EG35" i="5"/>
  <c r="EF36" i="5"/>
  <c r="EG36" i="5"/>
  <c r="EF37" i="5"/>
  <c r="EG37" i="5"/>
  <c r="EF38" i="5"/>
  <c r="EG38" i="5"/>
  <c r="EF39" i="5"/>
  <c r="EG39" i="5"/>
  <c r="EF41" i="5"/>
  <c r="EG41" i="5"/>
  <c r="EF42" i="5"/>
  <c r="EG42" i="5"/>
  <c r="EF43" i="5"/>
  <c r="EG43" i="5"/>
  <c r="EF44" i="5"/>
  <c r="EG44" i="5"/>
  <c r="EF45" i="5"/>
  <c r="EG45" i="5"/>
  <c r="EF46" i="5"/>
  <c r="EG46" i="5"/>
  <c r="EF47" i="5"/>
  <c r="EG47" i="5"/>
  <c r="EF49" i="5"/>
  <c r="EG49" i="5"/>
  <c r="EF50" i="5"/>
  <c r="EG50" i="5"/>
  <c r="EF51" i="5"/>
  <c r="EG51" i="5"/>
  <c r="EF52" i="5"/>
  <c r="EG52" i="5"/>
  <c r="EF54" i="5"/>
  <c r="EG54" i="5"/>
  <c r="EF55" i="5"/>
  <c r="EG55" i="5"/>
  <c r="EF56" i="5"/>
  <c r="EG56" i="5"/>
  <c r="EF57" i="5"/>
  <c r="EG57" i="5"/>
  <c r="EF58" i="5"/>
  <c r="EG58" i="5"/>
  <c r="EG8" i="5"/>
  <c r="EF8" i="5"/>
  <c r="EC60" i="5"/>
  <c r="ED60" i="5"/>
  <c r="EN23" i="5"/>
  <c r="DZ60" i="5"/>
  <c r="DX60" i="5"/>
  <c r="EB9" i="5"/>
  <c r="EB10" i="5"/>
  <c r="EB12" i="5"/>
  <c r="EB13" i="5"/>
  <c r="EB14" i="5"/>
  <c r="EB15" i="5"/>
  <c r="EB16" i="5"/>
  <c r="EB17" i="5"/>
  <c r="EB18" i="5"/>
  <c r="EB19" i="5"/>
  <c r="EB20" i="5"/>
  <c r="EB21" i="5"/>
  <c r="EB22" i="5"/>
  <c r="EB23" i="5"/>
  <c r="EB24" i="5"/>
  <c r="EB25" i="5"/>
  <c r="EB26" i="5"/>
  <c r="EB27" i="5"/>
  <c r="EB28" i="5"/>
  <c r="EB29" i="5"/>
  <c r="EB30" i="5"/>
  <c r="EB31" i="5"/>
  <c r="EB32" i="5"/>
  <c r="EA33" i="5"/>
  <c r="EB33" i="5"/>
  <c r="EA34" i="5"/>
  <c r="EB34" i="5"/>
  <c r="EB35" i="5"/>
  <c r="EB36" i="5"/>
  <c r="EB37" i="5"/>
  <c r="EB38" i="5"/>
  <c r="EB39" i="5"/>
  <c r="EB41" i="5"/>
  <c r="EB42" i="5"/>
  <c r="EB43" i="5"/>
  <c r="EB44" i="5"/>
  <c r="EB45" i="5"/>
  <c r="EB46" i="5"/>
  <c r="EB47" i="5"/>
  <c r="EB49" i="5"/>
  <c r="EB50" i="5"/>
  <c r="EB51" i="5"/>
  <c r="EB52" i="5"/>
  <c r="EB54" i="5"/>
  <c r="EB55" i="5"/>
  <c r="EB56" i="5"/>
  <c r="EB57" i="5"/>
  <c r="EB58" i="5"/>
  <c r="EB8" i="5"/>
  <c r="DY33" i="5"/>
  <c r="DY34" i="5"/>
  <c r="DR9" i="5"/>
  <c r="DS9" i="5" s="1"/>
  <c r="DR10" i="5"/>
  <c r="DU10" i="5" s="1"/>
  <c r="DR12" i="5"/>
  <c r="DU12" i="5" s="1"/>
  <c r="DR13" i="5"/>
  <c r="DU13" i="5" s="1"/>
  <c r="DR14" i="5"/>
  <c r="DS14" i="5" s="1"/>
  <c r="DR15" i="5"/>
  <c r="DU15" i="5" s="1"/>
  <c r="DR16" i="5"/>
  <c r="DU16" i="5" s="1"/>
  <c r="DR17" i="5"/>
  <c r="DS17" i="5" s="1"/>
  <c r="DR18" i="5"/>
  <c r="DS18" i="5" s="1"/>
  <c r="DR19" i="5"/>
  <c r="DU19" i="5" s="1"/>
  <c r="DR20" i="5"/>
  <c r="DU20" i="5" s="1"/>
  <c r="DR21" i="5"/>
  <c r="DU21" i="5" s="1"/>
  <c r="DR22" i="5"/>
  <c r="DS22" i="5" s="1"/>
  <c r="DR23" i="5"/>
  <c r="DU23" i="5" s="1"/>
  <c r="DR24" i="5"/>
  <c r="DU24" i="5" s="1"/>
  <c r="DR25" i="5"/>
  <c r="DS25" i="5" s="1"/>
  <c r="DR26" i="5"/>
  <c r="DS26" i="5" s="1"/>
  <c r="DR27" i="5"/>
  <c r="DU27" i="5" s="1"/>
  <c r="DR28" i="5"/>
  <c r="DU28" i="5" s="1"/>
  <c r="DR29" i="5"/>
  <c r="DS29" i="5" s="1"/>
  <c r="DR30" i="5"/>
  <c r="DU30" i="5" s="1"/>
  <c r="DR31" i="5"/>
  <c r="DU31" i="5" s="1"/>
  <c r="DR32" i="5"/>
  <c r="DU32" i="5" s="1"/>
  <c r="DR35" i="5"/>
  <c r="DS35" i="5" s="1"/>
  <c r="DR36" i="5"/>
  <c r="DU36" i="5" s="1"/>
  <c r="DR37" i="5"/>
  <c r="DU37" i="5" s="1"/>
  <c r="DR38" i="5"/>
  <c r="DU38" i="5" s="1"/>
  <c r="DR39" i="5"/>
  <c r="DS39" i="5" s="1"/>
  <c r="DR41" i="5"/>
  <c r="DS41" i="5" s="1"/>
  <c r="DR42" i="5"/>
  <c r="DU42" i="5" s="1"/>
  <c r="DR43" i="5"/>
  <c r="DU43" i="5" s="1"/>
  <c r="DR44" i="5"/>
  <c r="DS44" i="5" s="1"/>
  <c r="DR45" i="5"/>
  <c r="DS45" i="5" s="1"/>
  <c r="DR46" i="5"/>
  <c r="DU46" i="5" s="1"/>
  <c r="DR47" i="5"/>
  <c r="DU47" i="5" s="1"/>
  <c r="EA47" i="5" s="1"/>
  <c r="DR8" i="5"/>
  <c r="DU8" i="5" s="1"/>
  <c r="DR49" i="5"/>
  <c r="DS49" i="5" s="1"/>
  <c r="DR50" i="5"/>
  <c r="DU50" i="5" s="1"/>
  <c r="DR51" i="5"/>
  <c r="DU51" i="5" s="1"/>
  <c r="DR52" i="5"/>
  <c r="DU52" i="5" s="1"/>
  <c r="DR54" i="5"/>
  <c r="DS54" i="5" s="1"/>
  <c r="DR55" i="5"/>
  <c r="DU55" i="5" s="1"/>
  <c r="DR56" i="5"/>
  <c r="DU56" i="5" s="1"/>
  <c r="DR57" i="5"/>
  <c r="DU57" i="5" s="1"/>
  <c r="DR58" i="5"/>
  <c r="DS58" i="5" s="1"/>
  <c r="DO9" i="5"/>
  <c r="DO10" i="5"/>
  <c r="DO12" i="5"/>
  <c r="DO13" i="5"/>
  <c r="DO14" i="5"/>
  <c r="DO15" i="5"/>
  <c r="DO17" i="5"/>
  <c r="DO18" i="5"/>
  <c r="DO19" i="5"/>
  <c r="DO20" i="5"/>
  <c r="DO21" i="5"/>
  <c r="DO22" i="5"/>
  <c r="DO23" i="5"/>
  <c r="DO24" i="5"/>
  <c r="DO25" i="5"/>
  <c r="DO26" i="5"/>
  <c r="DO28" i="5"/>
  <c r="DO29" i="5"/>
  <c r="DO30" i="5"/>
  <c r="DO31" i="5"/>
  <c r="DO32" i="5"/>
  <c r="DO35" i="5"/>
  <c r="DO37" i="5"/>
  <c r="DO38" i="5"/>
  <c r="DO39" i="5"/>
  <c r="DO41" i="5"/>
  <c r="DO43" i="5"/>
  <c r="DO44" i="5"/>
  <c r="DO45" i="5"/>
  <c r="DO46" i="5"/>
  <c r="DO47" i="5"/>
  <c r="DO49" i="5"/>
  <c r="DO50" i="5"/>
  <c r="DO51" i="5"/>
  <c r="DO52" i="5"/>
  <c r="DO54" i="5"/>
  <c r="DO55" i="5"/>
  <c r="DO56" i="5"/>
  <c r="DO57" i="5"/>
  <c r="DO58" i="5"/>
  <c r="DM9" i="5"/>
  <c r="DM10" i="5"/>
  <c r="DM12" i="5"/>
  <c r="DM13" i="5"/>
  <c r="DM14" i="5"/>
  <c r="DM15" i="5"/>
  <c r="DM16" i="5"/>
  <c r="DM17" i="5"/>
  <c r="DM18" i="5"/>
  <c r="DM19" i="5"/>
  <c r="DM20" i="5"/>
  <c r="DM21" i="5"/>
  <c r="DM22" i="5"/>
  <c r="DM23" i="5"/>
  <c r="DM24" i="5"/>
  <c r="DM25" i="5"/>
  <c r="DM26" i="5"/>
  <c r="DM27" i="5"/>
  <c r="DM28" i="5"/>
  <c r="DM29" i="5"/>
  <c r="DM30" i="5"/>
  <c r="DM31" i="5"/>
  <c r="DM32" i="5"/>
  <c r="DM35" i="5"/>
  <c r="DM36" i="5"/>
  <c r="DM37" i="5"/>
  <c r="DM38" i="5"/>
  <c r="DM39" i="5"/>
  <c r="DM41" i="5"/>
  <c r="DM43" i="5"/>
  <c r="DM44" i="5"/>
  <c r="DM45" i="5"/>
  <c r="DM46" i="5"/>
  <c r="DM47" i="5"/>
  <c r="DM49" i="5"/>
  <c r="DM50" i="5"/>
  <c r="DM51" i="5"/>
  <c r="DM52" i="5"/>
  <c r="DM54" i="5"/>
  <c r="DM55" i="5"/>
  <c r="DM56" i="5"/>
  <c r="DM57" i="5"/>
  <c r="DM58" i="5"/>
  <c r="DL8" i="5"/>
  <c r="DL60" i="5" s="1"/>
  <c r="CK36" i="5"/>
  <c r="DH36" i="5" s="1"/>
  <c r="DK9" i="5"/>
  <c r="DK10" i="5"/>
  <c r="DK12" i="5"/>
  <c r="DK13" i="5"/>
  <c r="DK14" i="5"/>
  <c r="DK15" i="5"/>
  <c r="DK16" i="5"/>
  <c r="DK17" i="5"/>
  <c r="DK18" i="5"/>
  <c r="DK19" i="5"/>
  <c r="DK21" i="5"/>
  <c r="DK22" i="5"/>
  <c r="DK23" i="5"/>
  <c r="DK24" i="5"/>
  <c r="DK25" i="5"/>
  <c r="DK26" i="5"/>
  <c r="DK27" i="5"/>
  <c r="DK28" i="5"/>
  <c r="DK29" i="5"/>
  <c r="DK30" i="5"/>
  <c r="DK31" i="5"/>
  <c r="DK32" i="5"/>
  <c r="DK35" i="5"/>
  <c r="DK36" i="5"/>
  <c r="DK37" i="5"/>
  <c r="DK38" i="5"/>
  <c r="DK39" i="5"/>
  <c r="DK41" i="5"/>
  <c r="DK43" i="5"/>
  <c r="DK44" i="5"/>
  <c r="DK45" i="5"/>
  <c r="DK46" i="5"/>
  <c r="DK47" i="5"/>
  <c r="DK8" i="5"/>
  <c r="DB20" i="5"/>
  <c r="DK20" i="5" s="1"/>
  <c r="DK49" i="5"/>
  <c r="DK50" i="5"/>
  <c r="DK51" i="5"/>
  <c r="DK52" i="5"/>
  <c r="DK54" i="5"/>
  <c r="DK55" i="5"/>
  <c r="DK56" i="5"/>
  <c r="DK57" i="5"/>
  <c r="DK58" i="5"/>
  <c r="DJ13" i="5"/>
  <c r="DJ14" i="5"/>
  <c r="DI9" i="5"/>
  <c r="DI10" i="5"/>
  <c r="DI13" i="5"/>
  <c r="DI14" i="5"/>
  <c r="DI15" i="5"/>
  <c r="DI16" i="5"/>
  <c r="DI17" i="5"/>
  <c r="DI18" i="5"/>
  <c r="DI19" i="5"/>
  <c r="DI20" i="5"/>
  <c r="DI21" i="5"/>
  <c r="DI22" i="5"/>
  <c r="DI24" i="5"/>
  <c r="DI25" i="5"/>
  <c r="DI26" i="5"/>
  <c r="DI27" i="5"/>
  <c r="DI28" i="5"/>
  <c r="DI29" i="5"/>
  <c r="DI30" i="5"/>
  <c r="DI31" i="5"/>
  <c r="DI32" i="5"/>
  <c r="DI37" i="5"/>
  <c r="DI38" i="5"/>
  <c r="DI39" i="5"/>
  <c r="DI44" i="5"/>
  <c r="DI45" i="5"/>
  <c r="DI46" i="5"/>
  <c r="DI47" i="5"/>
  <c r="DI8" i="5"/>
  <c r="CO12" i="5"/>
  <c r="DI12" i="5" s="1"/>
  <c r="CO23" i="5"/>
  <c r="CQ23" i="5" s="1"/>
  <c r="CO35" i="5"/>
  <c r="DI35" i="5" s="1"/>
  <c r="CO41" i="5"/>
  <c r="DD41" i="5" s="1"/>
  <c r="CO43" i="5"/>
  <c r="CP43" i="5" s="1"/>
  <c r="CO49" i="5"/>
  <c r="DI49" i="5" s="1"/>
  <c r="DI50" i="5"/>
  <c r="DI51" i="5"/>
  <c r="DI52" i="5"/>
  <c r="CO54" i="5"/>
  <c r="DD54" i="5" s="1"/>
  <c r="DI55" i="5"/>
  <c r="DI56" i="5"/>
  <c r="CO57" i="5"/>
  <c r="DI57" i="5" s="1"/>
  <c r="DI58" i="5"/>
  <c r="DH9" i="5"/>
  <c r="DH10" i="5"/>
  <c r="DH12" i="5"/>
  <c r="DH13" i="5"/>
  <c r="DH14" i="5"/>
  <c r="DH15" i="5"/>
  <c r="DH17" i="5"/>
  <c r="DH18" i="5"/>
  <c r="DH19" i="5"/>
  <c r="DH20" i="5"/>
  <c r="DH21" i="5"/>
  <c r="DH22" i="5"/>
  <c r="DH23" i="5"/>
  <c r="DH24" i="5"/>
  <c r="DH25" i="5"/>
  <c r="DH26" i="5"/>
  <c r="DH28" i="5"/>
  <c r="DH29" i="5"/>
  <c r="DH30" i="5"/>
  <c r="DH31" i="5"/>
  <c r="DH32" i="5"/>
  <c r="DH35" i="5"/>
  <c r="DH37" i="5"/>
  <c r="DH38" i="5"/>
  <c r="DH39" i="5"/>
  <c r="DH41" i="5"/>
  <c r="DH43" i="5"/>
  <c r="DH44" i="5"/>
  <c r="DH45" i="5"/>
  <c r="DH46" i="5"/>
  <c r="DH47" i="5"/>
  <c r="CK8" i="5"/>
  <c r="DH8" i="5" s="1"/>
  <c r="CK16" i="5"/>
  <c r="CN16" i="5" s="1"/>
  <c r="CK27" i="5"/>
  <c r="DH27" i="5" s="1"/>
  <c r="DH49" i="5"/>
  <c r="DH50" i="5"/>
  <c r="DH51" i="5"/>
  <c r="DH52" i="5"/>
  <c r="DH54" i="5"/>
  <c r="DH55" i="5"/>
  <c r="DH56" i="5"/>
  <c r="DH57" i="5"/>
  <c r="DH58" i="5"/>
  <c r="DC9" i="5"/>
  <c r="DD9" i="5"/>
  <c r="DF9" i="5"/>
  <c r="DC10" i="5"/>
  <c r="DD10" i="5"/>
  <c r="DF10" i="5"/>
  <c r="DC12" i="5"/>
  <c r="DF12" i="5"/>
  <c r="DC13" i="5"/>
  <c r="DD13" i="5"/>
  <c r="DE13" i="5"/>
  <c r="DF13" i="5"/>
  <c r="DC14" i="5"/>
  <c r="DD14" i="5"/>
  <c r="DE14" i="5"/>
  <c r="DF14" i="5"/>
  <c r="DC15" i="5"/>
  <c r="DD15" i="5"/>
  <c r="DF15" i="5"/>
  <c r="DD16" i="5"/>
  <c r="DF16" i="5"/>
  <c r="DC17" i="5"/>
  <c r="DD17" i="5"/>
  <c r="DF17" i="5"/>
  <c r="DC18" i="5"/>
  <c r="DD18" i="5"/>
  <c r="DF18" i="5"/>
  <c r="DC19" i="5"/>
  <c r="DD19" i="5"/>
  <c r="DF19" i="5"/>
  <c r="DC21" i="5"/>
  <c r="DD21" i="5"/>
  <c r="DF21" i="5"/>
  <c r="DC22" i="5"/>
  <c r="DD22" i="5"/>
  <c r="DF22" i="5"/>
  <c r="DC23" i="5"/>
  <c r="DF23" i="5"/>
  <c r="DC24" i="5"/>
  <c r="DD24" i="5"/>
  <c r="DF24" i="5"/>
  <c r="DC25" i="5"/>
  <c r="DD25" i="5"/>
  <c r="DF25" i="5"/>
  <c r="DC26" i="5"/>
  <c r="DD26" i="5"/>
  <c r="DF26" i="5"/>
  <c r="DD27" i="5"/>
  <c r="DF27" i="5"/>
  <c r="DC28" i="5"/>
  <c r="DD28" i="5"/>
  <c r="DF28" i="5"/>
  <c r="DC29" i="5"/>
  <c r="DD29" i="5"/>
  <c r="DF29" i="5"/>
  <c r="DC30" i="5"/>
  <c r="DD30" i="5"/>
  <c r="DF30" i="5"/>
  <c r="DC31" i="5"/>
  <c r="DD31" i="5"/>
  <c r="DF31" i="5"/>
  <c r="DC32" i="5"/>
  <c r="DD32" i="5"/>
  <c r="DF32" i="5"/>
  <c r="DC35" i="5"/>
  <c r="DF35" i="5"/>
  <c r="DF36" i="5"/>
  <c r="DC37" i="5"/>
  <c r="DD37" i="5"/>
  <c r="DF37" i="5"/>
  <c r="DC38" i="5"/>
  <c r="DD38" i="5"/>
  <c r="DF38" i="5"/>
  <c r="DC39" i="5"/>
  <c r="DD39" i="5"/>
  <c r="DF39" i="5"/>
  <c r="DC41" i="5"/>
  <c r="DF41" i="5"/>
  <c r="DC43" i="5"/>
  <c r="DF43" i="5"/>
  <c r="DC44" i="5"/>
  <c r="DD44" i="5"/>
  <c r="DF44" i="5"/>
  <c r="DC45" i="5"/>
  <c r="DD45" i="5"/>
  <c r="DF45" i="5"/>
  <c r="DC46" i="5"/>
  <c r="DD46" i="5"/>
  <c r="DF46" i="5"/>
  <c r="DC47" i="5"/>
  <c r="DD47" i="5"/>
  <c r="DF47" i="5"/>
  <c r="DC49" i="5"/>
  <c r="DF49" i="5"/>
  <c r="DC50" i="5"/>
  <c r="DD50" i="5"/>
  <c r="DF50" i="5"/>
  <c r="DC51" i="5"/>
  <c r="DD51" i="5"/>
  <c r="DF51" i="5"/>
  <c r="DC52" i="5"/>
  <c r="DD52" i="5"/>
  <c r="DF52" i="5"/>
  <c r="DC54" i="5"/>
  <c r="DF54" i="5"/>
  <c r="DC55" i="5"/>
  <c r="DD55" i="5"/>
  <c r="DF55" i="5"/>
  <c r="DC56" i="5"/>
  <c r="DD56" i="5"/>
  <c r="DF56" i="5"/>
  <c r="DC57" i="5"/>
  <c r="DF57" i="5"/>
  <c r="DC58" i="5"/>
  <c r="DD58" i="5"/>
  <c r="DF58" i="5"/>
  <c r="DF8" i="5"/>
  <c r="DD8" i="5"/>
  <c r="CZ8" i="5"/>
  <c r="CY9" i="5"/>
  <c r="CZ9" i="5"/>
  <c r="CY10" i="5"/>
  <c r="CZ10" i="5"/>
  <c r="CY12" i="5"/>
  <c r="CY13" i="5"/>
  <c r="CZ13" i="5"/>
  <c r="DA13" i="5"/>
  <c r="CY14" i="5"/>
  <c r="CZ14" i="5"/>
  <c r="DA14" i="5"/>
  <c r="CY15" i="5"/>
  <c r="CZ15" i="5"/>
  <c r="CZ16" i="5"/>
  <c r="CY17" i="5"/>
  <c r="CZ17" i="5"/>
  <c r="CY18" i="5"/>
  <c r="CZ18" i="5"/>
  <c r="CY19" i="5"/>
  <c r="CZ19" i="5"/>
  <c r="CZ20" i="5"/>
  <c r="CZ21" i="5"/>
  <c r="CZ22" i="5"/>
  <c r="CZ24" i="5"/>
  <c r="CZ25" i="5"/>
  <c r="CZ26" i="5"/>
  <c r="CZ27" i="5"/>
  <c r="CZ28" i="5"/>
  <c r="CZ29" i="5"/>
  <c r="CZ30" i="5"/>
  <c r="CZ31" i="5"/>
  <c r="CZ32" i="5"/>
  <c r="CZ37" i="5"/>
  <c r="CZ38" i="5"/>
  <c r="CZ39" i="5"/>
  <c r="CZ44" i="5"/>
  <c r="CZ45" i="5"/>
  <c r="CZ46" i="5"/>
  <c r="CZ47" i="5"/>
  <c r="CZ50" i="5"/>
  <c r="CZ51" i="5"/>
  <c r="CZ52" i="5"/>
  <c r="CZ55" i="5"/>
  <c r="CZ56" i="5"/>
  <c r="CZ58" i="5"/>
  <c r="CY20" i="5"/>
  <c r="CY21" i="5"/>
  <c r="CY22" i="5"/>
  <c r="CY23" i="5"/>
  <c r="CY24" i="5"/>
  <c r="CY25" i="5"/>
  <c r="CY26" i="5"/>
  <c r="CY28" i="5"/>
  <c r="CY29" i="5"/>
  <c r="CY30" i="5"/>
  <c r="CY31" i="5"/>
  <c r="CY32" i="5"/>
  <c r="CY35" i="5"/>
  <c r="CY37" i="5"/>
  <c r="CY38" i="5"/>
  <c r="CY39" i="5"/>
  <c r="CY41" i="5"/>
  <c r="CY43" i="5"/>
  <c r="CY44" i="5"/>
  <c r="CY45" i="5"/>
  <c r="CY46" i="5"/>
  <c r="CY47" i="5"/>
  <c r="CY49" i="5"/>
  <c r="CY50" i="5"/>
  <c r="CY51" i="5"/>
  <c r="CY52" i="5"/>
  <c r="CY54" i="5"/>
  <c r="CY55" i="5"/>
  <c r="CY56" i="5"/>
  <c r="CY57" i="5"/>
  <c r="CY58" i="5"/>
  <c r="CT9" i="5"/>
  <c r="CW9" i="5" s="1"/>
  <c r="CT10" i="5"/>
  <c r="CV10" i="5" s="1"/>
  <c r="CT12" i="5"/>
  <c r="CU12" i="5" s="1"/>
  <c r="CT15" i="5"/>
  <c r="DE15" i="5" s="1"/>
  <c r="CT16" i="5"/>
  <c r="DJ16" i="5" s="1"/>
  <c r="CT17" i="5"/>
  <c r="DJ17" i="5" s="1"/>
  <c r="CT18" i="5"/>
  <c r="DJ18" i="5" s="1"/>
  <c r="CT19" i="5"/>
  <c r="DE19" i="5" s="1"/>
  <c r="CT20" i="5"/>
  <c r="CV20" i="5" s="1"/>
  <c r="CT21" i="5"/>
  <c r="DJ21" i="5" s="1"/>
  <c r="CT22" i="5"/>
  <c r="DE22" i="5" s="1"/>
  <c r="CT23" i="5"/>
  <c r="DE23" i="5" s="1"/>
  <c r="CT24" i="5"/>
  <c r="DE24" i="5" s="1"/>
  <c r="CT25" i="5"/>
  <c r="DJ25" i="5" s="1"/>
  <c r="CT26" i="5"/>
  <c r="DJ26" i="5" s="1"/>
  <c r="CT27" i="5"/>
  <c r="DE27" i="5" s="1"/>
  <c r="CT28" i="5"/>
  <c r="DJ28" i="5" s="1"/>
  <c r="CT29" i="5"/>
  <c r="DE29" i="5" s="1"/>
  <c r="CT30" i="5"/>
  <c r="CU30" i="5" s="1"/>
  <c r="CT31" i="5"/>
  <c r="DE31" i="5" s="1"/>
  <c r="CT32" i="5"/>
  <c r="DE32" i="5" s="1"/>
  <c r="CT35" i="5"/>
  <c r="DJ35" i="5" s="1"/>
  <c r="CT36" i="5"/>
  <c r="DJ36" i="5" s="1"/>
  <c r="CT37" i="5"/>
  <c r="DE37" i="5" s="1"/>
  <c r="CT38" i="5"/>
  <c r="DJ38" i="5" s="1"/>
  <c r="CT39" i="5"/>
  <c r="DJ39" i="5" s="1"/>
  <c r="CT41" i="5"/>
  <c r="DE41" i="5" s="1"/>
  <c r="CT43" i="5"/>
  <c r="DJ43" i="5" s="1"/>
  <c r="CT44" i="5"/>
  <c r="DJ44" i="5" s="1"/>
  <c r="CT45" i="5"/>
  <c r="CV45" i="5" s="1"/>
  <c r="CT46" i="5"/>
  <c r="DE46" i="5" s="1"/>
  <c r="CT47" i="5"/>
  <c r="CU47" i="5" s="1"/>
  <c r="CT49" i="5"/>
  <c r="DJ49" i="5" s="1"/>
  <c r="CT50" i="5"/>
  <c r="CU50" i="5" s="1"/>
  <c r="CT51" i="5"/>
  <c r="DE51" i="5" s="1"/>
  <c r="CT52" i="5"/>
  <c r="DE52" i="5" s="1"/>
  <c r="CT54" i="5"/>
  <c r="DE54" i="5" s="1"/>
  <c r="CT55" i="5"/>
  <c r="DJ55" i="5" s="1"/>
  <c r="CT56" i="5"/>
  <c r="DJ56" i="5" s="1"/>
  <c r="CT57" i="5"/>
  <c r="DE57" i="5" s="1"/>
  <c r="CT58" i="5"/>
  <c r="CW58" i="5" s="1"/>
  <c r="CT8" i="5"/>
  <c r="CV8" i="5" s="1"/>
  <c r="CP44" i="5"/>
  <c r="CP37" i="5"/>
  <c r="CP21" i="5"/>
  <c r="CP9" i="5"/>
  <c r="CP10" i="5"/>
  <c r="CP15" i="5"/>
  <c r="CP16" i="5"/>
  <c r="CP17" i="5"/>
  <c r="CP18" i="5"/>
  <c r="CP19" i="5"/>
  <c r="CP22" i="5"/>
  <c r="CP24" i="5"/>
  <c r="CP25" i="5"/>
  <c r="CP26" i="5"/>
  <c r="CP27" i="5"/>
  <c r="CP28" i="5"/>
  <c r="CP29" i="5"/>
  <c r="CP30" i="5"/>
  <c r="CP31" i="5"/>
  <c r="CP32" i="5"/>
  <c r="CP38" i="5"/>
  <c r="CP39" i="5"/>
  <c r="CP45" i="5"/>
  <c r="CP46" i="5"/>
  <c r="CP47" i="5"/>
  <c r="CP8" i="5"/>
  <c r="CP20" i="5"/>
  <c r="CP50" i="5"/>
  <c r="CP51" i="5"/>
  <c r="CP52" i="5"/>
  <c r="CP55" i="5"/>
  <c r="CP56" i="5"/>
  <c r="CP58" i="5"/>
  <c r="CQ9" i="5"/>
  <c r="CQ10" i="5"/>
  <c r="CQ15" i="5"/>
  <c r="CQ17" i="5"/>
  <c r="CQ18" i="5"/>
  <c r="CQ19" i="5"/>
  <c r="CQ22" i="5"/>
  <c r="CQ24" i="5"/>
  <c r="CQ25" i="5"/>
  <c r="CQ26" i="5"/>
  <c r="CQ28" i="5"/>
  <c r="CQ29" i="5"/>
  <c r="CQ30" i="5"/>
  <c r="CQ31" i="5"/>
  <c r="CQ32" i="5"/>
  <c r="CQ38" i="5"/>
  <c r="CQ39" i="5"/>
  <c r="CQ45" i="5"/>
  <c r="CQ46" i="5"/>
  <c r="CQ47" i="5"/>
  <c r="CQ50" i="5"/>
  <c r="CQ51" i="5"/>
  <c r="CQ52" i="5"/>
  <c r="CQ55" i="5"/>
  <c r="CQ56" i="5"/>
  <c r="CQ58" i="5"/>
  <c r="CQ20" i="5"/>
  <c r="CQ37" i="5"/>
  <c r="CQ44" i="5"/>
  <c r="CQ21" i="5"/>
  <c r="BM36" i="5"/>
  <c r="BX36" i="5" s="1"/>
  <c r="CM9" i="5"/>
  <c r="CM10" i="5"/>
  <c r="CM12" i="5"/>
  <c r="CM15" i="5"/>
  <c r="CM17" i="5"/>
  <c r="CM18" i="5"/>
  <c r="CM19" i="5"/>
  <c r="CM20" i="5"/>
  <c r="CM21" i="5"/>
  <c r="CM22" i="5"/>
  <c r="CM23" i="5"/>
  <c r="CM24" i="5"/>
  <c r="CM25" i="5"/>
  <c r="CM26" i="5"/>
  <c r="CM28" i="5"/>
  <c r="CM29" i="5"/>
  <c r="CM30" i="5"/>
  <c r="CM31" i="5"/>
  <c r="CM32" i="5"/>
  <c r="CM35" i="5"/>
  <c r="CM37" i="5"/>
  <c r="CM38" i="5"/>
  <c r="CM39" i="5"/>
  <c r="CM41" i="5"/>
  <c r="CM43" i="5"/>
  <c r="CM44" i="5"/>
  <c r="CM45" i="5"/>
  <c r="CM46" i="5"/>
  <c r="CM47" i="5"/>
  <c r="CM49" i="5"/>
  <c r="CM50" i="5"/>
  <c r="CM51" i="5"/>
  <c r="CM52" i="5"/>
  <c r="CM54" i="5"/>
  <c r="CM55" i="5"/>
  <c r="CM56" i="5"/>
  <c r="CM57" i="5"/>
  <c r="CM58" i="5"/>
  <c r="CN9" i="5"/>
  <c r="CN10" i="5"/>
  <c r="CN12" i="5"/>
  <c r="CN15" i="5"/>
  <c r="CN17" i="5"/>
  <c r="CN18" i="5"/>
  <c r="CN19" i="5"/>
  <c r="CN20" i="5"/>
  <c r="CN23" i="5"/>
  <c r="CN21" i="5"/>
  <c r="CN22" i="5"/>
  <c r="CN24" i="5"/>
  <c r="CN25" i="5"/>
  <c r="CN26" i="5"/>
  <c r="CN28" i="5"/>
  <c r="CN29" i="5"/>
  <c r="CN30" i="5"/>
  <c r="CN31" i="5"/>
  <c r="CN32" i="5"/>
  <c r="CN35" i="5"/>
  <c r="CN37" i="5"/>
  <c r="CN38" i="5"/>
  <c r="CN39" i="5"/>
  <c r="CN41" i="5"/>
  <c r="CN43" i="5"/>
  <c r="CN44" i="5"/>
  <c r="CN45" i="5"/>
  <c r="CN46" i="5"/>
  <c r="CN47" i="5"/>
  <c r="CN49" i="5"/>
  <c r="CN50" i="5"/>
  <c r="CN51" i="5"/>
  <c r="CN52" i="5"/>
  <c r="CN54" i="5"/>
  <c r="CN55" i="5"/>
  <c r="CN56" i="5"/>
  <c r="CN57" i="5"/>
  <c r="CN58" i="5"/>
  <c r="CL37" i="5"/>
  <c r="CL50" i="5"/>
  <c r="CL58" i="5"/>
  <c r="CJ10" i="5"/>
  <c r="CJ12" i="5"/>
  <c r="CJ17" i="5"/>
  <c r="CJ18" i="5"/>
  <c r="CJ19" i="5"/>
  <c r="CJ22" i="5"/>
  <c r="CJ24" i="5"/>
  <c r="CJ25" i="5"/>
  <c r="CJ26" i="5"/>
  <c r="CJ27" i="5"/>
  <c r="CJ28" i="5"/>
  <c r="CJ30" i="5"/>
  <c r="CJ31" i="5"/>
  <c r="CJ35" i="5"/>
  <c r="CJ36" i="5"/>
  <c r="CJ37" i="5"/>
  <c r="CJ38" i="5"/>
  <c r="CJ39" i="5"/>
  <c r="CJ41" i="5"/>
  <c r="CJ44" i="5"/>
  <c r="CJ45" i="5"/>
  <c r="CJ46" i="5"/>
  <c r="CJ47" i="5"/>
  <c r="CJ50" i="5"/>
  <c r="CJ51" i="5"/>
  <c r="CJ52" i="5"/>
  <c r="CJ55" i="5"/>
  <c r="CJ56" i="5"/>
  <c r="CJ57" i="5"/>
  <c r="CJ58" i="5"/>
  <c r="CI9" i="5"/>
  <c r="CI10" i="5"/>
  <c r="CI12" i="5"/>
  <c r="CI15" i="5"/>
  <c r="CI20" i="5"/>
  <c r="CI21" i="5"/>
  <c r="CI24" i="5"/>
  <c r="CI25" i="5"/>
  <c r="CI28" i="5"/>
  <c r="CI29" i="5"/>
  <c r="CI30" i="5"/>
  <c r="CI32" i="5"/>
  <c r="CI44" i="5"/>
  <c r="CI45" i="5"/>
  <c r="CI47" i="5"/>
  <c r="CI49" i="5"/>
  <c r="CI50" i="5"/>
  <c r="CI51" i="5"/>
  <c r="CI54" i="5"/>
  <c r="CI55" i="5"/>
  <c r="CI58" i="5"/>
  <c r="CI8" i="5"/>
  <c r="CH9" i="5"/>
  <c r="CH10" i="5"/>
  <c r="CH12" i="5"/>
  <c r="CH15" i="5"/>
  <c r="CH16" i="5"/>
  <c r="CH17" i="5"/>
  <c r="CH18" i="5"/>
  <c r="CH19" i="5"/>
  <c r="CH20" i="5"/>
  <c r="CH23" i="5"/>
  <c r="CH21" i="5"/>
  <c r="CH22" i="5"/>
  <c r="CH24" i="5"/>
  <c r="CH25" i="5"/>
  <c r="CH26" i="5"/>
  <c r="CH27" i="5"/>
  <c r="CH28" i="5"/>
  <c r="CH29" i="5"/>
  <c r="CH30" i="5"/>
  <c r="CH31" i="5"/>
  <c r="CH32" i="5"/>
  <c r="CH35" i="5"/>
  <c r="CH36" i="5"/>
  <c r="CH37" i="5"/>
  <c r="CH38" i="5"/>
  <c r="CH39" i="5"/>
  <c r="CH41" i="5"/>
  <c r="CH43" i="5"/>
  <c r="CH44" i="5"/>
  <c r="CH45" i="5"/>
  <c r="CH46" i="5"/>
  <c r="CH47" i="5"/>
  <c r="CH49" i="5"/>
  <c r="CH50" i="5"/>
  <c r="CH51" i="5"/>
  <c r="CH52" i="5"/>
  <c r="CH54" i="5"/>
  <c r="CH55" i="5"/>
  <c r="CH56" i="5"/>
  <c r="CH57" i="5"/>
  <c r="CH58" i="5"/>
  <c r="CH8" i="5"/>
  <c r="CG37" i="5"/>
  <c r="CG50" i="5"/>
  <c r="CG58" i="5"/>
  <c r="CF60" i="5"/>
  <c r="BM23" i="5"/>
  <c r="CG23" i="5" s="1"/>
  <c r="CB58" i="5"/>
  <c r="CC58" i="5"/>
  <c r="CD58" i="5"/>
  <c r="CE58" i="5"/>
  <c r="AV60" i="5"/>
  <c r="AX60" i="5"/>
  <c r="BA60" i="5"/>
  <c r="BN60" i="5"/>
  <c r="BP60" i="5"/>
  <c r="BW60" i="5"/>
  <c r="CA8" i="5"/>
  <c r="CD8" i="5" s="1"/>
  <c r="CA49" i="5"/>
  <c r="CJ49" i="5" s="1"/>
  <c r="CA15" i="5"/>
  <c r="CC15" i="5" s="1"/>
  <c r="CA9" i="5"/>
  <c r="CJ9" i="5" s="1"/>
  <c r="CE10" i="5"/>
  <c r="CE12" i="5"/>
  <c r="CE17" i="5"/>
  <c r="CE18" i="5"/>
  <c r="CE19" i="5"/>
  <c r="CE22" i="5"/>
  <c r="CE24" i="5"/>
  <c r="CE25" i="5"/>
  <c r="CE26" i="5"/>
  <c r="CE27" i="5"/>
  <c r="CE28" i="5"/>
  <c r="CE30" i="5"/>
  <c r="CE31" i="5"/>
  <c r="CE35" i="5"/>
  <c r="CE36" i="5"/>
  <c r="CE37" i="5"/>
  <c r="CE38" i="5"/>
  <c r="CE39" i="5"/>
  <c r="CE41" i="5"/>
  <c r="CE44" i="5"/>
  <c r="CE45" i="5"/>
  <c r="CE46" i="5"/>
  <c r="CE47" i="5"/>
  <c r="CE50" i="5"/>
  <c r="CE51" i="5"/>
  <c r="CE52" i="5"/>
  <c r="CE55" i="5"/>
  <c r="CE56" i="5"/>
  <c r="CE57" i="5"/>
  <c r="CA23" i="5"/>
  <c r="CJ23" i="5" s="1"/>
  <c r="CA21" i="5"/>
  <c r="CE21" i="5" s="1"/>
  <c r="CA29" i="5"/>
  <c r="CJ29" i="5" s="1"/>
  <c r="CA32" i="5"/>
  <c r="CE32" i="5" s="1"/>
  <c r="CA16" i="5"/>
  <c r="CE16" i="5" s="1"/>
  <c r="CA20" i="5"/>
  <c r="CE20" i="5" s="1"/>
  <c r="CA54" i="5"/>
  <c r="CE54" i="5" s="1"/>
  <c r="CA43" i="5"/>
  <c r="CJ43" i="5" s="1"/>
  <c r="CB37" i="5"/>
  <c r="CB50" i="5"/>
  <c r="BZ8" i="5"/>
  <c r="CD10" i="5"/>
  <c r="CD12" i="5"/>
  <c r="CD15" i="5"/>
  <c r="CD24" i="5"/>
  <c r="CD25" i="5"/>
  <c r="CD28" i="5"/>
  <c r="CD30" i="5"/>
  <c r="CD44" i="5"/>
  <c r="CD45" i="5"/>
  <c r="CD47" i="5"/>
  <c r="CD50" i="5"/>
  <c r="CD51" i="5"/>
  <c r="CD55" i="5"/>
  <c r="CC10" i="5"/>
  <c r="CC12" i="5"/>
  <c r="CC17" i="5"/>
  <c r="CC18" i="5"/>
  <c r="CC19" i="5"/>
  <c r="CC22" i="5"/>
  <c r="CC24" i="5"/>
  <c r="CC25" i="5"/>
  <c r="CC26" i="5"/>
  <c r="CC27" i="5"/>
  <c r="CC28" i="5"/>
  <c r="CC30" i="5"/>
  <c r="CC31" i="5"/>
  <c r="CC35" i="5"/>
  <c r="CC36" i="5"/>
  <c r="CC37" i="5"/>
  <c r="CC38" i="5"/>
  <c r="CC39" i="5"/>
  <c r="CC41" i="5"/>
  <c r="CC44" i="5"/>
  <c r="CC45" i="5"/>
  <c r="CC46" i="5"/>
  <c r="CC47" i="5"/>
  <c r="CC50" i="5"/>
  <c r="CC51" i="5"/>
  <c r="CC52" i="5"/>
  <c r="CC55" i="5"/>
  <c r="CC56" i="5"/>
  <c r="CC57" i="5"/>
  <c r="BZ9" i="5"/>
  <c r="BZ10" i="5"/>
  <c r="BZ12" i="5"/>
  <c r="BZ15" i="5"/>
  <c r="BZ20" i="5"/>
  <c r="BZ21" i="5"/>
  <c r="BZ24" i="5"/>
  <c r="BZ25" i="5"/>
  <c r="BZ28" i="5"/>
  <c r="BZ29" i="5"/>
  <c r="BZ30" i="5"/>
  <c r="BZ32" i="5"/>
  <c r="BZ44" i="5"/>
  <c r="BZ45" i="5"/>
  <c r="BZ47" i="5"/>
  <c r="BZ49" i="5"/>
  <c r="BZ50" i="5"/>
  <c r="BZ51" i="5"/>
  <c r="BZ54" i="5"/>
  <c r="BZ55" i="5"/>
  <c r="BY9" i="5"/>
  <c r="BY10" i="5"/>
  <c r="BY12" i="5"/>
  <c r="BY15" i="5"/>
  <c r="BY16" i="5"/>
  <c r="BY17" i="5"/>
  <c r="BY18" i="5"/>
  <c r="BY19" i="5"/>
  <c r="BY20" i="5"/>
  <c r="BY23" i="5"/>
  <c r="BY21" i="5"/>
  <c r="BY22" i="5"/>
  <c r="BY24" i="5"/>
  <c r="BY25" i="5"/>
  <c r="BY26" i="5"/>
  <c r="BY27" i="5"/>
  <c r="BY28" i="5"/>
  <c r="BY29" i="5"/>
  <c r="BY30" i="5"/>
  <c r="BY31" i="5"/>
  <c r="BY32" i="5"/>
  <c r="BY35" i="5"/>
  <c r="BY36" i="5"/>
  <c r="BY37" i="5"/>
  <c r="BY38" i="5"/>
  <c r="BY39" i="5"/>
  <c r="BY41" i="5"/>
  <c r="BY43" i="5"/>
  <c r="BY44" i="5"/>
  <c r="BY45" i="5"/>
  <c r="BY46" i="5"/>
  <c r="BY47" i="5"/>
  <c r="BY49" i="5"/>
  <c r="BY50" i="5"/>
  <c r="BY51" i="5"/>
  <c r="BY52" i="5"/>
  <c r="BY54" i="5"/>
  <c r="BY55" i="5"/>
  <c r="BY56" i="5"/>
  <c r="BY57" i="5"/>
  <c r="BY8" i="5"/>
  <c r="BX37" i="5"/>
  <c r="BX50" i="5"/>
  <c r="BV9" i="5"/>
  <c r="BV10" i="5"/>
  <c r="BV12" i="5"/>
  <c r="BV15" i="5"/>
  <c r="BV20" i="5"/>
  <c r="BV21" i="5"/>
  <c r="BV24" i="5"/>
  <c r="BV25" i="5"/>
  <c r="BV28" i="5"/>
  <c r="BV29" i="5"/>
  <c r="BV30" i="5"/>
  <c r="BV32" i="5"/>
  <c r="BV44" i="5"/>
  <c r="BV45" i="5"/>
  <c r="BV47" i="5"/>
  <c r="BV49" i="5"/>
  <c r="BV50" i="5"/>
  <c r="BV51" i="5"/>
  <c r="BV54" i="5"/>
  <c r="BV55" i="5"/>
  <c r="BV8" i="5"/>
  <c r="BS57" i="5"/>
  <c r="CI57" i="5" s="1"/>
  <c r="BS56" i="5"/>
  <c r="CI56" i="5" s="1"/>
  <c r="BS52" i="5"/>
  <c r="CI52" i="5" s="1"/>
  <c r="BS46" i="5"/>
  <c r="CI46" i="5" s="1"/>
  <c r="BS36" i="5"/>
  <c r="CI36" i="5" s="1"/>
  <c r="BS37" i="5"/>
  <c r="CI37" i="5" s="1"/>
  <c r="BS38" i="5"/>
  <c r="CI38" i="5" s="1"/>
  <c r="BS39" i="5"/>
  <c r="CI39" i="5" s="1"/>
  <c r="BS41" i="5"/>
  <c r="CI41" i="5" s="1"/>
  <c r="BS43" i="5"/>
  <c r="CI43" i="5" s="1"/>
  <c r="BS35" i="5"/>
  <c r="CI35" i="5" s="1"/>
  <c r="BS31" i="5"/>
  <c r="CI31" i="5" s="1"/>
  <c r="BS27" i="5"/>
  <c r="CI27" i="5" s="1"/>
  <c r="BS26" i="5"/>
  <c r="CI26" i="5" s="1"/>
  <c r="BS22" i="5"/>
  <c r="CI22" i="5" s="1"/>
  <c r="BS23" i="5"/>
  <c r="CI23" i="5" s="1"/>
  <c r="BS17" i="5"/>
  <c r="CI17" i="5" s="1"/>
  <c r="BS18" i="5"/>
  <c r="CI18" i="5" s="1"/>
  <c r="BS19" i="5"/>
  <c r="CI19" i="5" s="1"/>
  <c r="BS16" i="5"/>
  <c r="CI16" i="5" s="1"/>
  <c r="BT50" i="5"/>
  <c r="BU50" i="5"/>
  <c r="BU9" i="5"/>
  <c r="BU10" i="5"/>
  <c r="BU12" i="5"/>
  <c r="BU15" i="5"/>
  <c r="BU20" i="5"/>
  <c r="BU21" i="5"/>
  <c r="BU24" i="5"/>
  <c r="BU25" i="5"/>
  <c r="BU28" i="5"/>
  <c r="BU29" i="5"/>
  <c r="BU30" i="5"/>
  <c r="BU32" i="5"/>
  <c r="BU44" i="5"/>
  <c r="BU45" i="5"/>
  <c r="BU47" i="5"/>
  <c r="BU49" i="5"/>
  <c r="BU51" i="5"/>
  <c r="BU54" i="5"/>
  <c r="BU55" i="5"/>
  <c r="BU8" i="5"/>
  <c r="BR9" i="5"/>
  <c r="BR10" i="5"/>
  <c r="BR12" i="5"/>
  <c r="BR15" i="5"/>
  <c r="BR16" i="5"/>
  <c r="BR17" i="5"/>
  <c r="BR18" i="5"/>
  <c r="BR19" i="5"/>
  <c r="BR20" i="5"/>
  <c r="BR23" i="5"/>
  <c r="BR21" i="5"/>
  <c r="BR22" i="5"/>
  <c r="BR24" i="5"/>
  <c r="BR25" i="5"/>
  <c r="BR26" i="5"/>
  <c r="BR27" i="5"/>
  <c r="BR28" i="5"/>
  <c r="BR29" i="5"/>
  <c r="BR30" i="5"/>
  <c r="BR31" i="5"/>
  <c r="BR32" i="5"/>
  <c r="BR35" i="5"/>
  <c r="BR36" i="5"/>
  <c r="BR37" i="5"/>
  <c r="BR38" i="5"/>
  <c r="BR39" i="5"/>
  <c r="BR41" i="5"/>
  <c r="BR43" i="5"/>
  <c r="BR44" i="5"/>
  <c r="BR45" i="5"/>
  <c r="BR46" i="5"/>
  <c r="BR47" i="5"/>
  <c r="BR49" i="5"/>
  <c r="BR51" i="5"/>
  <c r="BR52" i="5"/>
  <c r="BR54" i="5"/>
  <c r="BR55" i="5"/>
  <c r="BR56" i="5"/>
  <c r="BR57" i="5"/>
  <c r="BR8" i="5"/>
  <c r="BQ37" i="5"/>
  <c r="BO37" i="5"/>
  <c r="Y9" i="5"/>
  <c r="Y10" i="5"/>
  <c r="Y12" i="5"/>
  <c r="Y15" i="5"/>
  <c r="Y16" i="5"/>
  <c r="Y17" i="5"/>
  <c r="Y18" i="5"/>
  <c r="Y19" i="5"/>
  <c r="Y20" i="5"/>
  <c r="Y23" i="5"/>
  <c r="Y21" i="5"/>
  <c r="Y22" i="5"/>
  <c r="Y24" i="5"/>
  <c r="Y25" i="5"/>
  <c r="Y26" i="5"/>
  <c r="Y27" i="5"/>
  <c r="Y28" i="5"/>
  <c r="Y29" i="5"/>
  <c r="Y30" i="5"/>
  <c r="Y31" i="5"/>
  <c r="Y32" i="5"/>
  <c r="Y35" i="5"/>
  <c r="Y36" i="5"/>
  <c r="Y38" i="5"/>
  <c r="Y39" i="5"/>
  <c r="Y41" i="5"/>
  <c r="Y43" i="5"/>
  <c r="Y44" i="5"/>
  <c r="Y45" i="5"/>
  <c r="Y46" i="5"/>
  <c r="Y47" i="5"/>
  <c r="Y49" i="5"/>
  <c r="Y51" i="5"/>
  <c r="Y52" i="5"/>
  <c r="Y54" i="5"/>
  <c r="Y55" i="5"/>
  <c r="Y57" i="5"/>
  <c r="Y8" i="5"/>
  <c r="BL39" i="5"/>
  <c r="BM39" i="5" s="1"/>
  <c r="BL30" i="5"/>
  <c r="BM30" i="5" s="1"/>
  <c r="BL17" i="5"/>
  <c r="BM17" i="5" s="1"/>
  <c r="BM9" i="5"/>
  <c r="CL9" i="5" s="1"/>
  <c r="BM10" i="5"/>
  <c r="CL10" i="5" s="1"/>
  <c r="BM12" i="5"/>
  <c r="CL12" i="5" s="1"/>
  <c r="BM15" i="5"/>
  <c r="CL15" i="5" s="1"/>
  <c r="BM18" i="5"/>
  <c r="CL18" i="5" s="1"/>
  <c r="BM19" i="5"/>
  <c r="CL19" i="5" s="1"/>
  <c r="BM20" i="5"/>
  <c r="CL20" i="5" s="1"/>
  <c r="BM22" i="5"/>
  <c r="CL22" i="5" s="1"/>
  <c r="BM24" i="5"/>
  <c r="BX24" i="5" s="1"/>
  <c r="BM25" i="5"/>
  <c r="CL25" i="5" s="1"/>
  <c r="BM26" i="5"/>
  <c r="CL26" i="5" s="1"/>
  <c r="BM27" i="5"/>
  <c r="BM28" i="5"/>
  <c r="CL28" i="5" s="1"/>
  <c r="BM29" i="5"/>
  <c r="CL29" i="5" s="1"/>
  <c r="BM31" i="5"/>
  <c r="CL31" i="5" s="1"/>
  <c r="BM32" i="5"/>
  <c r="CL32" i="5" s="1"/>
  <c r="BM35" i="5"/>
  <c r="BX35" i="5" s="1"/>
  <c r="BM38" i="5"/>
  <c r="CL38" i="5" s="1"/>
  <c r="BM41" i="5"/>
  <c r="CL41" i="5" s="1"/>
  <c r="BM43" i="5"/>
  <c r="BX43" i="5" s="1"/>
  <c r="BM44" i="5"/>
  <c r="CL44" i="5" s="1"/>
  <c r="BM45" i="5"/>
  <c r="CL45" i="5" s="1"/>
  <c r="BM46" i="5"/>
  <c r="CL46" i="5" s="1"/>
  <c r="BM47" i="5"/>
  <c r="BX47" i="5" s="1"/>
  <c r="BM8" i="5"/>
  <c r="BX8" i="5" s="1"/>
  <c r="BG16" i="5"/>
  <c r="BM16" i="5" s="1"/>
  <c r="BG21" i="5"/>
  <c r="BM21" i="5" s="1"/>
  <c r="BM49" i="5"/>
  <c r="BX49" i="5" s="1"/>
  <c r="BM51" i="5"/>
  <c r="BX51" i="5" s="1"/>
  <c r="BM52" i="5"/>
  <c r="BX52" i="5" s="1"/>
  <c r="BM54" i="5"/>
  <c r="BX54" i="5" s="1"/>
  <c r="BM55" i="5"/>
  <c r="BX55" i="5" s="1"/>
  <c r="BM56" i="5"/>
  <c r="BX56" i="5" s="1"/>
  <c r="BM57" i="5"/>
  <c r="BX57" i="5" s="1"/>
  <c r="BK29" i="5"/>
  <c r="BJ29" i="5"/>
  <c r="BI29" i="5"/>
  <c r="BK57" i="5"/>
  <c r="BK56" i="5"/>
  <c r="BK55" i="5"/>
  <c r="BK54" i="5"/>
  <c r="BK52" i="5"/>
  <c r="BK51" i="5"/>
  <c r="BK49" i="5"/>
  <c r="BK47" i="5"/>
  <c r="BK46" i="5"/>
  <c r="BK44" i="5"/>
  <c r="BK43" i="5"/>
  <c r="BK41" i="5"/>
  <c r="BK39" i="5"/>
  <c r="BK38" i="5"/>
  <c r="BK36" i="5"/>
  <c r="BK35" i="5"/>
  <c r="BK32" i="5"/>
  <c r="BK31" i="5"/>
  <c r="BK30" i="5"/>
  <c r="BK28" i="5"/>
  <c r="BK27" i="5"/>
  <c r="BK26" i="5"/>
  <c r="BK25" i="5"/>
  <c r="BK24" i="5"/>
  <c r="BK22" i="5"/>
  <c r="BK23" i="5"/>
  <c r="BK20" i="5"/>
  <c r="BK19" i="5"/>
  <c r="BK8" i="5"/>
  <c r="BE9" i="5"/>
  <c r="BK9" i="5" s="1"/>
  <c r="BK10" i="5"/>
  <c r="BK12" i="5"/>
  <c r="BE15" i="5"/>
  <c r="BK15" i="5" s="1"/>
  <c r="BF16" i="5"/>
  <c r="BJ16" i="5" s="1"/>
  <c r="BE16" i="5"/>
  <c r="BK17" i="5"/>
  <c r="BK18" i="5"/>
  <c r="BF21" i="5"/>
  <c r="BJ21" i="5" s="1"/>
  <c r="BE21" i="5"/>
  <c r="BE45" i="5"/>
  <c r="BK45" i="5" s="1"/>
  <c r="BJ57" i="5"/>
  <c r="BJ56" i="5"/>
  <c r="BJ55" i="5"/>
  <c r="BJ54" i="5"/>
  <c r="BJ52" i="5"/>
  <c r="BJ51" i="5"/>
  <c r="BJ49" i="5"/>
  <c r="BJ47" i="5"/>
  <c r="BJ46" i="5"/>
  <c r="BJ45" i="5"/>
  <c r="BJ44" i="5"/>
  <c r="BJ43" i="5"/>
  <c r="BJ41" i="5"/>
  <c r="BJ39" i="5"/>
  <c r="BJ38" i="5"/>
  <c r="BJ36" i="5"/>
  <c r="BJ35" i="5"/>
  <c r="BJ32" i="5"/>
  <c r="BJ31" i="5"/>
  <c r="BJ30" i="5"/>
  <c r="BJ28" i="5"/>
  <c r="BJ27" i="5"/>
  <c r="BJ26" i="5"/>
  <c r="BJ25" i="5"/>
  <c r="BJ24" i="5"/>
  <c r="BJ22" i="5"/>
  <c r="BJ23" i="5"/>
  <c r="BJ20" i="5"/>
  <c r="BJ19" i="5"/>
  <c r="BJ18" i="5"/>
  <c r="BJ17" i="5"/>
  <c r="BJ15" i="5"/>
  <c r="BJ12" i="5"/>
  <c r="BJ10" i="5"/>
  <c r="BJ9" i="5"/>
  <c r="BJ8" i="5"/>
  <c r="BI57" i="5"/>
  <c r="BI56" i="5"/>
  <c r="BI55" i="5"/>
  <c r="BI54" i="5"/>
  <c r="BI52" i="5"/>
  <c r="BI51" i="5"/>
  <c r="BI49" i="5"/>
  <c r="BI47" i="5"/>
  <c r="BI8" i="5"/>
  <c r="BI9" i="5"/>
  <c r="BI10" i="5"/>
  <c r="BI12" i="5"/>
  <c r="BI15" i="5"/>
  <c r="BI16" i="5"/>
  <c r="BI17" i="5"/>
  <c r="BI18" i="5"/>
  <c r="BI19" i="5"/>
  <c r="BI20" i="5"/>
  <c r="BI22" i="5"/>
  <c r="BI23" i="5"/>
  <c r="BI24" i="5"/>
  <c r="BI25" i="5"/>
  <c r="BI26" i="5"/>
  <c r="BI27" i="5"/>
  <c r="BI28" i="5"/>
  <c r="BI30" i="5"/>
  <c r="BI31" i="5"/>
  <c r="BI32" i="5"/>
  <c r="BI35" i="5"/>
  <c r="BI36" i="5"/>
  <c r="BI38" i="5"/>
  <c r="BI39" i="5"/>
  <c r="BI41" i="5"/>
  <c r="BI43" i="5"/>
  <c r="BI44" i="5"/>
  <c r="BI45" i="5"/>
  <c r="BI46" i="5"/>
  <c r="AT60" i="5"/>
  <c r="AU9" i="5"/>
  <c r="BH9" i="5" s="1"/>
  <c r="AU10" i="5"/>
  <c r="BH10" i="5" s="1"/>
  <c r="AU12" i="5"/>
  <c r="BH12" i="5" s="1"/>
  <c r="AU15" i="5"/>
  <c r="BH15" i="5" s="1"/>
  <c r="AU16" i="5"/>
  <c r="AU17" i="5"/>
  <c r="BH17" i="5" s="1"/>
  <c r="AU18" i="5"/>
  <c r="BH18" i="5" s="1"/>
  <c r="AU19" i="5"/>
  <c r="BH19" i="5" s="1"/>
  <c r="AU20" i="5"/>
  <c r="BH20" i="5" s="1"/>
  <c r="AU23" i="5"/>
  <c r="BH23" i="5" s="1"/>
  <c r="AU21" i="5"/>
  <c r="AU22" i="5"/>
  <c r="BH22" i="5" s="1"/>
  <c r="AU24" i="5"/>
  <c r="BH24" i="5" s="1"/>
  <c r="AU25" i="5"/>
  <c r="BH25" i="5" s="1"/>
  <c r="AU26" i="5"/>
  <c r="BH26" i="5" s="1"/>
  <c r="AU27" i="5"/>
  <c r="BH27" i="5" s="1"/>
  <c r="AU28" i="5"/>
  <c r="BH28" i="5" s="1"/>
  <c r="AU29" i="5"/>
  <c r="BH29" i="5" s="1"/>
  <c r="AU30" i="5"/>
  <c r="BH30" i="5" s="1"/>
  <c r="AU31" i="5"/>
  <c r="BH31" i="5" s="1"/>
  <c r="AU32" i="5"/>
  <c r="BH32" i="5" s="1"/>
  <c r="AU35" i="5"/>
  <c r="BH35" i="5" s="1"/>
  <c r="AU36" i="5"/>
  <c r="BH36" i="5" s="1"/>
  <c r="AU38" i="5"/>
  <c r="BH38" i="5" s="1"/>
  <c r="AU39" i="5"/>
  <c r="BH39" i="5" s="1"/>
  <c r="AU41" i="5"/>
  <c r="BH41" i="5" s="1"/>
  <c r="AU43" i="5"/>
  <c r="BH43" i="5" s="1"/>
  <c r="AU44" i="5"/>
  <c r="BH44" i="5" s="1"/>
  <c r="AU45" i="5"/>
  <c r="BH45" i="5" s="1"/>
  <c r="AU46" i="5"/>
  <c r="BH46" i="5" s="1"/>
  <c r="AU47" i="5"/>
  <c r="BH47" i="5" s="1"/>
  <c r="AU8" i="5"/>
  <c r="BH8" i="5" s="1"/>
  <c r="AU49" i="5"/>
  <c r="BH49" i="5" s="1"/>
  <c r="AU51" i="5"/>
  <c r="BH51" i="5" s="1"/>
  <c r="AU52" i="5"/>
  <c r="BH52" i="5" s="1"/>
  <c r="AU54" i="5"/>
  <c r="AU55" i="5"/>
  <c r="BH55" i="5" s="1"/>
  <c r="AU56" i="5"/>
  <c r="BH56" i="5" s="1"/>
  <c r="AU57" i="5"/>
  <c r="BH57" i="5" s="1"/>
  <c r="BH54" i="5"/>
  <c r="BD9" i="5"/>
  <c r="BD10" i="5"/>
  <c r="BD12" i="5"/>
  <c r="BD15" i="5"/>
  <c r="BD16" i="5"/>
  <c r="BD17" i="5"/>
  <c r="BD18" i="5"/>
  <c r="BD19" i="5"/>
  <c r="BD20" i="5"/>
  <c r="BD23" i="5"/>
  <c r="BD21" i="5"/>
  <c r="BD22" i="5"/>
  <c r="BD24" i="5"/>
  <c r="BD25" i="5"/>
  <c r="BD26" i="5"/>
  <c r="BD27" i="5"/>
  <c r="BD28" i="5"/>
  <c r="BD29" i="5"/>
  <c r="BD30" i="5"/>
  <c r="BD31" i="5"/>
  <c r="BD32" i="5"/>
  <c r="BD35" i="5"/>
  <c r="BD36" i="5"/>
  <c r="BD38" i="5"/>
  <c r="BD39" i="5"/>
  <c r="BD41" i="5"/>
  <c r="BD43" i="5"/>
  <c r="BD44" i="5"/>
  <c r="BD45" i="5"/>
  <c r="BD46" i="5"/>
  <c r="BD47" i="5"/>
  <c r="BD8" i="5"/>
  <c r="BD49" i="5"/>
  <c r="BD51" i="5"/>
  <c r="BD52" i="5"/>
  <c r="BD54" i="5"/>
  <c r="BD55" i="5"/>
  <c r="BD56" i="5"/>
  <c r="BD57" i="5"/>
  <c r="BC9" i="5"/>
  <c r="BC10" i="5"/>
  <c r="BC12" i="5"/>
  <c r="BC15" i="5"/>
  <c r="BC16" i="5"/>
  <c r="BC17" i="5"/>
  <c r="BC18" i="5"/>
  <c r="BC19" i="5"/>
  <c r="BC20" i="5"/>
  <c r="BC23" i="5"/>
  <c r="BC21" i="5"/>
  <c r="BC22" i="5"/>
  <c r="BC24" i="5"/>
  <c r="BC25" i="5"/>
  <c r="BC26" i="5"/>
  <c r="BC27" i="5"/>
  <c r="BC28" i="5"/>
  <c r="BC29" i="5"/>
  <c r="BC30" i="5"/>
  <c r="BC31" i="5"/>
  <c r="BC32" i="5"/>
  <c r="BC35" i="5"/>
  <c r="BC36" i="5"/>
  <c r="BC38" i="5"/>
  <c r="BC39" i="5"/>
  <c r="BC41" i="5"/>
  <c r="BC43" i="5"/>
  <c r="BC44" i="5"/>
  <c r="BC45" i="5"/>
  <c r="BC46" i="5"/>
  <c r="BC47" i="5"/>
  <c r="BC49" i="5"/>
  <c r="BC51" i="5"/>
  <c r="BC52" i="5"/>
  <c r="BC54" i="5"/>
  <c r="BC55" i="5"/>
  <c r="BC56" i="5"/>
  <c r="BC57" i="5"/>
  <c r="BC8" i="5"/>
  <c r="BB9" i="5"/>
  <c r="BB10" i="5"/>
  <c r="BB12" i="5"/>
  <c r="BB15" i="5"/>
  <c r="BB16" i="5"/>
  <c r="BB17" i="5"/>
  <c r="BB18" i="5"/>
  <c r="BB19" i="5"/>
  <c r="BB20" i="5"/>
  <c r="BB23" i="5"/>
  <c r="BB21" i="5"/>
  <c r="BB22" i="5"/>
  <c r="BB24" i="5"/>
  <c r="BB25" i="5"/>
  <c r="BB26" i="5"/>
  <c r="BB27" i="5"/>
  <c r="BB28" i="5"/>
  <c r="BB29" i="5"/>
  <c r="BB30" i="5"/>
  <c r="BB31" i="5"/>
  <c r="BB32" i="5"/>
  <c r="BB35" i="5"/>
  <c r="BB36" i="5"/>
  <c r="BB38" i="5"/>
  <c r="BB39" i="5"/>
  <c r="BB41" i="5"/>
  <c r="BB43" i="5"/>
  <c r="BB44" i="5"/>
  <c r="BB45" i="5"/>
  <c r="BB46" i="5"/>
  <c r="BB47" i="5"/>
  <c r="BB49" i="5"/>
  <c r="BB51" i="5"/>
  <c r="BB52" i="5"/>
  <c r="BB54" i="5"/>
  <c r="BB55" i="5"/>
  <c r="BB56" i="5"/>
  <c r="BB57" i="5"/>
  <c r="BB8" i="5"/>
  <c r="AY10" i="5"/>
  <c r="AZ10" i="5"/>
  <c r="AY12" i="5"/>
  <c r="AZ12" i="5"/>
  <c r="AY15" i="5"/>
  <c r="AZ15" i="5"/>
  <c r="AY16" i="5"/>
  <c r="AZ16" i="5"/>
  <c r="AY17" i="5"/>
  <c r="AZ17" i="5"/>
  <c r="AY18" i="5"/>
  <c r="AZ18" i="5"/>
  <c r="AY19" i="5"/>
  <c r="AZ19" i="5"/>
  <c r="AY20" i="5"/>
  <c r="AZ20" i="5"/>
  <c r="AY23" i="5"/>
  <c r="AZ23" i="5"/>
  <c r="AY21" i="5"/>
  <c r="AZ21" i="5"/>
  <c r="AY22" i="5"/>
  <c r="AZ22" i="5"/>
  <c r="AY24" i="5"/>
  <c r="AZ24" i="5"/>
  <c r="AY25" i="5"/>
  <c r="AZ25" i="5"/>
  <c r="AY26" i="5"/>
  <c r="AZ26" i="5"/>
  <c r="AY27" i="5"/>
  <c r="AZ27" i="5"/>
  <c r="AY28" i="5"/>
  <c r="AZ28" i="5"/>
  <c r="AY29" i="5"/>
  <c r="AZ29" i="5"/>
  <c r="AY30" i="5"/>
  <c r="AZ30" i="5"/>
  <c r="AY31" i="5"/>
  <c r="AZ31" i="5"/>
  <c r="AY32" i="5"/>
  <c r="AZ32" i="5"/>
  <c r="AY35" i="5"/>
  <c r="AZ35" i="5"/>
  <c r="AY36" i="5"/>
  <c r="AZ36" i="5"/>
  <c r="AY38" i="5"/>
  <c r="AZ38" i="5"/>
  <c r="AY39" i="5"/>
  <c r="AZ39" i="5"/>
  <c r="AY41" i="5"/>
  <c r="AZ41" i="5"/>
  <c r="AY43" i="5"/>
  <c r="AZ43" i="5"/>
  <c r="AY44" i="5"/>
  <c r="AZ44" i="5"/>
  <c r="AY45" i="5"/>
  <c r="AZ45" i="5"/>
  <c r="AY46" i="5"/>
  <c r="AZ46" i="5"/>
  <c r="AY47" i="5"/>
  <c r="AZ47" i="5"/>
  <c r="AZ8" i="5"/>
  <c r="AZ9" i="5"/>
  <c r="AZ49" i="5"/>
  <c r="AZ51" i="5"/>
  <c r="AZ52" i="5"/>
  <c r="AZ54" i="5"/>
  <c r="AZ55" i="5"/>
  <c r="AZ56" i="5"/>
  <c r="AZ57" i="5"/>
  <c r="AY49" i="5"/>
  <c r="AY51" i="5"/>
  <c r="AY52" i="5"/>
  <c r="AY54" i="5"/>
  <c r="AY55" i="5"/>
  <c r="AY56" i="5"/>
  <c r="AY8" i="5"/>
  <c r="AY9" i="5"/>
  <c r="AY57" i="5"/>
  <c r="AW24" i="5"/>
  <c r="AS24" i="5"/>
  <c r="AA24" i="5"/>
  <c r="AW9" i="5"/>
  <c r="AW10" i="5"/>
  <c r="AW12" i="5"/>
  <c r="AW15" i="5"/>
  <c r="AW16" i="5"/>
  <c r="AW17" i="5"/>
  <c r="AW18" i="5"/>
  <c r="AW19" i="5"/>
  <c r="AW20" i="5"/>
  <c r="AW21" i="5"/>
  <c r="AW22" i="5"/>
  <c r="AW25" i="5"/>
  <c r="AW26" i="5"/>
  <c r="AW27" i="5"/>
  <c r="AW28" i="5"/>
  <c r="AW29" i="5"/>
  <c r="AW30" i="5"/>
  <c r="AW31" i="5"/>
  <c r="AW32" i="5"/>
  <c r="AW36" i="5"/>
  <c r="AW38" i="5"/>
  <c r="AW39" i="5"/>
  <c r="AW41" i="5"/>
  <c r="AW43" i="5"/>
  <c r="AW44" i="5"/>
  <c r="AW45" i="5"/>
  <c r="AW46" i="5"/>
  <c r="AW47" i="5"/>
  <c r="AW49" i="5"/>
  <c r="AW51" i="5"/>
  <c r="AW52" i="5"/>
  <c r="AW54" i="5"/>
  <c r="AW55" i="5"/>
  <c r="AW56" i="5"/>
  <c r="AW57" i="5"/>
  <c r="AW8" i="5"/>
  <c r="X60" i="5"/>
  <c r="AP60" i="5"/>
  <c r="AS57" i="5"/>
  <c r="AS55" i="5"/>
  <c r="AS54" i="5"/>
  <c r="AS52" i="5"/>
  <c r="AS51" i="5"/>
  <c r="AS49" i="5"/>
  <c r="AS47" i="5"/>
  <c r="AS8" i="5"/>
  <c r="AS9" i="5"/>
  <c r="AS10" i="5"/>
  <c r="AS12" i="5"/>
  <c r="AS15" i="5"/>
  <c r="AS16" i="5"/>
  <c r="AS17" i="5"/>
  <c r="AS18" i="5"/>
  <c r="AS19" i="5"/>
  <c r="AS20" i="5"/>
  <c r="AS21" i="5"/>
  <c r="AS22" i="5"/>
  <c r="AS25" i="5"/>
  <c r="AS26" i="5"/>
  <c r="AS27" i="5"/>
  <c r="AS28" i="5"/>
  <c r="AS29" i="5"/>
  <c r="AS30" i="5"/>
  <c r="AS31" i="5"/>
  <c r="AS32" i="5"/>
  <c r="AS36" i="5"/>
  <c r="AS38" i="5"/>
  <c r="AS39" i="5"/>
  <c r="AS41" i="5"/>
  <c r="AS43" i="5"/>
  <c r="AS44" i="5"/>
  <c r="AS45" i="5"/>
  <c r="AS46" i="5"/>
  <c r="W56" i="5"/>
  <c r="AS56" i="5" s="1"/>
  <c r="AR57" i="5"/>
  <c r="AR56" i="5"/>
  <c r="AR55" i="5"/>
  <c r="AR54" i="5"/>
  <c r="AR52" i="5"/>
  <c r="AR51" i="5"/>
  <c r="AR49" i="5"/>
  <c r="AR47" i="5"/>
  <c r="AR8" i="5"/>
  <c r="AR9" i="5"/>
  <c r="AR10" i="5"/>
  <c r="AR12" i="5"/>
  <c r="AR15" i="5"/>
  <c r="AR16" i="5"/>
  <c r="AR17" i="5"/>
  <c r="AR18" i="5"/>
  <c r="AR19" i="5"/>
  <c r="AR20" i="5"/>
  <c r="AR21" i="5"/>
  <c r="AR22" i="5"/>
  <c r="AR25" i="5"/>
  <c r="AR26" i="5"/>
  <c r="AR27" i="5"/>
  <c r="AR28" i="5"/>
  <c r="AR29" i="5"/>
  <c r="AR30" i="5"/>
  <c r="AR31" i="5"/>
  <c r="AR32" i="5"/>
  <c r="AR36" i="5"/>
  <c r="AR38" i="5"/>
  <c r="AR39" i="5"/>
  <c r="AR41" i="5"/>
  <c r="AR43" i="5"/>
  <c r="AR44" i="5"/>
  <c r="AR45" i="5"/>
  <c r="AR46" i="5"/>
  <c r="AQ57" i="5"/>
  <c r="AQ55" i="5"/>
  <c r="AQ54" i="5"/>
  <c r="AQ52" i="5"/>
  <c r="AQ51" i="5"/>
  <c r="AQ49" i="5"/>
  <c r="AQ47" i="5"/>
  <c r="AQ46" i="5"/>
  <c r="AQ45" i="5"/>
  <c r="AQ44" i="5"/>
  <c r="AQ43" i="5"/>
  <c r="AQ41" i="5"/>
  <c r="AQ39" i="5"/>
  <c r="AQ38" i="5"/>
  <c r="AQ36" i="5"/>
  <c r="AQ32" i="5"/>
  <c r="AQ31" i="5"/>
  <c r="AQ30" i="5"/>
  <c r="AQ29" i="5"/>
  <c r="AQ28" i="5"/>
  <c r="AQ27" i="5"/>
  <c r="AQ26" i="5"/>
  <c r="AQ25" i="5"/>
  <c r="AQ22" i="5"/>
  <c r="AQ21" i="5"/>
  <c r="AQ20" i="5"/>
  <c r="AQ19" i="5"/>
  <c r="AQ8" i="5"/>
  <c r="AQ9" i="5"/>
  <c r="AQ10" i="5"/>
  <c r="AQ12" i="5"/>
  <c r="AQ15" i="5"/>
  <c r="AQ16" i="5"/>
  <c r="AQ17" i="5"/>
  <c r="AQ18" i="5"/>
  <c r="AI60" i="5"/>
  <c r="AH60" i="5"/>
  <c r="AO9" i="5"/>
  <c r="AO10" i="5"/>
  <c r="AO12" i="5"/>
  <c r="AO15" i="5"/>
  <c r="AO16" i="5"/>
  <c r="AO17" i="5"/>
  <c r="AO18" i="5"/>
  <c r="AO19" i="5"/>
  <c r="AO20" i="5"/>
  <c r="AO21" i="5"/>
  <c r="AO22" i="5"/>
  <c r="AO25" i="5"/>
  <c r="AO26" i="5"/>
  <c r="AO27" i="5"/>
  <c r="AO28" i="5"/>
  <c r="AO29" i="5"/>
  <c r="AO30" i="5"/>
  <c r="AO31" i="5"/>
  <c r="AO32" i="5"/>
  <c r="AO36" i="5"/>
  <c r="AO38" i="5"/>
  <c r="AO39" i="5"/>
  <c r="AO41" i="5"/>
  <c r="AO43" i="5"/>
  <c r="AO44" i="5"/>
  <c r="AO45" i="5"/>
  <c r="AO46" i="5"/>
  <c r="AO47" i="5"/>
  <c r="AO49" i="5"/>
  <c r="AO51" i="5"/>
  <c r="AO52" i="5"/>
  <c r="AO54" i="5"/>
  <c r="AO55" i="5"/>
  <c r="AO56" i="5"/>
  <c r="AO57" i="5"/>
  <c r="AO8" i="5"/>
  <c r="AN9" i="5"/>
  <c r="AN10" i="5"/>
  <c r="AN12" i="5"/>
  <c r="AN15" i="5"/>
  <c r="AN16" i="5"/>
  <c r="AN17" i="5"/>
  <c r="AN18" i="5"/>
  <c r="AN19" i="5"/>
  <c r="AN20" i="5"/>
  <c r="AN21" i="5"/>
  <c r="AN22" i="5"/>
  <c r="AN25" i="5"/>
  <c r="AN26" i="5"/>
  <c r="AN27" i="5"/>
  <c r="AN28" i="5"/>
  <c r="AN29" i="5"/>
  <c r="AN30" i="5"/>
  <c r="AN31" i="5"/>
  <c r="AN32" i="5"/>
  <c r="AN36" i="5"/>
  <c r="AN38" i="5"/>
  <c r="AN39" i="5"/>
  <c r="AN41" i="5"/>
  <c r="AN43" i="5"/>
  <c r="AN44" i="5"/>
  <c r="AN45" i="5"/>
  <c r="AN46" i="5"/>
  <c r="AN47" i="5"/>
  <c r="AN49" i="5"/>
  <c r="AN51" i="5"/>
  <c r="AN52" i="5"/>
  <c r="AN54" i="5"/>
  <c r="AN55" i="5"/>
  <c r="AN56" i="5"/>
  <c r="AN57" i="5"/>
  <c r="AN8" i="5"/>
  <c r="AM15" i="5"/>
  <c r="AM9" i="5"/>
  <c r="AM10" i="5"/>
  <c r="AM12" i="5"/>
  <c r="AM16" i="5"/>
  <c r="AM17" i="5"/>
  <c r="AM18" i="5"/>
  <c r="AM19" i="5"/>
  <c r="AM20" i="5"/>
  <c r="AM21" i="5"/>
  <c r="AM22" i="5"/>
  <c r="AM25" i="5"/>
  <c r="AM26" i="5"/>
  <c r="AM27" i="5"/>
  <c r="AM28" i="5"/>
  <c r="AM29" i="5"/>
  <c r="AM30" i="5"/>
  <c r="AM31" i="5"/>
  <c r="AM32" i="5"/>
  <c r="AM36" i="5"/>
  <c r="AM38" i="5"/>
  <c r="AM39" i="5"/>
  <c r="AM41" i="5"/>
  <c r="AM43" i="5"/>
  <c r="AM44" i="5"/>
  <c r="AM45" i="5"/>
  <c r="AM46" i="5"/>
  <c r="AM47" i="5"/>
  <c r="AM49" i="5"/>
  <c r="AM51" i="5"/>
  <c r="AM52" i="5"/>
  <c r="AM54" i="5"/>
  <c r="AM55" i="5"/>
  <c r="AM57" i="5"/>
  <c r="AM8" i="5"/>
  <c r="AJ15" i="5"/>
  <c r="AK12" i="5"/>
  <c r="AL15" i="5"/>
  <c r="AK15" i="5"/>
  <c r="AK9" i="5"/>
  <c r="AK10" i="5"/>
  <c r="AK16" i="5"/>
  <c r="AK17" i="5"/>
  <c r="AK18" i="5"/>
  <c r="AK19" i="5"/>
  <c r="AK20" i="5"/>
  <c r="AK21" i="5"/>
  <c r="AK22" i="5"/>
  <c r="AK25" i="5"/>
  <c r="AK26" i="5"/>
  <c r="AK27" i="5"/>
  <c r="AK28" i="5"/>
  <c r="AK29" i="5"/>
  <c r="AK30" i="5"/>
  <c r="AK31" i="5"/>
  <c r="AK32" i="5"/>
  <c r="AK36" i="5"/>
  <c r="AK38" i="5"/>
  <c r="AK39" i="5"/>
  <c r="AK41" i="5"/>
  <c r="AK43" i="5"/>
  <c r="AK44" i="5"/>
  <c r="AK45" i="5"/>
  <c r="AK46" i="5"/>
  <c r="AK47" i="5"/>
  <c r="AK49" i="5"/>
  <c r="AK51" i="5"/>
  <c r="AK52" i="5"/>
  <c r="AK54" i="5"/>
  <c r="AK55" i="5"/>
  <c r="AK56" i="5"/>
  <c r="AK57" i="5"/>
  <c r="AK8" i="5"/>
  <c r="AJ9" i="5"/>
  <c r="AJ10" i="5"/>
  <c r="AJ12" i="5"/>
  <c r="AJ16" i="5"/>
  <c r="AJ17" i="5"/>
  <c r="AJ18" i="5"/>
  <c r="AJ19" i="5"/>
  <c r="AJ20" i="5"/>
  <c r="AJ21" i="5"/>
  <c r="AJ22" i="5"/>
  <c r="AJ25" i="5"/>
  <c r="AJ26" i="5"/>
  <c r="AJ27" i="5"/>
  <c r="AJ28" i="5"/>
  <c r="AJ29" i="5"/>
  <c r="AJ30" i="5"/>
  <c r="AJ31" i="5"/>
  <c r="AJ32" i="5"/>
  <c r="AJ36" i="5"/>
  <c r="AJ38" i="5"/>
  <c r="AJ39" i="5"/>
  <c r="AJ41" i="5"/>
  <c r="AJ43" i="5"/>
  <c r="AJ44" i="5"/>
  <c r="AJ45" i="5"/>
  <c r="AJ46" i="5"/>
  <c r="AJ47" i="5"/>
  <c r="AJ8" i="5"/>
  <c r="AJ49" i="5"/>
  <c r="AJ51" i="5"/>
  <c r="AJ52" i="5"/>
  <c r="AJ54" i="5"/>
  <c r="AJ55" i="5"/>
  <c r="AJ56" i="5"/>
  <c r="AJ57" i="5"/>
  <c r="AD60" i="5"/>
  <c r="AL9" i="5"/>
  <c r="AL10" i="5"/>
  <c r="AL12" i="5"/>
  <c r="AL16" i="5"/>
  <c r="AL17" i="5"/>
  <c r="AL18" i="5"/>
  <c r="AL19" i="5"/>
  <c r="AL20" i="5"/>
  <c r="AL21" i="5"/>
  <c r="AL22" i="5"/>
  <c r="AL25" i="5"/>
  <c r="AL26" i="5"/>
  <c r="AL27" i="5"/>
  <c r="AL28" i="5"/>
  <c r="AL29" i="5"/>
  <c r="AL30" i="5"/>
  <c r="AL31" i="5"/>
  <c r="AL32" i="5"/>
  <c r="AL36" i="5"/>
  <c r="AL38" i="5"/>
  <c r="AL39" i="5"/>
  <c r="AL41" i="5"/>
  <c r="AL43" i="5"/>
  <c r="AL44" i="5"/>
  <c r="AL45" i="5"/>
  <c r="AL46" i="5"/>
  <c r="AL47" i="5"/>
  <c r="AL8" i="5"/>
  <c r="AL49" i="5"/>
  <c r="AL51" i="5"/>
  <c r="AL52" i="5"/>
  <c r="AL54" i="5"/>
  <c r="AL55" i="5"/>
  <c r="AL56" i="5"/>
  <c r="AL57" i="5"/>
  <c r="AF17" i="5"/>
  <c r="AF28" i="5"/>
  <c r="AF29" i="5"/>
  <c r="AF30" i="5"/>
  <c r="AF36" i="5"/>
  <c r="AF38" i="5"/>
  <c r="AF41" i="5"/>
  <c r="AF43" i="5"/>
  <c r="AF46" i="5"/>
  <c r="AF47" i="5"/>
  <c r="AF15" i="5"/>
  <c r="AF55" i="5"/>
  <c r="AF57" i="5"/>
  <c r="AG41" i="5"/>
  <c r="AG55" i="5"/>
  <c r="AG56" i="5"/>
  <c r="AG57" i="5"/>
  <c r="AG10" i="5"/>
  <c r="AG12" i="5"/>
  <c r="AG15" i="5"/>
  <c r="AG17" i="5"/>
  <c r="AG19" i="5"/>
  <c r="AG20" i="5"/>
  <c r="AG27" i="5"/>
  <c r="AG28" i="5"/>
  <c r="AG29" i="5"/>
  <c r="AG31" i="5"/>
  <c r="AG32" i="5"/>
  <c r="AG36" i="5"/>
  <c r="AG38" i="5"/>
  <c r="AE9" i="5"/>
  <c r="AE57" i="5"/>
  <c r="O60" i="5"/>
  <c r="P60" i="5"/>
  <c r="Q60" i="5"/>
  <c r="R60" i="5"/>
  <c r="S60" i="5"/>
  <c r="Z60" i="5"/>
  <c r="AB60" i="5"/>
  <c r="AC60" i="5"/>
  <c r="AE41" i="5"/>
  <c r="AE43" i="5"/>
  <c r="AE46" i="5"/>
  <c r="AE51" i="5"/>
  <c r="AE54" i="5"/>
  <c r="AE55" i="5"/>
  <c r="AE56" i="5"/>
  <c r="L8" i="5"/>
  <c r="I8" i="5"/>
  <c r="AA55" i="5"/>
  <c r="AA54" i="5"/>
  <c r="AA52" i="5"/>
  <c r="AA51" i="5"/>
  <c r="AA49" i="5"/>
  <c r="AA47" i="5"/>
  <c r="AA8" i="5"/>
  <c r="AA9" i="5"/>
  <c r="AA10" i="5"/>
  <c r="AA12" i="5"/>
  <c r="AA15" i="5"/>
  <c r="AA16" i="5"/>
  <c r="AA17" i="5"/>
  <c r="AA18" i="5"/>
  <c r="AA19" i="5"/>
  <c r="AA20" i="5"/>
  <c r="AA21" i="5"/>
  <c r="AA22" i="5"/>
  <c r="AA25" i="5"/>
  <c r="AA26" i="5"/>
  <c r="AA27" i="5"/>
  <c r="AA28" i="5"/>
  <c r="AA29" i="5"/>
  <c r="AA30" i="5"/>
  <c r="AA31" i="5"/>
  <c r="AA32" i="5"/>
  <c r="AA36" i="5"/>
  <c r="AA38" i="5"/>
  <c r="AA39" i="5"/>
  <c r="AA41" i="5"/>
  <c r="AA43" i="5"/>
  <c r="AA44" i="5"/>
  <c r="AA45" i="5"/>
  <c r="AA46" i="5"/>
  <c r="D60" i="5"/>
  <c r="T56" i="5"/>
  <c r="U56" i="5" s="1"/>
  <c r="L56" i="5"/>
  <c r="I56" i="5"/>
  <c r="T55" i="5"/>
  <c r="U55" i="5" s="1"/>
  <c r="L55" i="5"/>
  <c r="I55" i="5"/>
  <c r="T54" i="5"/>
  <c r="U54" i="5" s="1"/>
  <c r="L54" i="5"/>
  <c r="I54" i="5"/>
  <c r="T52" i="5"/>
  <c r="U52" i="5" s="1"/>
  <c r="L52" i="5"/>
  <c r="I52" i="5"/>
  <c r="T51" i="5"/>
  <c r="U51" i="5" s="1"/>
  <c r="L51" i="5"/>
  <c r="I51" i="5"/>
  <c r="T49" i="5"/>
  <c r="U49" i="5" s="1"/>
  <c r="L49" i="5"/>
  <c r="I49" i="5"/>
  <c r="T47" i="5"/>
  <c r="U47" i="5" s="1"/>
  <c r="T8" i="5"/>
  <c r="U8" i="5" s="1"/>
  <c r="T9" i="5"/>
  <c r="U9" i="5" s="1"/>
  <c r="L9" i="5"/>
  <c r="I9" i="5"/>
  <c r="T10" i="5"/>
  <c r="U10" i="5" s="1"/>
  <c r="T12" i="5"/>
  <c r="U12" i="5" s="1"/>
  <c r="L12" i="5"/>
  <c r="I12" i="5"/>
  <c r="U15" i="5"/>
  <c r="L15" i="5"/>
  <c r="I15" i="5"/>
  <c r="T16" i="5"/>
  <c r="U16" i="5" s="1"/>
  <c r="T17" i="5"/>
  <c r="U17" i="5" s="1"/>
  <c r="L17" i="5"/>
  <c r="I17" i="5"/>
  <c r="T18" i="5"/>
  <c r="U18" i="5" s="1"/>
  <c r="T19" i="5"/>
  <c r="U19" i="5" s="1"/>
  <c r="L19" i="5"/>
  <c r="I19" i="5"/>
  <c r="T20" i="5"/>
  <c r="U20" i="5" s="1"/>
  <c r="L20" i="5"/>
  <c r="I20" i="5"/>
  <c r="T21" i="5"/>
  <c r="U21" i="5" s="1"/>
  <c r="T22" i="5"/>
  <c r="U22" i="5" s="1"/>
  <c r="L22" i="5"/>
  <c r="I22" i="5"/>
  <c r="T25" i="5"/>
  <c r="U25" i="5" s="1"/>
  <c r="T26" i="5"/>
  <c r="U26" i="5" s="1"/>
  <c r="L26" i="5"/>
  <c r="I26" i="5"/>
  <c r="T27" i="5"/>
  <c r="U27" i="5" s="1"/>
  <c r="L27" i="5"/>
  <c r="I27" i="5"/>
  <c r="T28" i="5"/>
  <c r="U28" i="5" s="1"/>
  <c r="L28" i="5"/>
  <c r="I28" i="5"/>
  <c r="T29" i="5"/>
  <c r="U29" i="5" s="1"/>
  <c r="L29" i="5"/>
  <c r="I29" i="5"/>
  <c r="T30" i="5"/>
  <c r="U30" i="5" s="1"/>
  <c r="T31" i="5"/>
  <c r="U31" i="5" s="1"/>
  <c r="T32" i="5"/>
  <c r="U32" i="5" s="1"/>
  <c r="V32" i="5" s="1"/>
  <c r="T36" i="5"/>
  <c r="U36" i="5" s="1"/>
  <c r="L36" i="5"/>
  <c r="I36" i="5"/>
  <c r="T38" i="5"/>
  <c r="U38" i="5" s="1"/>
  <c r="L38" i="5"/>
  <c r="I38" i="5"/>
  <c r="T39" i="5"/>
  <c r="U39" i="5" s="1"/>
  <c r="L39" i="5"/>
  <c r="I39" i="5"/>
  <c r="T41" i="5"/>
  <c r="U41" i="5" s="1"/>
  <c r="T43" i="5"/>
  <c r="U43" i="5" s="1"/>
  <c r="T44" i="5"/>
  <c r="U44" i="5" s="1"/>
  <c r="L44" i="5"/>
  <c r="I44" i="5"/>
  <c r="T45" i="5"/>
  <c r="U45" i="5" s="1"/>
  <c r="L47" i="5"/>
  <c r="G47" i="5"/>
  <c r="I47" i="5" s="1"/>
  <c r="L45" i="5"/>
  <c r="I45" i="5"/>
  <c r="L43" i="5"/>
  <c r="I43" i="5"/>
  <c r="L41" i="5"/>
  <c r="I41" i="5"/>
  <c r="L31" i="5"/>
  <c r="I31" i="5"/>
  <c r="L30" i="5"/>
  <c r="G30" i="5"/>
  <c r="I30" i="5" s="1"/>
  <c r="L25" i="5"/>
  <c r="I25" i="5"/>
  <c r="L21" i="5"/>
  <c r="I21" i="5"/>
  <c r="I10" i="5"/>
  <c r="I16" i="5"/>
  <c r="G18" i="5"/>
  <c r="I18" i="5" s="1"/>
  <c r="L18" i="5"/>
  <c r="L16" i="5"/>
  <c r="L10" i="5"/>
  <c r="K60" i="5"/>
  <c r="F60" i="5"/>
  <c r="J60" i="5"/>
  <c r="E60" i="5"/>
  <c r="H60" i="5"/>
  <c r="FC8" i="5"/>
  <c r="EN20" i="5"/>
  <c r="DJ30" i="5" l="1"/>
  <c r="DE12" i="5"/>
  <c r="BO41" i="5"/>
  <c r="EN49" i="5"/>
  <c r="EX18" i="5"/>
  <c r="BQ26" i="5"/>
  <c r="BF60" i="5"/>
  <c r="EX29" i="5"/>
  <c r="BV23" i="5"/>
  <c r="BI21" i="5"/>
  <c r="BI60" i="5" s="1"/>
  <c r="BO12" i="5"/>
  <c r="CJ21" i="5"/>
  <c r="CD20" i="5"/>
  <c r="CD21" i="5"/>
  <c r="CC20" i="5"/>
  <c r="BQ55" i="5"/>
  <c r="BT10" i="5"/>
  <c r="HN60" i="5"/>
  <c r="BQ29" i="5"/>
  <c r="CD41" i="5"/>
  <c r="DJ22" i="5"/>
  <c r="CU56" i="5"/>
  <c r="CW56" i="5"/>
  <c r="FA43" i="5"/>
  <c r="CB51" i="5"/>
  <c r="CA60" i="5"/>
  <c r="CL51" i="5"/>
  <c r="FZ43" i="5"/>
  <c r="EO36" i="5"/>
  <c r="CZ23" i="5"/>
  <c r="BT12" i="5"/>
  <c r="BQ41" i="5"/>
  <c r="CB26" i="5"/>
  <c r="BZ23" i="5"/>
  <c r="BV16" i="5"/>
  <c r="BO20" i="5"/>
  <c r="CB46" i="5"/>
  <c r="CQ8" i="5"/>
  <c r="BX12" i="5"/>
  <c r="CG26" i="5"/>
  <c r="CY8" i="5"/>
  <c r="HT60" i="5"/>
  <c r="BT31" i="5"/>
  <c r="BT46" i="5"/>
  <c r="CD39" i="5"/>
  <c r="BZ31" i="5"/>
  <c r="BV46" i="5"/>
  <c r="CB31" i="5"/>
  <c r="BU31" i="5"/>
  <c r="CP54" i="5"/>
  <c r="BX20" i="5"/>
  <c r="BQ20" i="5"/>
  <c r="BU23" i="5"/>
  <c r="BZ39" i="5"/>
  <c r="CG12" i="5"/>
  <c r="CG31" i="5"/>
  <c r="BU46" i="5"/>
  <c r="CB45" i="5"/>
  <c r="GA20" i="5"/>
  <c r="BV17" i="5"/>
  <c r="HI60" i="5"/>
  <c r="CG32" i="5"/>
  <c r="BV57" i="5"/>
  <c r="BO22" i="5"/>
  <c r="EP30" i="5"/>
  <c r="CW43" i="5"/>
  <c r="CD23" i="5"/>
  <c r="CG15" i="5"/>
  <c r="BZ27" i="5"/>
  <c r="BU57" i="5"/>
  <c r="CE23" i="5"/>
  <c r="BT45" i="5"/>
  <c r="CD22" i="5"/>
  <c r="CG51" i="5"/>
  <c r="BV52" i="5"/>
  <c r="BT19" i="5"/>
  <c r="BT51" i="5"/>
  <c r="BQ51" i="5"/>
  <c r="CG10" i="5"/>
  <c r="CB36" i="5"/>
  <c r="CB56" i="5"/>
  <c r="BU22" i="5"/>
  <c r="BT15" i="5"/>
  <c r="BZ36" i="5"/>
  <c r="BU17" i="5"/>
  <c r="BQ22" i="5"/>
  <c r="BT41" i="5"/>
  <c r="BQ32" i="5"/>
  <c r="CD17" i="5"/>
  <c r="CB15" i="5"/>
  <c r="BZ17" i="5"/>
  <c r="BV27" i="5"/>
  <c r="BV36" i="5"/>
  <c r="CL47" i="5"/>
  <c r="BU27" i="5"/>
  <c r="CW8" i="5"/>
  <c r="BQ15" i="5"/>
  <c r="CD27" i="5"/>
  <c r="CD57" i="5"/>
  <c r="BO15" i="5"/>
  <c r="CG47" i="5"/>
  <c r="CD36" i="5"/>
  <c r="BZ57" i="5"/>
  <c r="BV41" i="5"/>
  <c r="BU36" i="5"/>
  <c r="CU58" i="5"/>
  <c r="BX17" i="5"/>
  <c r="BO17" i="5"/>
  <c r="CQ57" i="5"/>
  <c r="DS31" i="5"/>
  <c r="ES30" i="5"/>
  <c r="DS27" i="5"/>
  <c r="CN36" i="5"/>
  <c r="CQ12" i="5"/>
  <c r="DA9" i="5"/>
  <c r="DJ9" i="5"/>
  <c r="DD12" i="5"/>
  <c r="DS19" i="5"/>
  <c r="CQ43" i="5"/>
  <c r="DD43" i="5"/>
  <c r="DD57" i="5"/>
  <c r="CP57" i="5"/>
  <c r="CZ43" i="5"/>
  <c r="DS43" i="5"/>
  <c r="EP20" i="5"/>
  <c r="CU41" i="5"/>
  <c r="BO38" i="5"/>
  <c r="BX45" i="5"/>
  <c r="DA22" i="5"/>
  <c r="CZ57" i="5"/>
  <c r="DS21" i="5"/>
  <c r="EX15" i="5"/>
  <c r="HC60" i="5"/>
  <c r="HC61" i="5" s="1"/>
  <c r="EU30" i="5"/>
  <c r="CP23" i="5"/>
  <c r="BK21" i="5"/>
  <c r="CD19" i="5"/>
  <c r="DS47" i="5"/>
  <c r="AM56" i="5"/>
  <c r="AM60" i="5" s="1"/>
  <c r="BQ10" i="5"/>
  <c r="BQ25" i="5"/>
  <c r="BQ38" i="5"/>
  <c r="BQ54" i="5"/>
  <c r="BO10" i="5"/>
  <c r="BO54" i="5"/>
  <c r="CD38" i="5"/>
  <c r="BZ38" i="5"/>
  <c r="BZ19" i="5"/>
  <c r="CG38" i="5"/>
  <c r="BG60" i="5"/>
  <c r="M45" i="5"/>
  <c r="V45" i="5" s="1"/>
  <c r="CC8" i="5"/>
  <c r="DA27" i="5"/>
  <c r="DD23" i="5"/>
  <c r="DU29" i="5"/>
  <c r="DY29" i="5" s="1"/>
  <c r="FA29" i="5"/>
  <c r="DE38" i="5"/>
  <c r="CE49" i="5"/>
  <c r="CC43" i="5"/>
  <c r="BX41" i="5"/>
  <c r="DU17" i="5"/>
  <c r="EI17" i="5" s="1"/>
  <c r="CW47" i="5"/>
  <c r="BT29" i="5"/>
  <c r="BT54" i="5"/>
  <c r="BQ45" i="5"/>
  <c r="BT38" i="5"/>
  <c r="BQ12" i="5"/>
  <c r="CB10" i="5"/>
  <c r="CB19" i="5"/>
  <c r="BO45" i="5"/>
  <c r="CG54" i="5"/>
  <c r="BV31" i="5"/>
  <c r="BV19" i="5"/>
  <c r="CB12" i="5"/>
  <c r="CG20" i="5"/>
  <c r="BO29" i="5"/>
  <c r="CB38" i="5"/>
  <c r="CG41" i="5"/>
  <c r="BO46" i="5"/>
  <c r="BU52" i="5"/>
  <c r="FA15" i="5"/>
  <c r="EY29" i="5"/>
  <c r="DI54" i="5"/>
  <c r="DI23" i="5"/>
  <c r="CW54" i="5"/>
  <c r="BX31" i="5"/>
  <c r="BU19" i="5"/>
  <c r="Y56" i="5"/>
  <c r="Y60" i="5" s="1"/>
  <c r="BQ19" i="5"/>
  <c r="BQ31" i="5"/>
  <c r="BT20" i="5"/>
  <c r="BT55" i="5"/>
  <c r="BQ46" i="5"/>
  <c r="BO25" i="5"/>
  <c r="CD52" i="5"/>
  <c r="BL60" i="5"/>
  <c r="CG19" i="5"/>
  <c r="BO26" i="5"/>
  <c r="CG45" i="5"/>
  <c r="CD16" i="5"/>
  <c r="CD46" i="5"/>
  <c r="BZ16" i="5"/>
  <c r="BZ22" i="5"/>
  <c r="BZ52" i="5"/>
  <c r="BV39" i="5"/>
  <c r="BV22" i="5"/>
  <c r="BU16" i="5"/>
  <c r="CB20" i="5"/>
  <c r="CG29" i="5"/>
  <c r="BO31" i="5"/>
  <c r="CB41" i="5"/>
  <c r="CG46" i="5"/>
  <c r="BX38" i="5"/>
  <c r="CJ15" i="5"/>
  <c r="CN8" i="5"/>
  <c r="DO8" i="5"/>
  <c r="DJ15" i="5"/>
  <c r="DS12" i="5"/>
  <c r="DS57" i="5"/>
  <c r="EN9" i="5"/>
  <c r="HD60" i="5"/>
  <c r="CD35" i="5"/>
  <c r="BH16" i="5"/>
  <c r="DS8" i="5"/>
  <c r="CM8" i="5"/>
  <c r="DS28" i="5"/>
  <c r="DS56" i="5"/>
  <c r="EN30" i="5"/>
  <c r="DC8" i="5"/>
  <c r="DD49" i="5"/>
  <c r="W60" i="5"/>
  <c r="BQ36" i="5"/>
  <c r="CD31" i="5"/>
  <c r="BO19" i="5"/>
  <c r="BZ46" i="5"/>
  <c r="BV38" i="5"/>
  <c r="CJ32" i="5"/>
  <c r="ES29" i="5"/>
  <c r="BH21" i="5"/>
  <c r="FD60" i="5"/>
  <c r="CG56" i="5"/>
  <c r="BQ56" i="5"/>
  <c r="BO56" i="5"/>
  <c r="BU41" i="5"/>
  <c r="BZ41" i="5"/>
  <c r="GY60" i="5"/>
  <c r="BO51" i="5"/>
  <c r="EV60" i="5"/>
  <c r="EY58" i="5"/>
  <c r="EQ60" i="5"/>
  <c r="CV19" i="5"/>
  <c r="CQ27" i="5"/>
  <c r="DC27" i="5"/>
  <c r="CW57" i="5"/>
  <c r="EN15" i="5"/>
  <c r="FC23" i="5"/>
  <c r="FF23" i="5" s="1"/>
  <c r="FN23" i="5" s="1"/>
  <c r="ES23" i="5"/>
  <c r="CB29" i="5"/>
  <c r="BE60" i="5"/>
  <c r="CL27" i="5"/>
  <c r="CN27" i="5"/>
  <c r="DO27" i="5"/>
  <c r="CV57" i="5"/>
  <c r="CW37" i="5"/>
  <c r="DJ52" i="5"/>
  <c r="DS24" i="5"/>
  <c r="DU18" i="5"/>
  <c r="DY18" i="5" s="1"/>
  <c r="DS16" i="5"/>
  <c r="EO9" i="5"/>
  <c r="EY23" i="5"/>
  <c r="FF43" i="5"/>
  <c r="FH43" i="5" s="1"/>
  <c r="FC58" i="5"/>
  <c r="FF58" i="5" s="1"/>
  <c r="FH58" i="5" s="1"/>
  <c r="CU57" i="5"/>
  <c r="DI41" i="5"/>
  <c r="CG8" i="5"/>
  <c r="CC23" i="5"/>
  <c r="CC16" i="5"/>
  <c r="CK60" i="5"/>
  <c r="CY27" i="5"/>
  <c r="CW23" i="5"/>
  <c r="DE20" i="5"/>
  <c r="DD20" i="5"/>
  <c r="DS20" i="5"/>
  <c r="DS38" i="5"/>
  <c r="DS51" i="5"/>
  <c r="EN29" i="5"/>
  <c r="EP9" i="5"/>
  <c r="EX30" i="5"/>
  <c r="FC18" i="5"/>
  <c r="FF18" i="5" s="1"/>
  <c r="FS18" i="5" s="1"/>
  <c r="CB25" i="5"/>
  <c r="BX25" i="5"/>
  <c r="BT25" i="5"/>
  <c r="CG25" i="5"/>
  <c r="BZ35" i="5"/>
  <c r="BU35" i="5"/>
  <c r="DA47" i="5"/>
  <c r="DJ47" i="5"/>
  <c r="DU44" i="5"/>
  <c r="DY44" i="5" s="1"/>
  <c r="CT60" i="5"/>
  <c r="CU60" i="5" s="1"/>
  <c r="CV60" i="5" s="1"/>
  <c r="CW60" i="5" s="1"/>
  <c r="BQ52" i="5"/>
  <c r="BT26" i="5"/>
  <c r="CU26" i="5"/>
  <c r="CW18" i="5"/>
  <c r="CW41" i="5"/>
  <c r="CV18" i="5"/>
  <c r="DE30" i="5"/>
  <c r="DA30" i="5"/>
  <c r="BQ24" i="5"/>
  <c r="BZ18" i="5"/>
  <c r="BO35" i="5"/>
  <c r="CB57" i="5"/>
  <c r="CU18" i="5"/>
  <c r="DA18" i="5"/>
  <c r="CW30" i="5"/>
  <c r="DE18" i="5"/>
  <c r="CV26" i="5"/>
  <c r="DU26" i="5"/>
  <c r="EM26" i="5" s="1"/>
  <c r="DA46" i="5"/>
  <c r="CV46" i="5"/>
  <c r="BO24" i="5"/>
  <c r="CB28" i="5"/>
  <c r="CG44" i="5"/>
  <c r="BO52" i="5"/>
  <c r="CV22" i="5"/>
  <c r="CW26" i="5"/>
  <c r="DJ12" i="5"/>
  <c r="CU22" i="5"/>
  <c r="DE56" i="5"/>
  <c r="DU22" i="5"/>
  <c r="EM22" i="5" s="1"/>
  <c r="EO20" i="5"/>
  <c r="EP29" i="5"/>
  <c r="CG16" i="5"/>
  <c r="BO16" i="5"/>
  <c r="BX16" i="5"/>
  <c r="BQ16" i="5"/>
  <c r="BT16" i="5"/>
  <c r="CB16" i="5"/>
  <c r="CE15" i="5"/>
  <c r="DB60" i="5"/>
  <c r="EW43" i="5"/>
  <c r="EX23" i="5"/>
  <c r="FF30" i="5"/>
  <c r="FN30" i="5" s="1"/>
  <c r="CJ8" i="5"/>
  <c r="EP36" i="5"/>
  <c r="EP23" i="5"/>
  <c r="EU29" i="5"/>
  <c r="GA30" i="5"/>
  <c r="GA60" i="5" s="1"/>
  <c r="EG60" i="5"/>
  <c r="CQ35" i="5"/>
  <c r="BX44" i="5"/>
  <c r="EI47" i="5"/>
  <c r="BT24" i="5"/>
  <c r="BT49" i="5"/>
  <c r="BQ44" i="5"/>
  <c r="CG24" i="5"/>
  <c r="CB8" i="5"/>
  <c r="CD26" i="5"/>
  <c r="BV56" i="5"/>
  <c r="CB44" i="5"/>
  <c r="BO49" i="5"/>
  <c r="BO55" i="5"/>
  <c r="BU18" i="5"/>
  <c r="M16" i="5"/>
  <c r="N16" i="5" s="1"/>
  <c r="BX26" i="5"/>
  <c r="CU17" i="5"/>
  <c r="DA17" i="5"/>
  <c r="DS36" i="5"/>
  <c r="GO31" i="5"/>
  <c r="GQ31" i="5" s="1"/>
  <c r="GU31" i="5" s="1"/>
  <c r="GO23" i="5"/>
  <c r="GQ23" i="5" s="1"/>
  <c r="GO15" i="5"/>
  <c r="GQ15" i="5" s="1"/>
  <c r="GU15" i="5" s="1"/>
  <c r="BQ49" i="5"/>
  <c r="BT36" i="5"/>
  <c r="BQ28" i="5"/>
  <c r="CD43" i="5"/>
  <c r="CB24" i="5"/>
  <c r="BO28" i="5"/>
  <c r="BO36" i="5"/>
  <c r="BV43" i="5"/>
  <c r="CG49" i="5"/>
  <c r="CG55" i="5"/>
  <c r="CL24" i="5"/>
  <c r="DU9" i="5"/>
  <c r="DV9" i="5" s="1"/>
  <c r="CW25" i="5"/>
  <c r="CL55" i="5"/>
  <c r="BT35" i="5"/>
  <c r="BT8" i="5"/>
  <c r="BT28" i="5"/>
  <c r="BT44" i="5"/>
  <c r="BQ8" i="5"/>
  <c r="CG28" i="5"/>
  <c r="CG36" i="5"/>
  <c r="BO8" i="5"/>
  <c r="BO9" i="5"/>
  <c r="CB18" i="5"/>
  <c r="BO44" i="5"/>
  <c r="CB49" i="5"/>
  <c r="CB55" i="5"/>
  <c r="BU37" i="5"/>
  <c r="CU10" i="5"/>
  <c r="DE17" i="5"/>
  <c r="DU14" i="5"/>
  <c r="GO27" i="5"/>
  <c r="GQ27" i="5" s="1"/>
  <c r="GO19" i="5"/>
  <c r="GQ19" i="5" s="1"/>
  <c r="BR60" i="5"/>
  <c r="DA35" i="5"/>
  <c r="DE35" i="5"/>
  <c r="BB60" i="5"/>
  <c r="EU8" i="5"/>
  <c r="BX27" i="5"/>
  <c r="CZ41" i="5"/>
  <c r="BT22" i="5"/>
  <c r="BT47" i="5"/>
  <c r="BT9" i="5"/>
  <c r="BO43" i="5"/>
  <c r="BV26" i="5"/>
  <c r="CG22" i="5"/>
  <c r="DS37" i="5"/>
  <c r="EW58" i="5"/>
  <c r="DJ50" i="5"/>
  <c r="CU21" i="5"/>
  <c r="CE29" i="5"/>
  <c r="CL16" i="5"/>
  <c r="BT17" i="5"/>
  <c r="BT27" i="5"/>
  <c r="BT43" i="5"/>
  <c r="BQ43" i="5"/>
  <c r="BT18" i="5"/>
  <c r="BT52" i="5"/>
  <c r="BQ9" i="5"/>
  <c r="CG17" i="5"/>
  <c r="BO32" i="5"/>
  <c r="CB43" i="5"/>
  <c r="BO47" i="5"/>
  <c r="CB54" i="5"/>
  <c r="CD56" i="5"/>
  <c r="BZ37" i="5"/>
  <c r="CG18" i="5"/>
  <c r="CB27" i="5"/>
  <c r="CG57" i="5"/>
  <c r="BU43" i="5"/>
  <c r="BU26" i="5"/>
  <c r="BU56" i="5"/>
  <c r="AA56" i="5"/>
  <c r="AA60" i="5" s="1"/>
  <c r="AF56" i="5"/>
  <c r="AF60" i="5" s="1"/>
  <c r="BO23" i="5"/>
  <c r="BX23" i="5"/>
  <c r="CC32" i="5"/>
  <c r="CD49" i="5"/>
  <c r="CD32" i="5"/>
  <c r="CD9" i="5"/>
  <c r="CY16" i="5"/>
  <c r="CM16" i="5"/>
  <c r="CU35" i="5"/>
  <c r="CV56" i="5"/>
  <c r="CW36" i="5"/>
  <c r="DA56" i="5"/>
  <c r="CW21" i="5"/>
  <c r="CW39" i="5"/>
  <c r="DE36" i="5"/>
  <c r="DE21" i="5"/>
  <c r="DE45" i="5"/>
  <c r="CP12" i="5"/>
  <c r="DC36" i="5"/>
  <c r="DS42" i="5"/>
  <c r="DS55" i="5"/>
  <c r="CO36" i="5"/>
  <c r="DI36" i="5" s="1"/>
  <c r="EN43" i="5"/>
  <c r="EO8" i="5"/>
  <c r="EP8" i="5"/>
  <c r="EU15" i="5"/>
  <c r="EY30" i="5"/>
  <c r="GO14" i="5"/>
  <c r="GQ14" i="5" s="1"/>
  <c r="GO10" i="5"/>
  <c r="GQ10" i="5" s="1"/>
  <c r="DS50" i="5"/>
  <c r="DA50" i="5"/>
  <c r="CB17" i="5"/>
  <c r="BQ23" i="5"/>
  <c r="BT57" i="5"/>
  <c r="CB32" i="5"/>
  <c r="CD18" i="5"/>
  <c r="BZ26" i="5"/>
  <c r="BT37" i="5"/>
  <c r="CQ16" i="5"/>
  <c r="CU8" i="5"/>
  <c r="DC16" i="5"/>
  <c r="DO16" i="5"/>
  <c r="CM36" i="5"/>
  <c r="CQ41" i="5"/>
  <c r="CV41" i="5"/>
  <c r="CW50" i="5"/>
  <c r="DA10" i="5"/>
  <c r="CV29" i="5"/>
  <c r="DA45" i="5"/>
  <c r="DJ10" i="5"/>
  <c r="DJ29" i="5"/>
  <c r="DE55" i="5"/>
  <c r="CZ12" i="5"/>
  <c r="DO36" i="5"/>
  <c r="DS15" i="5"/>
  <c r="DS23" i="5"/>
  <c r="DH16" i="5"/>
  <c r="DH60" i="5" s="1"/>
  <c r="EB60" i="5"/>
  <c r="EL60" i="5"/>
  <c r="EP43" i="5"/>
  <c r="FA30" i="5"/>
  <c r="EY8" i="5"/>
  <c r="EP21" i="5"/>
  <c r="CV21" i="5"/>
  <c r="BQ47" i="5"/>
  <c r="BQ18" i="5"/>
  <c r="CB47" i="5"/>
  <c r="BZ43" i="5"/>
  <c r="CG9" i="5"/>
  <c r="BO27" i="5"/>
  <c r="CG52" i="5"/>
  <c r="FW60" i="5"/>
  <c r="EO21" i="5"/>
  <c r="CC29" i="5"/>
  <c r="CE9" i="5"/>
  <c r="CC9" i="5"/>
  <c r="CP41" i="5"/>
  <c r="BQ17" i="5"/>
  <c r="BT23" i="5"/>
  <c r="BT56" i="5"/>
  <c r="BQ27" i="5"/>
  <c r="BQ57" i="5"/>
  <c r="BT32" i="5"/>
  <c r="CD37" i="5"/>
  <c r="CL17" i="5"/>
  <c r="CG43" i="5"/>
  <c r="BZ56" i="5"/>
  <c r="BV37" i="5"/>
  <c r="BV18" i="5"/>
  <c r="CB9" i="5"/>
  <c r="BO18" i="5"/>
  <c r="CB22" i="5"/>
  <c r="CG27" i="5"/>
  <c r="CB52" i="5"/>
  <c r="BO57" i="5"/>
  <c r="CL43" i="5"/>
  <c r="BK16" i="5"/>
  <c r="CC49" i="5"/>
  <c r="CC21" i="5"/>
  <c r="CJ20" i="5"/>
  <c r="CE8" i="5"/>
  <c r="CU16" i="5"/>
  <c r="CV12" i="5"/>
  <c r="DA25" i="5"/>
  <c r="CU39" i="5"/>
  <c r="CU46" i="5"/>
  <c r="CW12" i="5"/>
  <c r="DA26" i="5"/>
  <c r="DA41" i="5"/>
  <c r="DA21" i="5"/>
  <c r="CW45" i="5"/>
  <c r="DE26" i="5"/>
  <c r="DJ41" i="5"/>
  <c r="CU25" i="5"/>
  <c r="DJ45" i="5"/>
  <c r="DJ58" i="5"/>
  <c r="CY36" i="5"/>
  <c r="DF20" i="5"/>
  <c r="DF60" i="5" s="1"/>
  <c r="DM8" i="5"/>
  <c r="DM60" i="5" s="1"/>
  <c r="DS10" i="5"/>
  <c r="DU58" i="5"/>
  <c r="DY58" i="5" s="1"/>
  <c r="DS46" i="5"/>
  <c r="DI43" i="5"/>
  <c r="EN21" i="5"/>
  <c r="EO49" i="5"/>
  <c r="ET15" i="5"/>
  <c r="ER15" i="5"/>
  <c r="EU23" i="5"/>
  <c r="EY43" i="5"/>
  <c r="FF17" i="5"/>
  <c r="FN17" i="5" s="1"/>
  <c r="GO11" i="5"/>
  <c r="GU43" i="5"/>
  <c r="BX21" i="5"/>
  <c r="CL21" i="5"/>
  <c r="CG21" i="5"/>
  <c r="CB21" i="5"/>
  <c r="BQ21" i="5"/>
  <c r="BO21" i="5"/>
  <c r="BT21" i="5"/>
  <c r="CL39" i="5"/>
  <c r="BQ39" i="5"/>
  <c r="CG39" i="5"/>
  <c r="BT39" i="5"/>
  <c r="CB39" i="5"/>
  <c r="BX39" i="5"/>
  <c r="BO39" i="5"/>
  <c r="EM47" i="5"/>
  <c r="BJ60" i="5"/>
  <c r="EE47" i="5"/>
  <c r="G60" i="5"/>
  <c r="CJ16" i="5"/>
  <c r="CE43" i="5"/>
  <c r="CM27" i="5"/>
  <c r="CU38" i="5"/>
  <c r="CW38" i="5"/>
  <c r="CV25" i="5"/>
  <c r="CW44" i="5"/>
  <c r="CU43" i="5"/>
  <c r="CW17" i="5"/>
  <c r="CW29" i="5"/>
  <c r="CV39" i="5"/>
  <c r="CV43" i="5"/>
  <c r="DJ31" i="5"/>
  <c r="DE10" i="5"/>
  <c r="DE25" i="5"/>
  <c r="DE39" i="5"/>
  <c r="DC20" i="5"/>
  <c r="DS32" i="5"/>
  <c r="DU54" i="5"/>
  <c r="EE54" i="5" s="1"/>
  <c r="DS13" i="5"/>
  <c r="DU45" i="5"/>
  <c r="EA45" i="5" s="1"/>
  <c r="DU41" i="5"/>
  <c r="EO15" i="5"/>
  <c r="EP49" i="5"/>
  <c r="EN36" i="5"/>
  <c r="ES15" i="5"/>
  <c r="ER23" i="5"/>
  <c r="DW60" i="5"/>
  <c r="EW49" i="5"/>
  <c r="EW8" i="5"/>
  <c r="EY15" i="5"/>
  <c r="FZ30" i="5"/>
  <c r="FY43" i="5"/>
  <c r="FY60" i="5" s="1"/>
  <c r="M9" i="5"/>
  <c r="N9" i="5" s="1"/>
  <c r="M52" i="5"/>
  <c r="V52" i="5" s="1"/>
  <c r="EY49" i="5"/>
  <c r="CL30" i="5"/>
  <c r="CB30" i="5"/>
  <c r="BQ30" i="5"/>
  <c r="CG30" i="5"/>
  <c r="BO30" i="5"/>
  <c r="BT30" i="5"/>
  <c r="BX30" i="5"/>
  <c r="EE10" i="5"/>
  <c r="DY10" i="5"/>
  <c r="EM10" i="5"/>
  <c r="EI10" i="5"/>
  <c r="EA10" i="5"/>
  <c r="DV10" i="5"/>
  <c r="BD60" i="5"/>
  <c r="CL56" i="5"/>
  <c r="BX28" i="5"/>
  <c r="CD29" i="5"/>
  <c r="CB23" i="5"/>
  <c r="CL23" i="5"/>
  <c r="CU20" i="5"/>
  <c r="CU49" i="5"/>
  <c r="DA49" i="5"/>
  <c r="CW16" i="5"/>
  <c r="DA28" i="5"/>
  <c r="DA58" i="5"/>
  <c r="DE49" i="5"/>
  <c r="DJ54" i="5"/>
  <c r="M49" i="5"/>
  <c r="V49" i="5" s="1"/>
  <c r="M56" i="5"/>
  <c r="V56" i="5" s="1"/>
  <c r="CL8" i="5"/>
  <c r="CD54" i="5"/>
  <c r="CU44" i="5"/>
  <c r="DA16" i="5"/>
  <c r="CV24" i="5"/>
  <c r="DA54" i="5"/>
  <c r="CV32" i="5"/>
  <c r="DJ24" i="5"/>
  <c r="DE28" i="5"/>
  <c r="FA49" i="5"/>
  <c r="FA21" i="5"/>
  <c r="M8" i="5"/>
  <c r="V8" i="5" s="1"/>
  <c r="AQ56" i="5"/>
  <c r="AQ60" i="5" s="1"/>
  <c r="CL52" i="5"/>
  <c r="BX19" i="5"/>
  <c r="BX10" i="5"/>
  <c r="CC54" i="5"/>
  <c r="CJ54" i="5"/>
  <c r="CU24" i="5"/>
  <c r="CU54" i="5"/>
  <c r="DA38" i="5"/>
  <c r="CW49" i="5"/>
  <c r="CW20" i="5"/>
  <c r="DA44" i="5"/>
  <c r="DJ46" i="5"/>
  <c r="DE58" i="5"/>
  <c r="EO43" i="5"/>
  <c r="ET29" i="5"/>
  <c r="EW21" i="5"/>
  <c r="EZ60" i="5"/>
  <c r="EY18" i="5"/>
  <c r="FF46" i="5"/>
  <c r="FN46" i="5" s="1"/>
  <c r="EM8" i="5"/>
  <c r="EI8" i="5"/>
  <c r="EA8" i="5"/>
  <c r="DV8" i="5"/>
  <c r="EE8" i="5"/>
  <c r="DY8" i="5"/>
  <c r="FN39" i="5"/>
  <c r="FX39" i="5"/>
  <c r="FK39" i="5"/>
  <c r="FH39" i="5"/>
  <c r="FS39" i="5"/>
  <c r="AN60" i="5"/>
  <c r="AO60" i="5"/>
  <c r="BX32" i="5"/>
  <c r="CL36" i="5"/>
  <c r="BU38" i="5"/>
  <c r="CV49" i="5"/>
  <c r="CV23" i="5"/>
  <c r="DA15" i="5"/>
  <c r="CU23" i="5"/>
  <c r="DA31" i="5"/>
  <c r="CU37" i="5"/>
  <c r="DA52" i="5"/>
  <c r="DJ23" i="5"/>
  <c r="DE43" i="5"/>
  <c r="DJ57" i="5"/>
  <c r="DU39" i="5"/>
  <c r="DY47" i="5"/>
  <c r="M21" i="5"/>
  <c r="N21" i="5" s="1"/>
  <c r="CL57" i="5"/>
  <c r="CL49" i="5"/>
  <c r="BX46" i="5"/>
  <c r="BX9" i="5"/>
  <c r="CU27" i="5"/>
  <c r="CQ54" i="5"/>
  <c r="CV54" i="5"/>
  <c r="CV15" i="5"/>
  <c r="CW15" i="5"/>
  <c r="DA23" i="5"/>
  <c r="CW31" i="5"/>
  <c r="DA37" i="5"/>
  <c r="CW52" i="5"/>
  <c r="DA57" i="5"/>
  <c r="CV37" i="5"/>
  <c r="CV52" i="5"/>
  <c r="CZ54" i="5"/>
  <c r="CZ49" i="5"/>
  <c r="DU25" i="5"/>
  <c r="DY25" i="5" s="1"/>
  <c r="EF60" i="5"/>
  <c r="EK60" i="5"/>
  <c r="DV47" i="5"/>
  <c r="M27" i="5"/>
  <c r="V27" i="5" s="1"/>
  <c r="CL54" i="5"/>
  <c r="BX29" i="5"/>
  <c r="BX22" i="5"/>
  <c r="BX18" i="5"/>
  <c r="BX15" i="5"/>
  <c r="CQ49" i="5"/>
  <c r="CU45" i="5"/>
  <c r="CV50" i="5"/>
  <c r="CU29" i="5"/>
  <c r="CV31" i="5"/>
  <c r="CU36" i="5"/>
  <c r="CV30" i="5"/>
  <c r="CU15" i="5"/>
  <c r="CW27" i="5"/>
  <c r="CU31" i="5"/>
  <c r="DA43" i="5"/>
  <c r="CU52" i="5"/>
  <c r="DA12" i="5"/>
  <c r="CW22" i="5"/>
  <c r="DA36" i="5"/>
  <c r="CW46" i="5"/>
  <c r="CW10" i="5"/>
  <c r="CV17" i="5"/>
  <c r="DA29" i="5"/>
  <c r="DA39" i="5"/>
  <c r="CV51" i="5"/>
  <c r="CU51" i="5"/>
  <c r="DJ8" i="5"/>
  <c r="CP49" i="5"/>
  <c r="DS52" i="5"/>
  <c r="FO60" i="5"/>
  <c r="FL60" i="5"/>
  <c r="BY60" i="5"/>
  <c r="EM51" i="5"/>
  <c r="DV51" i="5"/>
  <c r="DY51" i="5"/>
  <c r="EE51" i="5"/>
  <c r="EA51" i="5"/>
  <c r="EI51" i="5"/>
  <c r="DK60" i="5"/>
  <c r="DJ19" i="5"/>
  <c r="CW19" i="5"/>
  <c r="CU19" i="5"/>
  <c r="DA19" i="5"/>
  <c r="CH60" i="5"/>
  <c r="CV35" i="5"/>
  <c r="BM60" i="5"/>
  <c r="BV35" i="5"/>
  <c r="CG35" i="5"/>
  <c r="CL35" i="5"/>
  <c r="CW35" i="5"/>
  <c r="CP35" i="5"/>
  <c r="BS60" i="5"/>
  <c r="CB35" i="5"/>
  <c r="GE60" i="5"/>
  <c r="DR60" i="5"/>
  <c r="BQ35" i="5"/>
  <c r="DD35" i="5"/>
  <c r="CZ35" i="5"/>
  <c r="DU35" i="5"/>
  <c r="FK9" i="5"/>
  <c r="FX9" i="5"/>
  <c r="FS9" i="5"/>
  <c r="FN9" i="5"/>
  <c r="FH9" i="5"/>
  <c r="M18" i="5"/>
  <c r="N18" i="5" s="1"/>
  <c r="EA55" i="5"/>
  <c r="EM55" i="5"/>
  <c r="EI55" i="5"/>
  <c r="DY55" i="5"/>
  <c r="DV55" i="5"/>
  <c r="EE55" i="5"/>
  <c r="DV15" i="5"/>
  <c r="EE15" i="5"/>
  <c r="EM15" i="5"/>
  <c r="EA15" i="5"/>
  <c r="DY15" i="5"/>
  <c r="EI15" i="5"/>
  <c r="EJ60" i="5"/>
  <c r="M25" i="5"/>
  <c r="N25" i="5" s="1"/>
  <c r="M36" i="5"/>
  <c r="V36" i="5" s="1"/>
  <c r="FH38" i="5"/>
  <c r="FX38" i="5"/>
  <c r="FS38" i="5"/>
  <c r="FK38" i="5"/>
  <c r="FN38" i="5"/>
  <c r="M44" i="5"/>
  <c r="V44" i="5" s="1"/>
  <c r="M38" i="5"/>
  <c r="V38" i="5" s="1"/>
  <c r="M54" i="5"/>
  <c r="V54" i="5" s="1"/>
  <c r="M55" i="5"/>
  <c r="V55" i="5" s="1"/>
  <c r="AE60" i="5"/>
  <c r="AG60" i="5"/>
  <c r="FP60" i="5"/>
  <c r="AL60" i="5"/>
  <c r="AJ60" i="5"/>
  <c r="AK60" i="5"/>
  <c r="AR60" i="5"/>
  <c r="AW60" i="5"/>
  <c r="AY60" i="5"/>
  <c r="AZ60" i="5"/>
  <c r="BC60" i="5"/>
  <c r="FT60" i="5"/>
  <c r="M26" i="5"/>
  <c r="V26" i="5" s="1"/>
  <c r="M19" i="5"/>
  <c r="V19" i="5" s="1"/>
  <c r="M17" i="5"/>
  <c r="V17" i="5" s="1"/>
  <c r="M15" i="5"/>
  <c r="V15" i="5" s="1"/>
  <c r="M10" i="5"/>
  <c r="N10" i="5" s="1"/>
  <c r="M41" i="5"/>
  <c r="V41" i="5" s="1"/>
  <c r="FS36" i="5"/>
  <c r="FN36" i="5"/>
  <c r="FX36" i="5"/>
  <c r="FH36" i="5"/>
  <c r="FK36" i="5"/>
  <c r="FS25" i="5"/>
  <c r="FK25" i="5"/>
  <c r="FH25" i="5"/>
  <c r="FN25" i="5"/>
  <c r="FX25" i="5"/>
  <c r="FN27" i="5"/>
  <c r="FS27" i="5"/>
  <c r="FK27" i="5"/>
  <c r="FH27" i="5"/>
  <c r="FX27" i="5"/>
  <c r="FF8" i="5"/>
  <c r="L60" i="5"/>
  <c r="I60" i="5"/>
  <c r="M43" i="5"/>
  <c r="V43" i="5" s="1"/>
  <c r="M47" i="5"/>
  <c r="V47" i="5" s="1"/>
  <c r="M29" i="5"/>
  <c r="V29" i="5" s="1"/>
  <c r="M12" i="5"/>
  <c r="N12" i="5" s="1"/>
  <c r="FU60" i="5"/>
  <c r="T60" i="5"/>
  <c r="M30" i="5"/>
  <c r="V30" i="5" s="1"/>
  <c r="M28" i="5"/>
  <c r="V28" i="5" s="1"/>
  <c r="M51" i="5"/>
  <c r="V51" i="5" s="1"/>
  <c r="AU60" i="5"/>
  <c r="FS49" i="5"/>
  <c r="FH49" i="5"/>
  <c r="FK49" i="5"/>
  <c r="FX49" i="5"/>
  <c r="FN49" i="5"/>
  <c r="FX34" i="5"/>
  <c r="FN34" i="5"/>
  <c r="FS34" i="5"/>
  <c r="FK34" i="5"/>
  <c r="FH34" i="5"/>
  <c r="EM13" i="5"/>
  <c r="DV13" i="5"/>
  <c r="EA13" i="5"/>
  <c r="EE13" i="5"/>
  <c r="EI13" i="5"/>
  <c r="DY13" i="5"/>
  <c r="FX55" i="5"/>
  <c r="FN55" i="5"/>
  <c r="FS55" i="5"/>
  <c r="FK55" i="5"/>
  <c r="FH55" i="5"/>
  <c r="FK44" i="5"/>
  <c r="FS44" i="5"/>
  <c r="FN44" i="5"/>
  <c r="FH44" i="5"/>
  <c r="FX44" i="5"/>
  <c r="FH26" i="5"/>
  <c r="FN26" i="5"/>
  <c r="FX26" i="5"/>
  <c r="FK26" i="5"/>
  <c r="FS26" i="5"/>
  <c r="FX16" i="5"/>
  <c r="FK16" i="5"/>
  <c r="FS16" i="5"/>
  <c r="FH16" i="5"/>
  <c r="FN16" i="5"/>
  <c r="FN24" i="5"/>
  <c r="FK24" i="5"/>
  <c r="FS24" i="5"/>
  <c r="FH24" i="5"/>
  <c r="FX24" i="5"/>
  <c r="CU9" i="5"/>
  <c r="CU32" i="5"/>
  <c r="CV9" i="5"/>
  <c r="DA20" i="5"/>
  <c r="CW24" i="5"/>
  <c r="CV28" i="5"/>
  <c r="CV47" i="5"/>
  <c r="CW51" i="5"/>
  <c r="CV55" i="5"/>
  <c r="CW32" i="5"/>
  <c r="CV58" i="5"/>
  <c r="DE9" i="5"/>
  <c r="DJ20" i="5"/>
  <c r="CV27" i="5"/>
  <c r="DJ37" i="5"/>
  <c r="DJ51" i="5"/>
  <c r="DE50" i="5"/>
  <c r="DA8" i="5"/>
  <c r="DE47" i="5"/>
  <c r="DU49" i="5"/>
  <c r="DS30" i="5"/>
  <c r="BU39" i="5"/>
  <c r="CI60" i="5"/>
  <c r="CU28" i="5"/>
  <c r="CV38" i="5"/>
  <c r="CV16" i="5"/>
  <c r="DA24" i="5"/>
  <c r="CW28" i="5"/>
  <c r="CV44" i="5"/>
  <c r="DA51" i="5"/>
  <c r="DA55" i="5"/>
  <c r="DA32" i="5"/>
  <c r="DJ32" i="5"/>
  <c r="DJ27" i="5"/>
  <c r="DE8" i="5"/>
  <c r="DE44" i="5"/>
  <c r="M20" i="5"/>
  <c r="V20" i="5" s="1"/>
  <c r="AS60" i="5"/>
  <c r="CU55" i="5"/>
  <c r="CW55" i="5"/>
  <c r="DE16" i="5"/>
  <c r="M31" i="5"/>
  <c r="V31" i="5" s="1"/>
  <c r="M39" i="5"/>
  <c r="V39" i="5" s="1"/>
  <c r="M22" i="5"/>
  <c r="V22" i="5" s="1"/>
  <c r="U60" i="5"/>
  <c r="EI57" i="5"/>
  <c r="EA57" i="5"/>
  <c r="EE57" i="5"/>
  <c r="EM57" i="5"/>
  <c r="DY57" i="5"/>
  <c r="DV57" i="5"/>
  <c r="FK51" i="5"/>
  <c r="FS51" i="5"/>
  <c r="FH51" i="5"/>
  <c r="FX51" i="5"/>
  <c r="FN51" i="5"/>
  <c r="FX22" i="5"/>
  <c r="FN22" i="5"/>
  <c r="FS22" i="5"/>
  <c r="FH22" i="5"/>
  <c r="FK22" i="5"/>
  <c r="GI58" i="5"/>
  <c r="GJ58" i="5"/>
  <c r="GK58" i="5"/>
  <c r="GU58" i="5"/>
  <c r="GL58" i="5"/>
  <c r="GI54" i="5"/>
  <c r="GJ54" i="5"/>
  <c r="GK54" i="5"/>
  <c r="GU54" i="5"/>
  <c r="GL54" i="5"/>
  <c r="GH54" i="5"/>
  <c r="GU49" i="5"/>
  <c r="GI49" i="5"/>
  <c r="GJ49" i="5"/>
  <c r="GK49" i="5"/>
  <c r="GL49" i="5"/>
  <c r="GH49" i="5"/>
  <c r="GI44" i="5"/>
  <c r="GJ44" i="5"/>
  <c r="GK44" i="5"/>
  <c r="GU44" i="5"/>
  <c r="GL44" i="5"/>
  <c r="GH44" i="5"/>
  <c r="GI40" i="5"/>
  <c r="GJ40" i="5"/>
  <c r="GK40" i="5"/>
  <c r="GL40" i="5"/>
  <c r="GH40" i="5"/>
  <c r="GI36" i="5"/>
  <c r="GU36" i="5"/>
  <c r="GJ36" i="5"/>
  <c r="GK36" i="5"/>
  <c r="GL36" i="5"/>
  <c r="GH36" i="5"/>
  <c r="GI32" i="5"/>
  <c r="GU32" i="5"/>
  <c r="GJ32" i="5"/>
  <c r="GK32" i="5"/>
  <c r="GL32" i="5"/>
  <c r="GH32" i="5"/>
  <c r="GI28" i="5"/>
  <c r="GJ28" i="5"/>
  <c r="GK28" i="5"/>
  <c r="GU28" i="5"/>
  <c r="GL28" i="5"/>
  <c r="GH28" i="5"/>
  <c r="GU24" i="5"/>
  <c r="GI24" i="5"/>
  <c r="GJ24" i="5"/>
  <c r="GK24" i="5"/>
  <c r="GL24" i="5"/>
  <c r="GH24" i="5"/>
  <c r="GI20" i="5"/>
  <c r="GJ20" i="5"/>
  <c r="GK20" i="5"/>
  <c r="GU20" i="5"/>
  <c r="GL20" i="5"/>
  <c r="GH20" i="5"/>
  <c r="GI16" i="5"/>
  <c r="GJ16" i="5"/>
  <c r="GU16" i="5"/>
  <c r="GK16" i="5"/>
  <c r="GL16" i="5"/>
  <c r="GH16" i="5"/>
  <c r="GU12" i="5"/>
  <c r="GI12" i="5"/>
  <c r="GJ12" i="5"/>
  <c r="GK12" i="5"/>
  <c r="GL12" i="5"/>
  <c r="GH12" i="5"/>
  <c r="EM56" i="5"/>
  <c r="EE56" i="5"/>
  <c r="EI56" i="5"/>
  <c r="EA56" i="5"/>
  <c r="DV56" i="5"/>
  <c r="DY56" i="5"/>
  <c r="DY43" i="5"/>
  <c r="EI43" i="5"/>
  <c r="EM43" i="5"/>
  <c r="DV43" i="5"/>
  <c r="EE43" i="5"/>
  <c r="EA43" i="5"/>
  <c r="EI38" i="5"/>
  <c r="EM38" i="5"/>
  <c r="EE38" i="5"/>
  <c r="DV38" i="5"/>
  <c r="DY38" i="5"/>
  <c r="EA38" i="5"/>
  <c r="EA32" i="5"/>
  <c r="DY32" i="5"/>
  <c r="EM32" i="5"/>
  <c r="DV32" i="5"/>
  <c r="EE32" i="5"/>
  <c r="EI32" i="5"/>
  <c r="DV21" i="5"/>
  <c r="DY21" i="5"/>
  <c r="EI21" i="5"/>
  <c r="EM21" i="5"/>
  <c r="EE21" i="5"/>
  <c r="EA21" i="5"/>
  <c r="FS59" i="5"/>
  <c r="FK59" i="5"/>
  <c r="FH59" i="5"/>
  <c r="FN59" i="5"/>
  <c r="FX59" i="5"/>
  <c r="FX50" i="5"/>
  <c r="FS50" i="5"/>
  <c r="FH50" i="5"/>
  <c r="FN50" i="5"/>
  <c r="FK50" i="5"/>
  <c r="FS21" i="5"/>
  <c r="FK21" i="5"/>
  <c r="FN21" i="5"/>
  <c r="FX21" i="5"/>
  <c r="FH21" i="5"/>
  <c r="FK13" i="5"/>
  <c r="FS13" i="5"/>
  <c r="FH13" i="5"/>
  <c r="FN13" i="5"/>
  <c r="FX13" i="5"/>
  <c r="FX28" i="5"/>
  <c r="FN28" i="5"/>
  <c r="FH28" i="5"/>
  <c r="FS28" i="5"/>
  <c r="FK28" i="5"/>
  <c r="GU57" i="5"/>
  <c r="GJ57" i="5"/>
  <c r="GK57" i="5"/>
  <c r="GL57" i="5"/>
  <c r="GH57" i="5"/>
  <c r="GI57" i="5"/>
  <c r="GU52" i="5"/>
  <c r="GJ52" i="5"/>
  <c r="GK52" i="5"/>
  <c r="GL52" i="5"/>
  <c r="GH52" i="5"/>
  <c r="GI52" i="5"/>
  <c r="GJ47" i="5"/>
  <c r="GK47" i="5"/>
  <c r="GL47" i="5"/>
  <c r="GH47" i="5"/>
  <c r="GI47" i="5"/>
  <c r="GJ43" i="5"/>
  <c r="GK43" i="5"/>
  <c r="GL43" i="5"/>
  <c r="GI43" i="5"/>
  <c r="GJ39" i="5"/>
  <c r="GU39" i="5"/>
  <c r="GK39" i="5"/>
  <c r="GL39" i="5"/>
  <c r="GH39" i="5"/>
  <c r="GI39" i="5"/>
  <c r="GJ35" i="5"/>
  <c r="GK35" i="5"/>
  <c r="GL35" i="5"/>
  <c r="GH35" i="5"/>
  <c r="GI35" i="5"/>
  <c r="EM12" i="5"/>
  <c r="DY12" i="5"/>
  <c r="EI12" i="5"/>
  <c r="DV12" i="5"/>
  <c r="EE12" i="5"/>
  <c r="EA12" i="5"/>
  <c r="FX14" i="5"/>
  <c r="FH14" i="5"/>
  <c r="FN14" i="5"/>
  <c r="FS14" i="5"/>
  <c r="FK14" i="5"/>
  <c r="DY36" i="5"/>
  <c r="EI36" i="5"/>
  <c r="DV36" i="5"/>
  <c r="EM36" i="5"/>
  <c r="EE36" i="5"/>
  <c r="EA36" i="5"/>
  <c r="DY30" i="5"/>
  <c r="DV30" i="5"/>
  <c r="EM30" i="5"/>
  <c r="EI30" i="5"/>
  <c r="EA30" i="5"/>
  <c r="EE30" i="5"/>
  <c r="EA27" i="5"/>
  <c r="EM27" i="5"/>
  <c r="DY27" i="5"/>
  <c r="DV27" i="5"/>
  <c r="EE27" i="5"/>
  <c r="EI27" i="5"/>
  <c r="EI23" i="5"/>
  <c r="EE23" i="5"/>
  <c r="EM23" i="5"/>
  <c r="EA23" i="5"/>
  <c r="DY23" i="5"/>
  <c r="DV23" i="5"/>
  <c r="DY19" i="5"/>
  <c r="EI19" i="5"/>
  <c r="EE19" i="5"/>
  <c r="DV19" i="5"/>
  <c r="EM19" i="5"/>
  <c r="EA19" i="5"/>
  <c r="FH56" i="5"/>
  <c r="FX56" i="5"/>
  <c r="FN56" i="5"/>
  <c r="FK56" i="5"/>
  <c r="FS56" i="5"/>
  <c r="FH52" i="5"/>
  <c r="FS52" i="5"/>
  <c r="FX52" i="5"/>
  <c r="FN52" i="5"/>
  <c r="FK52" i="5"/>
  <c r="FX45" i="5"/>
  <c r="FS45" i="5"/>
  <c r="FN45" i="5"/>
  <c r="FK45" i="5"/>
  <c r="FH45" i="5"/>
  <c r="FS41" i="5"/>
  <c r="FH41" i="5"/>
  <c r="FN41" i="5"/>
  <c r="FX41" i="5"/>
  <c r="FK41" i="5"/>
  <c r="FH37" i="5"/>
  <c r="FX37" i="5"/>
  <c r="FK37" i="5"/>
  <c r="FS37" i="5"/>
  <c r="FN37" i="5"/>
  <c r="FS35" i="5"/>
  <c r="FH35" i="5"/>
  <c r="FK35" i="5"/>
  <c r="FN35" i="5"/>
  <c r="FX35" i="5"/>
  <c r="FX32" i="5"/>
  <c r="FN32" i="5"/>
  <c r="FS32" i="5"/>
  <c r="FK32" i="5"/>
  <c r="FH32" i="5"/>
  <c r="FH19" i="5"/>
  <c r="FX19" i="5"/>
  <c r="FN19" i="5"/>
  <c r="FS19" i="5"/>
  <c r="FK19" i="5"/>
  <c r="GL59" i="5"/>
  <c r="GH59" i="5"/>
  <c r="GI59" i="5"/>
  <c r="GS59" i="5"/>
  <c r="IE59" i="5" s="1"/>
  <c r="GJ59" i="5"/>
  <c r="GK59" i="5"/>
  <c r="GL55" i="5"/>
  <c r="GH55" i="5"/>
  <c r="GI55" i="5"/>
  <c r="GU55" i="5"/>
  <c r="GJ55" i="5"/>
  <c r="GK55" i="5"/>
  <c r="GL50" i="5"/>
  <c r="GH50" i="5"/>
  <c r="GU50" i="5"/>
  <c r="GI50" i="5"/>
  <c r="GJ50" i="5"/>
  <c r="GK50" i="5"/>
  <c r="GL45" i="5"/>
  <c r="GH45" i="5"/>
  <c r="GI45" i="5"/>
  <c r="GJ45" i="5"/>
  <c r="GK45" i="5"/>
  <c r="GL41" i="5"/>
  <c r="GH41" i="5"/>
  <c r="GI41" i="5"/>
  <c r="GU41" i="5"/>
  <c r="GJ41" i="5"/>
  <c r="GK41" i="5"/>
  <c r="GU37" i="5"/>
  <c r="GL37" i="5"/>
  <c r="GH37" i="5"/>
  <c r="GI37" i="5"/>
  <c r="GJ37" i="5"/>
  <c r="GK37" i="5"/>
  <c r="GL33" i="5"/>
  <c r="GH33" i="5"/>
  <c r="GI33" i="5"/>
  <c r="GJ33" i="5"/>
  <c r="GK33" i="5"/>
  <c r="GL29" i="5"/>
  <c r="GH29" i="5"/>
  <c r="GI29" i="5"/>
  <c r="GU29" i="5"/>
  <c r="GJ29" i="5"/>
  <c r="GK29" i="5"/>
  <c r="GL25" i="5"/>
  <c r="GH25" i="5"/>
  <c r="GI25" i="5"/>
  <c r="GJ25" i="5"/>
  <c r="GK25" i="5"/>
  <c r="GU21" i="5"/>
  <c r="GL21" i="5"/>
  <c r="GH21" i="5"/>
  <c r="GI21" i="5"/>
  <c r="GJ21" i="5"/>
  <c r="GK21" i="5"/>
  <c r="GL17" i="5"/>
  <c r="GI17" i="5"/>
  <c r="GJ17" i="5"/>
  <c r="GU17" i="5"/>
  <c r="GK17" i="5"/>
  <c r="GU13" i="5"/>
  <c r="GL13" i="5"/>
  <c r="GH13" i="5"/>
  <c r="GI13" i="5"/>
  <c r="GJ13" i="5"/>
  <c r="GK13" i="5"/>
  <c r="GL9" i="5"/>
  <c r="GH9" i="5"/>
  <c r="GI9" i="5"/>
  <c r="GU9" i="5"/>
  <c r="GJ9" i="5"/>
  <c r="GK9" i="5"/>
  <c r="EA52" i="5"/>
  <c r="EE52" i="5"/>
  <c r="EM52" i="5"/>
  <c r="DV52" i="5"/>
  <c r="EI52" i="5"/>
  <c r="DY52" i="5"/>
  <c r="FK29" i="5"/>
  <c r="FN29" i="5"/>
  <c r="FX29" i="5"/>
  <c r="FH29" i="5"/>
  <c r="FS29" i="5"/>
  <c r="FN31" i="5"/>
  <c r="FH31" i="5"/>
  <c r="FX31" i="5"/>
  <c r="FK31" i="5"/>
  <c r="FS31" i="5"/>
  <c r="GL8" i="5"/>
  <c r="GU8" i="5"/>
  <c r="GI8" i="5"/>
  <c r="GJ8" i="5"/>
  <c r="GK8" i="5"/>
  <c r="DV50" i="5"/>
  <c r="EM50" i="5"/>
  <c r="EE50" i="5"/>
  <c r="EI50" i="5"/>
  <c r="EA50" i="5"/>
  <c r="DY50" i="5"/>
  <c r="DY46" i="5"/>
  <c r="DV46" i="5"/>
  <c r="EE46" i="5"/>
  <c r="EI46" i="5"/>
  <c r="EA46" i="5"/>
  <c r="EM46" i="5"/>
  <c r="DV42" i="5"/>
  <c r="EM42" i="5"/>
  <c r="EE42" i="5"/>
  <c r="EI42" i="5"/>
  <c r="EA42" i="5"/>
  <c r="DY42" i="5"/>
  <c r="DY37" i="5"/>
  <c r="EA37" i="5"/>
  <c r="DV37" i="5"/>
  <c r="EI37" i="5"/>
  <c r="EM37" i="5"/>
  <c r="EE37" i="5"/>
  <c r="DY31" i="5"/>
  <c r="EE31" i="5"/>
  <c r="DV31" i="5"/>
  <c r="EM31" i="5"/>
  <c r="EI31" i="5"/>
  <c r="EA31" i="5"/>
  <c r="EI28" i="5"/>
  <c r="DY28" i="5"/>
  <c r="EM28" i="5"/>
  <c r="DV28" i="5"/>
  <c r="EE28" i="5"/>
  <c r="EA28" i="5"/>
  <c r="EI24" i="5"/>
  <c r="EE24" i="5"/>
  <c r="DV24" i="5"/>
  <c r="EA24" i="5"/>
  <c r="DY24" i="5"/>
  <c r="EM24" i="5"/>
  <c r="EA20" i="5"/>
  <c r="EM20" i="5"/>
  <c r="DV20" i="5"/>
  <c r="DY20" i="5"/>
  <c r="EI20" i="5"/>
  <c r="EE20" i="5"/>
  <c r="EI16" i="5"/>
  <c r="EA16" i="5"/>
  <c r="EE16" i="5"/>
  <c r="EM16" i="5"/>
  <c r="DY16" i="5"/>
  <c r="DV16" i="5"/>
  <c r="FK15" i="5"/>
  <c r="FH15" i="5"/>
  <c r="FX15" i="5"/>
  <c r="FN15" i="5"/>
  <c r="FS15" i="5"/>
  <c r="FS57" i="5"/>
  <c r="FH57" i="5"/>
  <c r="FX57" i="5"/>
  <c r="FN57" i="5"/>
  <c r="FK57" i="5"/>
  <c r="FN54" i="5"/>
  <c r="FX54" i="5"/>
  <c r="FS54" i="5"/>
  <c r="FH54" i="5"/>
  <c r="FK54" i="5"/>
  <c r="FK47" i="5"/>
  <c r="FN47" i="5"/>
  <c r="FS47" i="5"/>
  <c r="FH47" i="5"/>
  <c r="FX47" i="5"/>
  <c r="FH42" i="5"/>
  <c r="FK42" i="5"/>
  <c r="FS42" i="5"/>
  <c r="FN42" i="5"/>
  <c r="FX42" i="5"/>
  <c r="FH33" i="5"/>
  <c r="FX33" i="5"/>
  <c r="FN33" i="5"/>
  <c r="FS33" i="5"/>
  <c r="FK33" i="5"/>
  <c r="FX12" i="5"/>
  <c r="FS12" i="5"/>
  <c r="FN12" i="5"/>
  <c r="FH12" i="5"/>
  <c r="FK12" i="5"/>
  <c r="FN10" i="5"/>
  <c r="FS10" i="5"/>
  <c r="FX10" i="5"/>
  <c r="FH10" i="5"/>
  <c r="FK10" i="5"/>
  <c r="GK56" i="5"/>
  <c r="GU56" i="5"/>
  <c r="GL56" i="5"/>
  <c r="GH56" i="5"/>
  <c r="GI56" i="5"/>
  <c r="GJ56" i="5"/>
  <c r="GK51" i="5"/>
  <c r="GU51" i="5"/>
  <c r="GL51" i="5"/>
  <c r="GH51" i="5"/>
  <c r="GI51" i="5"/>
  <c r="GJ51" i="5"/>
  <c r="GK46" i="5"/>
  <c r="GL46" i="5"/>
  <c r="GI46" i="5"/>
  <c r="GU46" i="5"/>
  <c r="GJ46" i="5"/>
  <c r="GK42" i="5"/>
  <c r="GU42" i="5"/>
  <c r="GL42" i="5"/>
  <c r="GH42" i="5"/>
  <c r="GI42" i="5"/>
  <c r="GJ42" i="5"/>
  <c r="GU38" i="5"/>
  <c r="GK38" i="5"/>
  <c r="GL38" i="5"/>
  <c r="GH38" i="5"/>
  <c r="GI38" i="5"/>
  <c r="GJ38" i="5"/>
  <c r="GK34" i="5"/>
  <c r="GL34" i="5"/>
  <c r="GH34" i="5"/>
  <c r="GI34" i="5"/>
  <c r="GJ34" i="5"/>
  <c r="GK30" i="5"/>
  <c r="GL30" i="5"/>
  <c r="GU30" i="5"/>
  <c r="GI30" i="5"/>
  <c r="GJ30" i="5"/>
  <c r="GU26" i="5"/>
  <c r="GK26" i="5"/>
  <c r="GL26" i="5"/>
  <c r="GH26" i="5"/>
  <c r="GI26" i="5"/>
  <c r="GJ26" i="5"/>
  <c r="GK22" i="5"/>
  <c r="GL22" i="5"/>
  <c r="GH22" i="5"/>
  <c r="GI22" i="5"/>
  <c r="GU22" i="5"/>
  <c r="GJ22" i="5"/>
  <c r="GK18" i="5"/>
  <c r="GL18" i="5"/>
  <c r="GU18" i="5"/>
  <c r="GI18" i="5"/>
  <c r="GJ18" i="5"/>
  <c r="GI11" i="5"/>
  <c r="GI15" i="5"/>
  <c r="GI19" i="5"/>
  <c r="GI23" i="5"/>
  <c r="GI27" i="5"/>
  <c r="GI31" i="5"/>
  <c r="GJ10" i="5"/>
  <c r="GJ14" i="5"/>
  <c r="GH11" i="5"/>
  <c r="GH15" i="5"/>
  <c r="GH19" i="5"/>
  <c r="GH23" i="5"/>
  <c r="GH27" i="5"/>
  <c r="GH31" i="5"/>
  <c r="GI10" i="5"/>
  <c r="GI14" i="5"/>
  <c r="GL11" i="5"/>
  <c r="GL15" i="5"/>
  <c r="GL19" i="5"/>
  <c r="GL23" i="5"/>
  <c r="GL27" i="5"/>
  <c r="GL31" i="5"/>
  <c r="GU23" i="5"/>
  <c r="GU10" i="5"/>
  <c r="GH10" i="5"/>
  <c r="GH14" i="5"/>
  <c r="GK11" i="5"/>
  <c r="GK15" i="5"/>
  <c r="GK19" i="5"/>
  <c r="GK23" i="5"/>
  <c r="GK27" i="5"/>
  <c r="GK31" i="5"/>
  <c r="GL10" i="5"/>
  <c r="GL14" i="5"/>
  <c r="GU27" i="5"/>
  <c r="GG60" i="5"/>
  <c r="FK43" i="5" l="1"/>
  <c r="EI18" i="5"/>
  <c r="EA18" i="5"/>
  <c r="FX58" i="5"/>
  <c r="FS58" i="5"/>
  <c r="BH60" i="5"/>
  <c r="FH23" i="5"/>
  <c r="EE18" i="5"/>
  <c r="FX43" i="5"/>
  <c r="EA29" i="5"/>
  <c r="FS43" i="5"/>
  <c r="EM29" i="5"/>
  <c r="GH43" i="5"/>
  <c r="FN43" i="5"/>
  <c r="EE29" i="5"/>
  <c r="BK60" i="5"/>
  <c r="EI29" i="5"/>
  <c r="FS23" i="5"/>
  <c r="IE60" i="5"/>
  <c r="FX46" i="5"/>
  <c r="GH30" i="5"/>
  <c r="FH30" i="5"/>
  <c r="CN60" i="5"/>
  <c r="V16" i="5"/>
  <c r="HX59" i="5"/>
  <c r="HX60" i="5" s="1"/>
  <c r="FK23" i="5"/>
  <c r="FX23" i="5"/>
  <c r="GH58" i="5"/>
  <c r="FN58" i="5"/>
  <c r="DV44" i="5"/>
  <c r="EE44" i="5"/>
  <c r="FZ60" i="5"/>
  <c r="FK58" i="5"/>
  <c r="HL59" i="5"/>
  <c r="HL60" i="5" s="1"/>
  <c r="HR59" i="5"/>
  <c r="HR60" i="5" s="1"/>
  <c r="FX18" i="5"/>
  <c r="FX30" i="5"/>
  <c r="FH46" i="5"/>
  <c r="FS30" i="5"/>
  <c r="FK46" i="5"/>
  <c r="FK17" i="5"/>
  <c r="FK30" i="5"/>
  <c r="GH46" i="5"/>
  <c r="FS46" i="5"/>
  <c r="EM44" i="5"/>
  <c r="EM17" i="5"/>
  <c r="FN18" i="5"/>
  <c r="DV54" i="5"/>
  <c r="DD36" i="5"/>
  <c r="EA17" i="5"/>
  <c r="EM18" i="5"/>
  <c r="DY26" i="5"/>
  <c r="DY17" i="5"/>
  <c r="EE17" i="5"/>
  <c r="HB59" i="5"/>
  <c r="HB60" i="5" s="1"/>
  <c r="HG59" i="5"/>
  <c r="EM9" i="5"/>
  <c r="EE22" i="5"/>
  <c r="DV17" i="5"/>
  <c r="DV29" i="5"/>
  <c r="EX60" i="5"/>
  <c r="ES60" i="5"/>
  <c r="FK18" i="5"/>
  <c r="GH18" i="5"/>
  <c r="FH18" i="5"/>
  <c r="FC60" i="5"/>
  <c r="DV18" i="5"/>
  <c r="GU59" i="5"/>
  <c r="GX59" i="5"/>
  <c r="V21" i="5"/>
  <c r="BZ60" i="5"/>
  <c r="FH17" i="5"/>
  <c r="FS17" i="5"/>
  <c r="EA22" i="5"/>
  <c r="CO60" i="5"/>
  <c r="CQ60" i="5" s="1"/>
  <c r="GU60" i="5"/>
  <c r="EP60" i="5"/>
  <c r="DO60" i="5"/>
  <c r="DI60" i="5"/>
  <c r="DS60" i="5"/>
  <c r="EI26" i="5"/>
  <c r="FX17" i="5"/>
  <c r="EA26" i="5"/>
  <c r="EI44" i="5"/>
  <c r="EI58" i="5"/>
  <c r="DV26" i="5"/>
  <c r="EA44" i="5"/>
  <c r="EA9" i="5"/>
  <c r="EE9" i="5"/>
  <c r="BO60" i="5"/>
  <c r="BX60" i="5"/>
  <c r="GH17" i="5"/>
  <c r="EE26" i="5"/>
  <c r="DY45" i="5"/>
  <c r="EI45" i="5"/>
  <c r="DV22" i="5"/>
  <c r="EI22" i="5"/>
  <c r="DY22" i="5"/>
  <c r="CY60" i="5"/>
  <c r="CL60" i="5"/>
  <c r="CQ36" i="5"/>
  <c r="BQ60" i="5"/>
  <c r="CC60" i="5"/>
  <c r="EU60" i="5"/>
  <c r="CJ60" i="5"/>
  <c r="FA60" i="5"/>
  <c r="EW60" i="5"/>
  <c r="CM60" i="5"/>
  <c r="V9" i="5"/>
  <c r="CG60" i="5"/>
  <c r="CP36" i="5"/>
  <c r="CP60" i="5" s="1"/>
  <c r="CV36" i="5"/>
  <c r="CZ36" i="5"/>
  <c r="CZ60" i="5" s="1"/>
  <c r="EN60" i="5"/>
  <c r="EY60" i="5"/>
  <c r="CE60" i="5"/>
  <c r="DD60" i="5"/>
  <c r="BV60" i="5"/>
  <c r="EA58" i="5"/>
  <c r="CD60" i="5"/>
  <c r="BT60" i="5"/>
  <c r="ER60" i="5"/>
  <c r="DC60" i="5"/>
  <c r="EM14" i="5"/>
  <c r="DV14" i="5"/>
  <c r="EI14" i="5"/>
  <c r="EE14" i="5"/>
  <c r="DY14" i="5"/>
  <c r="EA14" i="5"/>
  <c r="DY9" i="5"/>
  <c r="EI9" i="5"/>
  <c r="EE58" i="5"/>
  <c r="ET60" i="5"/>
  <c r="DV58" i="5"/>
  <c r="EM58" i="5"/>
  <c r="EO60" i="5"/>
  <c r="GQ11" i="5"/>
  <c r="GS60" i="5" s="1"/>
  <c r="GO60" i="5"/>
  <c r="EM54" i="5"/>
  <c r="EA54" i="5"/>
  <c r="EI54" i="5"/>
  <c r="DY54" i="5"/>
  <c r="N15" i="5"/>
  <c r="EE45" i="5"/>
  <c r="EM45" i="5"/>
  <c r="DV45" i="5"/>
  <c r="EA41" i="5"/>
  <c r="EM41" i="5"/>
  <c r="EE41" i="5"/>
  <c r="DY41" i="5"/>
  <c r="DV41" i="5"/>
  <c r="EI41" i="5"/>
  <c r="FF60" i="5"/>
  <c r="CB60" i="5"/>
  <c r="BU60" i="5"/>
  <c r="DU60" i="5"/>
  <c r="EA25" i="5"/>
  <c r="EM25" i="5"/>
  <c r="EI25" i="5"/>
  <c r="DV25" i="5"/>
  <c r="EE25" i="5"/>
  <c r="EE39" i="5"/>
  <c r="DV39" i="5"/>
  <c r="DY39" i="5"/>
  <c r="EA39" i="5"/>
  <c r="EI39" i="5"/>
  <c r="EM39" i="5"/>
  <c r="DJ60" i="5"/>
  <c r="EM35" i="5"/>
  <c r="DY35" i="5"/>
  <c r="DV35" i="5"/>
  <c r="EA35" i="5"/>
  <c r="EI35" i="5"/>
  <c r="EE35" i="5"/>
  <c r="N26" i="5"/>
  <c r="GH8" i="5"/>
  <c r="V25" i="5"/>
  <c r="V18" i="5"/>
  <c r="V10" i="5"/>
  <c r="V12" i="5"/>
  <c r="DE60" i="5"/>
  <c r="M60" i="5"/>
  <c r="FS8" i="5"/>
  <c r="FN8" i="5"/>
  <c r="FK8" i="5"/>
  <c r="FX8" i="5"/>
  <c r="FH8" i="5"/>
  <c r="EM49" i="5"/>
  <c r="DY49" i="5"/>
  <c r="DV49" i="5"/>
  <c r="EA49" i="5"/>
  <c r="EE49" i="5"/>
  <c r="EI49" i="5"/>
  <c r="DA60" i="5"/>
  <c r="GI60" i="5"/>
  <c r="GJ60" i="5"/>
  <c r="GK60" i="5"/>
  <c r="GL60" i="5"/>
  <c r="GH60" i="5" l="1"/>
  <c r="GX60" i="5"/>
  <c r="HG60" i="5"/>
  <c r="HZ60" i="5"/>
  <c r="FX60" i="5"/>
  <c r="HB61" i="5"/>
  <c r="FN60" i="5"/>
  <c r="FK60" i="5"/>
  <c r="FH60" i="5"/>
  <c r="FS60" i="5"/>
  <c r="N60" i="5"/>
  <c r="GQ60" i="5"/>
  <c r="DV60" i="5"/>
  <c r="EI60" i="5"/>
  <c r="EE60" i="5"/>
  <c r="EM60" i="5"/>
  <c r="DY60" i="5"/>
  <c r="EA60" i="5"/>
  <c r="V60" i="5"/>
</calcChain>
</file>

<file path=xl/comments1.xml><?xml version="1.0" encoding="utf-8"?>
<comments xmlns="http://schemas.openxmlformats.org/spreadsheetml/2006/main">
  <authors>
    <author>Julia Jou</author>
  </authors>
  <commentList>
    <comment ref="DW21" authorId="0" shapeId="0">
      <text>
        <r>
          <rPr>
            <b/>
            <sz val="9"/>
            <color indexed="81"/>
            <rFont val="Tahoma"/>
            <family val="2"/>
          </rPr>
          <t>Julia Jou:</t>
        </r>
        <r>
          <rPr>
            <sz val="9"/>
            <color indexed="81"/>
            <rFont val="Tahoma"/>
            <family val="2"/>
          </rPr>
          <t xml:space="preserve">
$5 million 9c cut restored
</t>
        </r>
      </text>
    </comment>
  </commentList>
</comments>
</file>

<file path=xl/sharedStrings.xml><?xml version="1.0" encoding="utf-8"?>
<sst xmlns="http://schemas.openxmlformats.org/spreadsheetml/2006/main" count="1066" uniqueCount="551">
  <si>
    <t>ACCOUNT</t>
  </si>
  <si>
    <t>NUMBER</t>
  </si>
  <si>
    <t>7061-0008</t>
  </si>
  <si>
    <t>7028-0031</t>
  </si>
  <si>
    <t>7035-0006</t>
  </si>
  <si>
    <t>7061-0011</t>
  </si>
  <si>
    <t>7061-0012</t>
  </si>
  <si>
    <t>7061-9010</t>
  </si>
  <si>
    <t>7061-9400</t>
  </si>
  <si>
    <t>7061-9404</t>
  </si>
  <si>
    <t>7051-0015</t>
  </si>
  <si>
    <t>7061-9619</t>
  </si>
  <si>
    <t>Franklin Institute</t>
  </si>
  <si>
    <t>7061-9634</t>
  </si>
  <si>
    <t>7010-0012</t>
  </si>
  <si>
    <t>7027-0019</t>
  </si>
  <si>
    <t>7030-1002</t>
  </si>
  <si>
    <t>7030-1005</t>
  </si>
  <si>
    <t>7035-0002</t>
  </si>
  <si>
    <t>7053-1909</t>
  </si>
  <si>
    <t>7053-1925</t>
  </si>
  <si>
    <t>7010-0005</t>
  </si>
  <si>
    <t>7061-9200</t>
  </si>
  <si>
    <t>7061-9604</t>
  </si>
  <si>
    <t>7061-9626</t>
  </si>
  <si>
    <t>YouthBuild Programs</t>
  </si>
  <si>
    <t>Supplemental Food Assistance</t>
  </si>
  <si>
    <t>7035-0007</t>
  </si>
  <si>
    <t>7061-9614</t>
  </si>
  <si>
    <t>7027-1004</t>
  </si>
  <si>
    <t>7061-9408</t>
  </si>
  <si>
    <t>School Breakfast Program</t>
  </si>
  <si>
    <t>7061-9412</t>
  </si>
  <si>
    <t>7061-9804</t>
  </si>
  <si>
    <t>PROGRAM</t>
  </si>
  <si>
    <t>7061-0029</t>
  </si>
  <si>
    <t>7061-9611</t>
  </si>
  <si>
    <t>After-School Grant Program</t>
  </si>
  <si>
    <t>7061-9600</t>
  </si>
  <si>
    <t>Expanded Learning Time Grants</t>
  </si>
  <si>
    <t>Alternative Education</t>
  </si>
  <si>
    <t>FY2009</t>
  </si>
  <si>
    <t>7010-0020</t>
  </si>
  <si>
    <t>Chapter #182</t>
  </si>
  <si>
    <t xml:space="preserve">FY2009 </t>
  </si>
  <si>
    <t xml:space="preserve">ESE Budget </t>
  </si>
  <si>
    <t>Regional School Transportation</t>
  </si>
  <si>
    <t xml:space="preserve"> </t>
  </si>
  <si>
    <t xml:space="preserve">after overrides, </t>
  </si>
  <si>
    <t>inc. supplementals</t>
  </si>
  <si>
    <t>7010-0033</t>
  </si>
  <si>
    <t>Massachusetts Department of Elementary &amp; Secondary Education</t>
  </si>
  <si>
    <t>FY2010 GAA</t>
  </si>
  <si>
    <t xml:space="preserve">Governor's </t>
  </si>
  <si>
    <t>Budget Vetoes</t>
  </si>
  <si>
    <t>FY2010</t>
  </si>
  <si>
    <t xml:space="preserve">Budget </t>
  </si>
  <si>
    <t>METCO</t>
  </si>
  <si>
    <t>(less vetoes)</t>
  </si>
  <si>
    <t>Budget (post</t>
  </si>
  <si>
    <t>9C Budget</t>
  </si>
  <si>
    <t>Reductions</t>
  </si>
  <si>
    <t>Furlough</t>
  </si>
  <si>
    <t xml:space="preserve">Total of </t>
  </si>
  <si>
    <t>All 9C Budget</t>
  </si>
  <si>
    <t>FY2011</t>
  </si>
  <si>
    <t>House Ways &amp;</t>
  </si>
  <si>
    <t>Means FY2011</t>
  </si>
  <si>
    <t>Budget</t>
  </si>
  <si>
    <t>7061-0033</t>
  </si>
  <si>
    <t xml:space="preserve">Final </t>
  </si>
  <si>
    <t>House Budget</t>
  </si>
  <si>
    <t>the FY2011</t>
  </si>
  <si>
    <t xml:space="preserve">Senate </t>
  </si>
  <si>
    <t>FY2011 Ways &amp;</t>
  </si>
  <si>
    <t>Means Budget</t>
  </si>
  <si>
    <t xml:space="preserve">Conference </t>
  </si>
  <si>
    <t>Committee</t>
  </si>
  <si>
    <t>from Federal</t>
  </si>
  <si>
    <t>FMAP Relief Fund</t>
  </si>
  <si>
    <t>appropriated</t>
  </si>
  <si>
    <t xml:space="preserve">the Federal </t>
  </si>
  <si>
    <t xml:space="preserve">Funds are </t>
  </si>
  <si>
    <t>NOT appropriated</t>
  </si>
  <si>
    <t>Amount</t>
  </si>
  <si>
    <t>associated with</t>
  </si>
  <si>
    <t>the FMAP</t>
  </si>
  <si>
    <t>Funds</t>
  </si>
  <si>
    <t xml:space="preserve">FMAP Adj. Budget </t>
  </si>
  <si>
    <t>to FY2010 GAA</t>
  </si>
  <si>
    <t>FY2008</t>
  </si>
  <si>
    <t>FY2012</t>
  </si>
  <si>
    <t>7061-9601</t>
  </si>
  <si>
    <t>ESE Budget (post</t>
  </si>
  <si>
    <t>all 9C Cuts)</t>
  </si>
  <si>
    <t xml:space="preserve">GAA </t>
  </si>
  <si>
    <t>House 1</t>
  </si>
  <si>
    <t>FY12 House 1</t>
  </si>
  <si>
    <t>HWM</t>
  </si>
  <si>
    <t>between the</t>
  </si>
  <si>
    <t xml:space="preserve">FY11 GAA and the </t>
  </si>
  <si>
    <t>Early Intervention Tutorial Literacy</t>
  </si>
  <si>
    <t>Supplem.</t>
  </si>
  <si>
    <t>7061-9810</t>
  </si>
  <si>
    <t>Final House</t>
  </si>
  <si>
    <t xml:space="preserve">FY12 </t>
  </si>
  <si>
    <t xml:space="preserve">FY11 </t>
  </si>
  <si>
    <t>FY12</t>
  </si>
  <si>
    <t>HWM to FY12</t>
  </si>
  <si>
    <t xml:space="preserve">Final House </t>
  </si>
  <si>
    <t>Spending to FY12</t>
  </si>
  <si>
    <t>House 1 to FY12</t>
  </si>
  <si>
    <t>House Budget to</t>
  </si>
  <si>
    <t>SWM</t>
  </si>
  <si>
    <t>Variance between</t>
  </si>
  <si>
    <t>the FY12</t>
  </si>
  <si>
    <t>House 1 Budget to</t>
  </si>
  <si>
    <t>to FY12 SWM Budget</t>
  </si>
  <si>
    <t>FY12 SWM Budget</t>
  </si>
  <si>
    <t>the FY11 GAA and</t>
  </si>
  <si>
    <t>Supplemental Budget</t>
  </si>
  <si>
    <t>Senate</t>
  </si>
  <si>
    <t>to FY12 Senate Budget</t>
  </si>
  <si>
    <t>FY12 Senate Budget</t>
  </si>
  <si>
    <t>to FY12 Conference</t>
  </si>
  <si>
    <t>Committee Budget</t>
  </si>
  <si>
    <t>Supp. Budget to FY12</t>
  </si>
  <si>
    <t>Conf. Committee Budget</t>
  </si>
  <si>
    <t>FY12 House 1 Budget</t>
  </si>
  <si>
    <t>House</t>
  </si>
  <si>
    <t>Supports to Close the Achievement Gap</t>
  </si>
  <si>
    <t>P.D. for Mathematics</t>
  </si>
  <si>
    <t>Regional Bonus Aid</t>
  </si>
  <si>
    <t>GAA</t>
  </si>
  <si>
    <t>Supp. Budget to</t>
  </si>
  <si>
    <t>FY12 GAA Budget</t>
  </si>
  <si>
    <t>FY2013</t>
  </si>
  <si>
    <t>School-To-Work Connecting Activities</t>
  </si>
  <si>
    <t xml:space="preserve">Chapter # 70, Foundation Aid </t>
  </si>
  <si>
    <t>Educator Certification Program - Admin.</t>
  </si>
  <si>
    <t>FY12 GAA + Supp</t>
  </si>
  <si>
    <t>7035-0035</t>
  </si>
  <si>
    <t>and FY13 House 1</t>
  </si>
  <si>
    <t>FY12 GAA and</t>
  </si>
  <si>
    <t>the FY13  HWM</t>
  </si>
  <si>
    <t>FY13 House 1 and</t>
  </si>
  <si>
    <t>the FY13 HWM</t>
  </si>
  <si>
    <t>7061-0928</t>
  </si>
  <si>
    <t>Transportation Reimbursement for Homeless Children</t>
  </si>
  <si>
    <t>Financial Literacy Grants</t>
  </si>
  <si>
    <t xml:space="preserve">Bay State Reading Institute </t>
  </si>
  <si>
    <t xml:space="preserve">Consolidated Literacy Program </t>
  </si>
  <si>
    <t xml:space="preserve">Special Education in Institutional Settings </t>
  </si>
  <si>
    <t xml:space="preserve">SPED Circuit Breaker Program </t>
  </si>
  <si>
    <t xml:space="preserve">Student Assessment (MCAS) </t>
  </si>
  <si>
    <t xml:space="preserve">Teacher Certification Retained Revenue </t>
  </si>
  <si>
    <t>the FY13 House</t>
  </si>
  <si>
    <t>FY13 House 2 and</t>
  </si>
  <si>
    <t>House 2</t>
  </si>
  <si>
    <t>FY13 HWM Budget</t>
  </si>
  <si>
    <t>and the FY13 House</t>
  </si>
  <si>
    <t>Total:</t>
  </si>
  <si>
    <t xml:space="preserve"> FY13 Conference</t>
  </si>
  <si>
    <t>and FY13 House 2</t>
  </si>
  <si>
    <t>and FY13 House</t>
  </si>
  <si>
    <t>and FY13 Senate</t>
  </si>
  <si>
    <t xml:space="preserve">GAA   </t>
  </si>
  <si>
    <t xml:space="preserve"> FY13 GAA and</t>
  </si>
  <si>
    <t>9C Cut</t>
  </si>
  <si>
    <t>FY2014</t>
  </si>
  <si>
    <t>FY13 GAA after 9C</t>
  </si>
  <si>
    <t>and FY14 House 1</t>
  </si>
  <si>
    <t>7061-9011</t>
  </si>
  <si>
    <t>Foundation Reserve</t>
  </si>
  <si>
    <t>AP Math and Science Programs</t>
  </si>
  <si>
    <t>School Lunch Program</t>
  </si>
  <si>
    <t>School &amp; District Accountability Reviews &amp; Monitoring</t>
  </si>
  <si>
    <t>Education Data Services</t>
  </si>
  <si>
    <t>FY13 GAA and</t>
  </si>
  <si>
    <t>the FY14 HWM</t>
  </si>
  <si>
    <t>FY14 House 1 and</t>
  </si>
  <si>
    <t>the FY14 House</t>
  </si>
  <si>
    <t>7061-9612</t>
  </si>
  <si>
    <t>Pilot Concurrent Enrollment Program ***</t>
  </si>
  <si>
    <t>FY14 HWM and</t>
  </si>
  <si>
    <t>the FY14 SWM</t>
  </si>
  <si>
    <t>FY14 House and</t>
  </si>
  <si>
    <t>the FY14 Senate</t>
  </si>
  <si>
    <t>FY14 SWM and</t>
  </si>
  <si>
    <t>FY14 Senate and</t>
  </si>
  <si>
    <t>Conference</t>
  </si>
  <si>
    <t>FY14 Conference</t>
  </si>
  <si>
    <t>7061-9811</t>
  </si>
  <si>
    <t>FY14 GAA</t>
  </si>
  <si>
    <t>and FY14 GAA Budget</t>
  </si>
  <si>
    <t>FY14 House 1</t>
  </si>
  <si>
    <t>and FY14 GAA</t>
  </si>
  <si>
    <t>FY 14 Conference</t>
  </si>
  <si>
    <t>7035-0008</t>
  </si>
  <si>
    <t>FY2015</t>
  </si>
  <si>
    <t>FY14 GAA Budget</t>
  </si>
  <si>
    <t>FY14 House 2</t>
  </si>
  <si>
    <t>FY15 House 2 and</t>
  </si>
  <si>
    <t>Non-Resident Vocational Students Transportation</t>
  </si>
  <si>
    <t>Safe and Supportive Schools Grant Program</t>
  </si>
  <si>
    <t>Innovation Schools</t>
  </si>
  <si>
    <t>FY15 House 2 Budget</t>
  </si>
  <si>
    <t>House Floor</t>
  </si>
  <si>
    <t>Amendments</t>
  </si>
  <si>
    <t xml:space="preserve">House </t>
  </si>
  <si>
    <t xml:space="preserve">FY15 House Budget </t>
  </si>
  <si>
    <t xml:space="preserve"> &amp; FY14 GAA Budget</t>
  </si>
  <si>
    <t>FY15 House Budget &amp;</t>
  </si>
  <si>
    <t>&amp; FY15 HWM Budget</t>
  </si>
  <si>
    <t xml:space="preserve">Mentoring Matching Grants </t>
  </si>
  <si>
    <t xml:space="preserve">FY15 SWM Budget </t>
  </si>
  <si>
    <t>FY15 SWM Budget &amp;</t>
  </si>
  <si>
    <t>&amp; FY15 House Budget</t>
  </si>
  <si>
    <t>7010-0050</t>
  </si>
  <si>
    <t>Education Evaluation Grant Program</t>
  </si>
  <si>
    <t>7010-0060</t>
  </si>
  <si>
    <t>Mental Health and Substance Abuse Counselor Grant Program</t>
  </si>
  <si>
    <t xml:space="preserve">FY15 Senate Budget </t>
  </si>
  <si>
    <t>FY15 Senate Budget &amp;</t>
  </si>
  <si>
    <t>&amp; FY15 SWM Budget</t>
  </si>
  <si>
    <t>Conf. Comm.</t>
  </si>
  <si>
    <t>&amp; FY15 Senate Budget</t>
  </si>
  <si>
    <t>Budget w/ Supp</t>
  </si>
  <si>
    <t xml:space="preserve">FY15 Conf. Budget </t>
  </si>
  <si>
    <t>Vetoes</t>
  </si>
  <si>
    <t>Variance bet.</t>
  </si>
  <si>
    <t>FY15 Budget</t>
  </si>
  <si>
    <t>Governor's</t>
  </si>
  <si>
    <t>with Vetoes</t>
  </si>
  <si>
    <t>GAA Budget</t>
  </si>
  <si>
    <t>7061-9406</t>
  </si>
  <si>
    <t>College and Career Readiness Program</t>
  </si>
  <si>
    <t xml:space="preserve">ESE Main Administration </t>
  </si>
  <si>
    <t>Supp Budget</t>
  </si>
  <si>
    <t>Post 9C Cuts</t>
  </si>
  <si>
    <t>Variance bet</t>
  </si>
  <si>
    <t>and FY14 Budget</t>
  </si>
  <si>
    <t xml:space="preserve">Feb. 2015 </t>
  </si>
  <si>
    <t>Nov. 2014</t>
  </si>
  <si>
    <t>District Reimbursements for Charter School Tuition</t>
  </si>
  <si>
    <t xml:space="preserve">FY2016 </t>
  </si>
  <si>
    <t>FY16 House 1 and</t>
  </si>
  <si>
    <t>FY15 GAA Post 9C</t>
  </si>
  <si>
    <t>7061-2200</t>
  </si>
  <si>
    <t>Educator Evaluation System Implementation</t>
  </si>
  <si>
    <t>Student Safety and Support</t>
  </si>
  <si>
    <t>7061-2300</t>
  </si>
  <si>
    <t>Note:</t>
  </si>
  <si>
    <t>FY2016</t>
  </si>
  <si>
    <t>FY16 HWM and</t>
  </si>
  <si>
    <t>FY16 House 1</t>
  </si>
  <si>
    <t xml:space="preserve">House 1 Consolidated with 7061-9408 </t>
  </si>
  <si>
    <t xml:space="preserve">House 1 Consolidation of targeted assistance programs </t>
  </si>
  <si>
    <t>House 1 Aligned Program/ Coordinated Grants</t>
  </si>
  <si>
    <t>FY16 House and</t>
  </si>
  <si>
    <t>FY16 HWM</t>
  </si>
  <si>
    <t>FY16 SWM and</t>
  </si>
  <si>
    <t>FY16 House</t>
  </si>
  <si>
    <t>Adult Basic Education</t>
  </si>
  <si>
    <t>Public School Military Mitigation</t>
  </si>
  <si>
    <t>Child Sexual Abuse Prevention</t>
  </si>
  <si>
    <t>FY16 Senate and</t>
  </si>
  <si>
    <t>FY16 WWM</t>
  </si>
  <si>
    <t>FY16 Conference and</t>
  </si>
  <si>
    <t xml:space="preserve">FY16 Conference </t>
  </si>
  <si>
    <t>and FY16 Senate</t>
  </si>
  <si>
    <t>and FY16 House</t>
  </si>
  <si>
    <t>FY16 Conference</t>
  </si>
  <si>
    <t>and FY16 House 1</t>
  </si>
  <si>
    <t>7061-9812</t>
  </si>
  <si>
    <t>FY16 GAA Budget and</t>
  </si>
  <si>
    <t>FY16 Conf. Budget</t>
  </si>
  <si>
    <t>Creative Challenge Index</t>
  </si>
  <si>
    <t>FY16 Legislative</t>
  </si>
  <si>
    <t>Veto Overrides</t>
  </si>
  <si>
    <t>FY16 GAA Budg&amp;</t>
  </si>
  <si>
    <t>English Language Acquisition</t>
  </si>
  <si>
    <t xml:space="preserve">Supp </t>
  </si>
  <si>
    <t>w/ Supp Budget</t>
  </si>
  <si>
    <t xml:space="preserve">9C </t>
  </si>
  <si>
    <t>Cut</t>
  </si>
  <si>
    <t>FY2017</t>
  </si>
  <si>
    <t>House 2 Budget</t>
  </si>
  <si>
    <t>7010-0031</t>
  </si>
  <si>
    <t>Savings</t>
  </si>
  <si>
    <t>ERIP Personnel</t>
  </si>
  <si>
    <t>Early Literacy Initiatives</t>
  </si>
  <si>
    <t>$1.2 M in FY16 earmarks removed</t>
  </si>
  <si>
    <t>$225k in FY16 earmarks removed and $2.75m in expansion</t>
  </si>
  <si>
    <t>$375k in FY16 earmarks removed</t>
  </si>
  <si>
    <t xml:space="preserve">$510k in FY16 earmarks removed </t>
  </si>
  <si>
    <t>$50k in FY16 earmark removed</t>
  </si>
  <si>
    <t>$310k in FY16 earmarks removed</t>
  </si>
  <si>
    <t>Quality Kindergarten Grants (formerly Kindergarten Expansion Grants)</t>
  </si>
  <si>
    <t>FY17 House 2 and</t>
  </si>
  <si>
    <t>FY16 GAA Post 9C</t>
  </si>
  <si>
    <t>Targeted Assistance to Schools &amp; Districts</t>
  </si>
  <si>
    <t>$250k in FY16 earmark removed</t>
  </si>
  <si>
    <t>FY16 House 2 Budget Comments</t>
  </si>
  <si>
    <t>FY17 HWM and</t>
  </si>
  <si>
    <t>FY17 House 2</t>
  </si>
  <si>
    <t>change in funding formula</t>
  </si>
  <si>
    <t>$1.338 M in earmarks</t>
  </si>
  <si>
    <t xml:space="preserve">$298,750 in earmarks </t>
  </si>
  <si>
    <t>$225k in earmarks</t>
  </si>
  <si>
    <t xml:space="preserve">$295k in earmarks </t>
  </si>
  <si>
    <t>FY17 House and</t>
  </si>
  <si>
    <t>FY17 HWM</t>
  </si>
  <si>
    <t>$250k in earmarks</t>
  </si>
  <si>
    <t>Relief to districts impacted by change in low-income calculation, $250k for extraordinary relief</t>
  </si>
  <si>
    <t>$100k earmark for Reading Recovery</t>
  </si>
  <si>
    <t>$6.5M earmark for DDS</t>
  </si>
  <si>
    <t>funding for staff language added</t>
  </si>
  <si>
    <t>$200k earmark for JFY Network</t>
  </si>
  <si>
    <t>FY17 SWM and</t>
  </si>
  <si>
    <t>FY17 House</t>
  </si>
  <si>
    <t>FY17 SWM Notes</t>
  </si>
  <si>
    <t>FY17 House Comments</t>
  </si>
  <si>
    <t>$300k for Reading Recovery &amp; $400k for Bay State Reading</t>
  </si>
  <si>
    <t>$200k for Medway Schools</t>
  </si>
  <si>
    <t>7061-9401</t>
  </si>
  <si>
    <t>Assessment Consortium</t>
  </si>
  <si>
    <t>For expansion and enhancement grants only</t>
  </si>
  <si>
    <t>Funding for 1 FTE</t>
  </si>
  <si>
    <t>$250k for earmark ($510k in FY16)</t>
  </si>
  <si>
    <t>($50k earmark in FY16 removed)</t>
  </si>
  <si>
    <t>$225k of FY16 earmarks removed</t>
  </si>
  <si>
    <t>$250k for earmark ($125k of FY16 earmark removed)</t>
  </si>
  <si>
    <t>$250k of FY16 earmark removed</t>
  </si>
  <si>
    <t>$100k for earmark ($210k of FY16 earmarks removed)</t>
  </si>
  <si>
    <t>$550k in earmarks ($705k of FY16 earmarks removed)</t>
  </si>
  <si>
    <t>FY17 Senate and</t>
  </si>
  <si>
    <t>FY17 SWM</t>
  </si>
  <si>
    <t>$150k Bottom Line earmark, $250k for Voc. Ed. high school STEM grant program</t>
  </si>
  <si>
    <t>$150k Best Buddies earmark, $500k extraordinary relief</t>
  </si>
  <si>
    <t>FY17 Senate Notes</t>
  </si>
  <si>
    <t>$50k earkmark ($300k in total)</t>
  </si>
  <si>
    <t>$855k of new earmarks ($1.4M in total)</t>
  </si>
  <si>
    <t>$400k for Reading Recovery, $400k for Bay State Reading and $200k for Hopkinton</t>
  </si>
  <si>
    <t>$590k in new earmarks ($690k in total)</t>
  </si>
  <si>
    <t>$50k new earmark ($300k in total)</t>
  </si>
  <si>
    <t xml:space="preserve"> FY17 Senate</t>
  </si>
  <si>
    <t>Governor</t>
  </si>
  <si>
    <t>FY17 GAA Notes</t>
  </si>
  <si>
    <t xml:space="preserve"> FY17 Conference</t>
  </si>
  <si>
    <t>Overrides</t>
  </si>
  <si>
    <t>$400,000 for Reading Recovery and $200,000 for Hopkinton.</t>
  </si>
  <si>
    <t xml:space="preserve">$2,160, 294 in legislative earmarked programs.  $50k earmark for Agawam. </t>
  </si>
  <si>
    <t>$375,000 in legislative earmarked programs.</t>
  </si>
  <si>
    <t>$250,000 in earmark to Chef in Schools.</t>
  </si>
  <si>
    <t>$100,000 earmark for Lincoln.</t>
  </si>
  <si>
    <t>$200,000 earmark for JFY Network.</t>
  </si>
  <si>
    <t>$300,000 in earmarks for Randolph.</t>
  </si>
  <si>
    <t>$935,000 in legislative earmarked programs.  $20k earmark for Yes We Care/Torch Training</t>
  </si>
  <si>
    <t>FY17 GAA Final &amp;</t>
  </si>
  <si>
    <t xml:space="preserve">FY17 GAA Final &amp; </t>
  </si>
  <si>
    <t>minus 1% SS reserve</t>
  </si>
  <si>
    <t>$698,750 in legislative earmarked programs.</t>
  </si>
  <si>
    <t>$150k Best Buddies earmark</t>
  </si>
  <si>
    <t>$200,000 earmark for Medway</t>
  </si>
  <si>
    <t>w/Vetoes</t>
  </si>
  <si>
    <t>9c Cut</t>
  </si>
  <si>
    <t>Post 9c Cut</t>
  </si>
  <si>
    <t>Final w/Supp</t>
  </si>
  <si>
    <t>Post 9C revised</t>
  </si>
  <si>
    <t xml:space="preserve">FY2017 </t>
  </si>
  <si>
    <t>1% SS Savings</t>
  </si>
  <si>
    <t>Post 9C &amp; Supp</t>
  </si>
  <si>
    <t>FY2018</t>
  </si>
  <si>
    <t>House 1 and</t>
  </si>
  <si>
    <t>FY17 GAA Post 9C</t>
  </si>
  <si>
    <t>FY18 House 1 Notes</t>
  </si>
  <si>
    <t>Eliminated by FY17 9C cut</t>
  </si>
  <si>
    <t>Consolidated with 7061-9408</t>
  </si>
  <si>
    <t>7061-9624</t>
  </si>
  <si>
    <t>Reduction in grants</t>
  </si>
  <si>
    <t>$2M net increase after account consolidations to fund planning for STEM early college career pathways; grants for practiced-based school leadership training programs and new teacher training in urban schools</t>
  </si>
  <si>
    <t>Account transfer from DHE</t>
  </si>
  <si>
    <t>Savings from ending old MCAS contract</t>
  </si>
  <si>
    <t>VSIP payroll savings and earmark reductions</t>
  </si>
  <si>
    <t>VSIP payroll savings</t>
  </si>
  <si>
    <t>1% saving restored</t>
  </si>
  <si>
    <t>Reduction due to declining # of eligible districts</t>
  </si>
  <si>
    <t>WPI Schools of Excellence</t>
  </si>
  <si>
    <t>FY18 HWM and</t>
  </si>
  <si>
    <t>FY18 House 1</t>
  </si>
  <si>
    <t>FY18 HWM Notes</t>
  </si>
  <si>
    <t>Budget matches planned spending in FY18</t>
  </si>
  <si>
    <t>Partial 9c cut cut restored</t>
  </si>
  <si>
    <t xml:space="preserve">$250k earmark for Chef in Schools </t>
  </si>
  <si>
    <t>VSIP savings</t>
  </si>
  <si>
    <t>$1.7 M net reduction from FY17</t>
  </si>
  <si>
    <t>$611k net reduction from FY17</t>
  </si>
  <si>
    <t>$500k net reduction from FY17</t>
  </si>
  <si>
    <t>$200k net reduction from FY17</t>
  </si>
  <si>
    <t>Line item eliminated in HWM budget</t>
  </si>
  <si>
    <t>$150,611 net reduction from FY17.  $100k earmark for Reading Recovery</t>
  </si>
  <si>
    <t>$200k earmark for JFY Network. Line item full restored to pre-9c level</t>
  </si>
  <si>
    <t>FY18 House and</t>
  </si>
  <si>
    <t>Hispanic American Library of Springfield</t>
  </si>
  <si>
    <t>Greater Lawrence Technical School in Ayer</t>
  </si>
  <si>
    <t>Brockton</t>
  </si>
  <si>
    <t>Clarksburg Elementary</t>
  </si>
  <si>
    <t>Woodland, Powder Mill and High Schools in Southwick</t>
  </si>
  <si>
    <t>Earmarks totaling $1.69M</t>
  </si>
  <si>
    <t>9c cut cut restored</t>
  </si>
  <si>
    <t>$250k earmark</t>
  </si>
  <si>
    <t>Entity</t>
  </si>
  <si>
    <t>Operation ABLE</t>
  </si>
  <si>
    <t>Casa Dominicana of Lawrence</t>
  </si>
  <si>
    <t>$311k net reduction from FY17 + $200k earmarks</t>
  </si>
  <si>
    <t>added earmark language</t>
  </si>
  <si>
    <t>$100k earmark</t>
  </si>
  <si>
    <t>Lincoln</t>
  </si>
  <si>
    <t>Youth Court programs of New Bedford &amp; Fall River</t>
  </si>
  <si>
    <t>Dept of Community Services New Bedford - STEAM Design Academy for Girls</t>
  </si>
  <si>
    <t>Bird Street Community Center Boston</t>
  </si>
  <si>
    <t>Recreation Worcester</t>
  </si>
  <si>
    <t>FY18 HWM</t>
  </si>
  <si>
    <t xml:space="preserve">7035-0002 </t>
  </si>
  <si>
    <t>$350k earmarks</t>
  </si>
  <si>
    <t>Chef in schools</t>
  </si>
  <si>
    <t>Amesbury Public Schools - computer carts</t>
  </si>
  <si>
    <t>Pembroke - technology upgrade</t>
  </si>
  <si>
    <t>Millis - mitigation costs</t>
  </si>
  <si>
    <t>Dracut - tech upgrade</t>
  </si>
  <si>
    <t>Madison Park High - STEM program</t>
  </si>
  <si>
    <t>North Street Elementary in Tewksbury - emergency repairs</t>
  </si>
  <si>
    <t>Westford - tech upgrade</t>
  </si>
  <si>
    <t>Rockland - teacher training for ELLs</t>
  </si>
  <si>
    <t>Rockland - teacher training for SPED</t>
  </si>
  <si>
    <t>JFK Library Foundation - education program</t>
  </si>
  <si>
    <t>Hingham - safety upgrades</t>
  </si>
  <si>
    <t>Cohasset - school resource officer</t>
  </si>
  <si>
    <t>Hull - school resource officer</t>
  </si>
  <si>
    <t>South Hadley - culinary arts program</t>
  </si>
  <si>
    <t>$150,611 net reduction from FY17.  $300k earmark for Reading Recovery</t>
  </si>
  <si>
    <t>Reading Recovery</t>
  </si>
  <si>
    <t>JFY Networks</t>
  </si>
  <si>
    <t>$200k earmark for JFY Networks</t>
  </si>
  <si>
    <t>FY18 SWM and</t>
  </si>
  <si>
    <t>FY18 House</t>
  </si>
  <si>
    <t>FY18 SWM Notes</t>
  </si>
  <si>
    <t>FY18 House Notes</t>
  </si>
  <si>
    <t>Ashland</t>
  </si>
  <si>
    <t>$600k earmarks</t>
  </si>
  <si>
    <t>$12,548,162 transitional relief for low-income school enrollment calculation</t>
  </si>
  <si>
    <t>Randolph - parent engagement program</t>
  </si>
  <si>
    <t>Chelsea - social worker to reduce school violence</t>
  </si>
  <si>
    <t>Everett - youth case worker to combat youth violence</t>
  </si>
  <si>
    <t>Hoops and Homework</t>
  </si>
  <si>
    <t>Resiliency for Life</t>
  </si>
  <si>
    <t>$125k earmarks, net increase of $300k from FY17</t>
  </si>
  <si>
    <t>line item eliminated by SWM</t>
  </si>
  <si>
    <t>$550k earmarks for Reading Recovery and Bay State Reading</t>
  </si>
  <si>
    <t>$70k net reduction over FY17</t>
  </si>
  <si>
    <t>$400k earmarks, net reduction of $250k from FY17</t>
  </si>
  <si>
    <t>$250k earmark, net increase of $1.5M over FY17</t>
  </si>
  <si>
    <t>FY18 SWM</t>
  </si>
  <si>
    <t>FY18 Senate and</t>
  </si>
  <si>
    <t>Springfield - programming for at-risk middle and HS students through mentoring, truancy prevention and other interventions</t>
  </si>
  <si>
    <t>North Attleboro - school resource officer</t>
  </si>
  <si>
    <t>$650k earmarks for Reading Recovery and Bay State Reading</t>
  </si>
  <si>
    <t>Best Buddies</t>
  </si>
  <si>
    <t>for the purpose of school districts in which special education costs exceed 25 per cent of the total district costs and in which tuition and other circuit-breaker eligible costs for placements at an approved private school located within the district exceed both $1,000,000 and 25 per cent of all tuition and other circuit-breaker eligible costs for placements at approved private schools</t>
  </si>
  <si>
    <t>$650k in earmarks</t>
  </si>
  <si>
    <t>Yes We Care/Torch Training Program</t>
  </si>
  <si>
    <t>Steps to Success Brookline</t>
  </si>
  <si>
    <t xml:space="preserve">operation of a pilot data-sharing program designed to provide school districts with funds to partner with local community-based organizations and share identifiable student data </t>
  </si>
  <si>
    <t>a new grant to increase access to quality afterschool or summer learning programs for school-age children and youth</t>
  </si>
  <si>
    <t xml:space="preserve">Community Foundation of Southeastern Massachusetts - provide access to youth development and arts and cultural programming for financially disadvantaged youth in the city of New Bedford, </t>
  </si>
  <si>
    <t>Community Boating Center, Inc. of New Bedford for programming for financially disadvantaged children</t>
  </si>
  <si>
    <t>Beyond Soccer - health, athletic and leadership programming for low-income youth in Lawrence</t>
  </si>
  <si>
    <t>More Than Words - vocational program for system-involved youth</t>
  </si>
  <si>
    <t>Triangle Inc's School to Career Program</t>
  </si>
  <si>
    <t>$125k earmark + $870k new earmarks, net increase of $750k from FY17</t>
  </si>
  <si>
    <t>$600k +$400k of new earmarks for $1M total</t>
  </si>
  <si>
    <t>$335k of earmarks + $280k increase over FY17</t>
  </si>
  <si>
    <t>Lawrence Family Development and Education Fund to assist in citizenship education, citizenship application assistance, ESL classes, and computer training for low-income adults</t>
  </si>
  <si>
    <t>$250k earmark + new $50k earnark, net increase of $1.98M over FY17</t>
  </si>
  <si>
    <t>$400k earmarks</t>
  </si>
  <si>
    <t>FY18 Conference and</t>
  </si>
  <si>
    <t>FY18 Senate</t>
  </si>
  <si>
    <t>FY18 Conference Notes</t>
  </si>
  <si>
    <t>Abington for curriculum upgrade</t>
  </si>
  <si>
    <t>Framingham to mitigate student overcrowding</t>
  </si>
  <si>
    <t>H. Olive Day Elementary roof replacement in Norfolk</t>
  </si>
  <si>
    <t>Jackson Elementary playground update in Plainville</t>
  </si>
  <si>
    <t>North Andover - sustain full-day kindergarten</t>
  </si>
  <si>
    <t>7027-1009</t>
  </si>
  <si>
    <t>$2,590,000 of earmarks.  $256,096 cut to maintenance budget</t>
  </si>
  <si>
    <t>Pentucket Regional</t>
  </si>
  <si>
    <t>Scholar Athletes, Inc.</t>
  </si>
  <si>
    <t>Youth &amp; Family Enrichment Services of Hyde Park -provide after-school academic enrichment for area youth</t>
  </si>
  <si>
    <t>$26,460 cut to maintenance budget</t>
  </si>
  <si>
    <t>$300k for Reading Recovery.  $152,482 cut to maintenance budget</t>
  </si>
  <si>
    <t>$233,061 cut to maintenance budget</t>
  </si>
  <si>
    <t>$400k of earmarks. $500k cut to maintenance budget</t>
  </si>
  <si>
    <t>$267,607 cut to maintenance budget</t>
  </si>
  <si>
    <t>$15k earmark</t>
  </si>
  <si>
    <t>$585,000 of earmarks. $299,398 increase to maintenance budget</t>
  </si>
  <si>
    <t>$350k of earmarks.  $800k increase to maintenance budget</t>
  </si>
  <si>
    <t>$650k of earmarks. $3.3M increase to maintenance budget</t>
  </si>
  <si>
    <t>$1.17M of earmarks. $355,846 increase to maintenance budget</t>
  </si>
  <si>
    <t>$4.1M cut to maintenance budget</t>
  </si>
  <si>
    <t xml:space="preserve">n  </t>
  </si>
  <si>
    <t>w/ Vetoes</t>
  </si>
  <si>
    <t>FY18 GAA and</t>
  </si>
  <si>
    <t>FY18 Conference</t>
  </si>
  <si>
    <t>$150k of earmarks.  $256,096 cut to maintenance budget</t>
  </si>
  <si>
    <t>$152,482 cut to maintenance budget</t>
  </si>
  <si>
    <t>$200k of earmarks. $280,398 increase to maintenance budget</t>
  </si>
  <si>
    <t xml:space="preserve">$300k of earmarks. </t>
  </si>
  <si>
    <t>$500k cut to maintenance budget</t>
  </si>
  <si>
    <t>$200k of earmarks</t>
  </si>
  <si>
    <t>FY18 GAA Notes</t>
  </si>
  <si>
    <t>w/Overrides</t>
  </si>
  <si>
    <t>FY18 Budget Earmark Details</t>
  </si>
  <si>
    <t>GAA + Supp</t>
  </si>
  <si>
    <t>Camp Pohelo Tewksbury</t>
  </si>
  <si>
    <t>Wrentham - education and awareness of opiate addiction</t>
  </si>
  <si>
    <t>Grow Food Northampton</t>
  </si>
  <si>
    <t>Methuen High School - mental health counseling</t>
  </si>
  <si>
    <t>Adams-Cheshire Regional - offsetting increased costs</t>
  </si>
  <si>
    <t>Blackstone Valley Education Foundation - collaboration between public schools and area manufacturers</t>
  </si>
  <si>
    <t>Bottom Line - provide college transition and retention services for low-income or first-generation college students</t>
  </si>
  <si>
    <t>Homework House of Holyoke</t>
  </si>
  <si>
    <t>FY2019</t>
  </si>
  <si>
    <t xml:space="preserve">FY19 Governor's House 2 Budget </t>
  </si>
  <si>
    <t>7061-9607</t>
  </si>
  <si>
    <t>Recovery High Schools</t>
  </si>
  <si>
    <t>FY19 House 2 and</t>
  </si>
  <si>
    <t>FY18 GAA + Supp</t>
  </si>
  <si>
    <t>FY19 House 2</t>
  </si>
  <si>
    <t>Notes</t>
  </si>
  <si>
    <t>$858k earmarks removed to support $1M in expansion</t>
  </si>
  <si>
    <t>consolidated with 7010-0033</t>
  </si>
  <si>
    <t>$350k earmarks + FY18 expansion removed + SS savings carried into FY19</t>
  </si>
  <si>
    <t>earmark removed</t>
  </si>
  <si>
    <t>account eliminated</t>
  </si>
  <si>
    <t>$1M to implement history/SS standards and develop assessment</t>
  </si>
  <si>
    <t>$1.17M earmarks and $356 expansion funding removed + SS savings carried into FY19</t>
  </si>
  <si>
    <t>account transfer from DPH</t>
  </si>
  <si>
    <t>$400k earmarks removed + $200k funding for empowerment zone and school leadership</t>
  </si>
  <si>
    <t>$2.59M earmarks removed + $247k lease reduction + SS savings carried into FY19.  $100k added for Recovery High School admin</t>
  </si>
  <si>
    <t>consolidated funding with $500k for Voc. Ed. Teacher RETELL training and $200k for LOOK implementation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</si>
</sst>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9"/>
      <color indexed="8"/>
      <name val="Arial"/>
      <family val="2"/>
    </font>
    <font>
      <sz val="10"/>
      <name val="MS Sans Serif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0" fontId="3" fillId="0" borderId="0"/>
    <xf numFmtId="0" fontId="1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24" fillId="0" borderId="0"/>
    <xf numFmtId="43" fontId="2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0" fontId="8" fillId="0" borderId="0" xfId="0" applyFont="1"/>
    <xf numFmtId="164" fontId="8" fillId="0" borderId="0" xfId="1" applyNumberFormat="1" applyFont="1"/>
    <xf numFmtId="164" fontId="8" fillId="0" borderId="0" xfId="0" applyNumberFormat="1" applyFont="1"/>
    <xf numFmtId="0" fontId="15" fillId="0" borderId="0" xfId="0" applyFont="1"/>
    <xf numFmtId="0" fontId="7" fillId="0" borderId="0" xfId="0" applyFont="1" applyFill="1" applyAlignment="1"/>
    <xf numFmtId="3" fontId="7" fillId="0" borderId="0" xfId="0" applyNumberFormat="1" applyFont="1" applyFill="1" applyAlignment="1"/>
    <xf numFmtId="0" fontId="4" fillId="0" borderId="0" xfId="0" applyFont="1"/>
    <xf numFmtId="164" fontId="8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0" fontId="10" fillId="0" borderId="1" xfId="2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/>
    <xf numFmtId="15" fontId="4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/>
    <xf numFmtId="3" fontId="8" fillId="0" borderId="1" xfId="0" applyNumberFormat="1" applyFont="1" applyFill="1" applyBorder="1" applyAlignment="1">
      <alignment horizontal="right"/>
    </xf>
    <xf numFmtId="164" fontId="8" fillId="0" borderId="1" xfId="1" applyNumberFormat="1" applyFont="1" applyFill="1" applyBorder="1" applyAlignment="1"/>
    <xf numFmtId="164" fontId="9" fillId="0" borderId="1" xfId="1" applyNumberFormat="1" applyFont="1" applyFill="1" applyBorder="1" applyAlignment="1"/>
    <xf numFmtId="164" fontId="12" fillId="0" borderId="1" xfId="1" applyNumberFormat="1" applyFont="1" applyFill="1" applyBorder="1" applyAlignment="1"/>
    <xf numFmtId="164" fontId="12" fillId="0" borderId="1" xfId="1" applyNumberFormat="1" applyFont="1" applyBorder="1"/>
    <xf numFmtId="164" fontId="8" fillId="0" borderId="1" xfId="1" applyNumberFormat="1" applyFont="1" applyBorder="1"/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6" fillId="0" borderId="1" xfId="1" applyNumberFormat="1" applyFont="1" applyFill="1" applyBorder="1" applyAlignment="1">
      <alignment horizontal="center"/>
    </xf>
    <xf numFmtId="164" fontId="8" fillId="0" borderId="1" xfId="1" applyNumberFormat="1" applyFont="1" applyFill="1" applyBorder="1"/>
    <xf numFmtId="3" fontId="4" fillId="0" borderId="1" xfId="0" applyNumberFormat="1" applyFont="1" applyFill="1" applyBorder="1" applyAlignment="1">
      <alignment horizontal="right"/>
    </xf>
    <xf numFmtId="164" fontId="6" fillId="0" borderId="1" xfId="1" applyNumberFormat="1" applyFont="1" applyBorder="1" applyAlignment="1"/>
    <xf numFmtId="0" fontId="13" fillId="0" borderId="0" xfId="0" applyFont="1" applyFill="1" applyBorder="1" applyAlignment="1">
      <alignment horizontal="center"/>
    </xf>
    <xf numFmtId="0" fontId="8" fillId="0" borderId="0" xfId="0" applyFont="1" applyBorder="1"/>
    <xf numFmtId="0" fontId="16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/>
    <xf numFmtId="164" fontId="3" fillId="0" borderId="1" xfId="1" applyNumberFormat="1" applyFont="1" applyBorder="1"/>
    <xf numFmtId="164" fontId="3" fillId="0" borderId="1" xfId="1" applyNumberFormat="1" applyFont="1" applyFill="1" applyBorder="1"/>
    <xf numFmtId="0" fontId="3" fillId="0" borderId="1" xfId="0" applyNumberFormat="1" applyFont="1" applyFill="1" applyBorder="1" applyAlignment="1">
      <alignment horizontal="left"/>
    </xf>
    <xf numFmtId="164" fontId="3" fillId="0" borderId="1" xfId="0" applyNumberFormat="1" applyFont="1" applyBorder="1"/>
    <xf numFmtId="164" fontId="8" fillId="0" borderId="1" xfId="0" applyNumberFormat="1" applyFont="1" applyFill="1" applyBorder="1"/>
    <xf numFmtId="164" fontId="3" fillId="0" borderId="1" xfId="0" applyNumberFormat="1" applyFont="1" applyFill="1" applyBorder="1"/>
    <xf numFmtId="0" fontId="17" fillId="0" borderId="1" xfId="0" applyFont="1" applyFill="1" applyBorder="1" applyAlignment="1">
      <alignment horizontal="center"/>
    </xf>
    <xf numFmtId="164" fontId="4" fillId="0" borderId="1" xfId="0" applyNumberFormat="1" applyFont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3" fontId="8" fillId="0" borderId="1" xfId="1" applyFont="1" applyBorder="1"/>
    <xf numFmtId="43" fontId="3" fillId="0" borderId="1" xfId="1" applyFont="1" applyFill="1" applyBorder="1"/>
    <xf numFmtId="0" fontId="14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164" fontId="3" fillId="0" borderId="0" xfId="1" applyNumberFormat="1" applyFont="1"/>
    <xf numFmtId="165" fontId="3" fillId="0" borderId="0" xfId="2" applyNumberFormat="1" applyFont="1"/>
    <xf numFmtId="0" fontId="14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9" fillId="0" borderId="0" xfId="0" applyFont="1" applyFill="1" applyBorder="1" applyAlignment="1">
      <alignment horizontal="left" wrapText="1"/>
    </xf>
    <xf numFmtId="0" fontId="3" fillId="0" borderId="0" xfId="6"/>
    <xf numFmtId="0" fontId="3" fillId="0" borderId="0" xfId="6" applyFont="1"/>
    <xf numFmtId="164" fontId="3" fillId="0" borderId="0" xfId="1" applyNumberFormat="1" applyFont="1"/>
    <xf numFmtId="164" fontId="3" fillId="0" borderId="0" xfId="6" applyNumberFormat="1" applyFont="1"/>
    <xf numFmtId="0" fontId="5" fillId="0" borderId="0" xfId="6" applyFont="1"/>
    <xf numFmtId="164" fontId="17" fillId="0" borderId="1" xfId="1" applyNumberFormat="1" applyFont="1" applyFill="1" applyBorder="1" applyAlignment="1">
      <alignment horizontal="center"/>
    </xf>
    <xf numFmtId="0" fontId="3" fillId="0" borderId="0" xfId="6" applyFont="1" applyAlignment="1">
      <alignment wrapText="1"/>
    </xf>
    <xf numFmtId="0" fontId="5" fillId="0" borderId="0" xfId="6" applyFont="1" applyFill="1" applyBorder="1" applyAlignment="1"/>
    <xf numFmtId="0" fontId="5" fillId="0" borderId="0" xfId="6" applyFont="1" applyFill="1" applyAlignment="1"/>
    <xf numFmtId="0" fontId="19" fillId="0" borderId="0" xfId="6" applyFont="1" applyFill="1" applyBorder="1" applyAlignment="1">
      <alignment horizontal="left"/>
    </xf>
    <xf numFmtId="0" fontId="19" fillId="0" borderId="0" xfId="6" applyFont="1" applyFill="1" applyAlignment="1">
      <alignment horizontal="left"/>
    </xf>
    <xf numFmtId="0" fontId="19" fillId="0" borderId="0" xfId="6" applyFont="1" applyFill="1" applyBorder="1" applyAlignment="1"/>
    <xf numFmtId="0" fontId="19" fillId="0" borderId="0" xfId="6" applyFont="1" applyFill="1" applyAlignment="1"/>
    <xf numFmtId="165" fontId="3" fillId="0" borderId="0" xfId="2" applyNumberFormat="1" applyFont="1"/>
    <xf numFmtId="0" fontId="19" fillId="0" borderId="0" xfId="6" applyFont="1" applyFill="1" applyBorder="1" applyAlignment="1">
      <alignment horizontal="left" wrapText="1"/>
    </xf>
    <xf numFmtId="164" fontId="19" fillId="0" borderId="0" xfId="6" applyNumberFormat="1" applyFont="1" applyFill="1" applyBorder="1" applyAlignment="1">
      <alignment horizontal="left" wrapText="1"/>
    </xf>
    <xf numFmtId="0" fontId="22" fillId="0" borderId="0" xfId="6" applyFont="1" applyFill="1" applyAlignment="1">
      <alignment wrapText="1"/>
    </xf>
    <xf numFmtId="0" fontId="3" fillId="0" borderId="0" xfId="6" applyFont="1" applyFill="1" applyBorder="1" applyAlignment="1">
      <alignment horizontal="left"/>
    </xf>
    <xf numFmtId="0" fontId="3" fillId="0" borderId="0" xfId="6" applyFont="1" applyFill="1" applyBorder="1" applyAlignment="1"/>
    <xf numFmtId="0" fontId="3" fillId="0" borderId="0" xfId="6" applyFont="1" applyFill="1" applyAlignment="1">
      <alignment horizontal="left"/>
    </xf>
    <xf numFmtId="0" fontId="3" fillId="0" borderId="0" xfId="6" applyFont="1" applyFill="1" applyAlignment="1">
      <alignment wrapText="1"/>
    </xf>
    <xf numFmtId="10" fontId="8" fillId="0" borderId="1" xfId="2" applyNumberFormat="1" applyFont="1" applyBorder="1"/>
    <xf numFmtId="164" fontId="3" fillId="0" borderId="1" xfId="1" applyNumberFormat="1" applyFont="1" applyFill="1" applyBorder="1" applyAlignment="1">
      <alignment horizontal="center"/>
    </xf>
    <xf numFmtId="164" fontId="12" fillId="0" borderId="1" xfId="1" applyNumberFormat="1" applyFont="1" applyFill="1" applyBorder="1"/>
    <xf numFmtId="0" fontId="3" fillId="0" borderId="1" xfId="0" applyFont="1" applyFill="1" applyBorder="1" applyAlignment="1">
      <alignment wrapText="1"/>
    </xf>
    <xf numFmtId="164" fontId="4" fillId="0" borderId="1" xfId="1" applyNumberFormat="1" applyFont="1" applyBorder="1" applyAlignment="1">
      <alignment horizontal="center"/>
    </xf>
    <xf numFmtId="164" fontId="19" fillId="0" borderId="0" xfId="1" applyNumberFormat="1" applyFont="1" applyFill="1" applyBorder="1" applyAlignment="1">
      <alignment horizontal="left" wrapText="1"/>
    </xf>
    <xf numFmtId="10" fontId="8" fillId="0" borderId="0" xfId="2" applyNumberFormat="1" applyFont="1"/>
    <xf numFmtId="164" fontId="3" fillId="0" borderId="1" xfId="1" applyNumberFormat="1" applyFont="1" applyBorder="1" applyAlignment="1">
      <alignment wrapText="1"/>
    </xf>
    <xf numFmtId="164" fontId="19" fillId="0" borderId="1" xfId="1" applyNumberFormat="1" applyFont="1" applyBorder="1"/>
    <xf numFmtId="164" fontId="19" fillId="0" borderId="1" xfId="1" applyNumberFormat="1" applyFont="1" applyBorder="1" applyAlignment="1">
      <alignment wrapText="1"/>
    </xf>
    <xf numFmtId="0" fontId="8" fillId="0" borderId="0" xfId="1" applyNumberFormat="1" applyFont="1"/>
    <xf numFmtId="164" fontId="19" fillId="0" borderId="0" xfId="1" applyNumberFormat="1" applyFont="1"/>
    <xf numFmtId="164" fontId="23" fillId="0" borderId="1" xfId="1" applyNumberFormat="1" applyFont="1" applyBorder="1" applyAlignment="1"/>
    <xf numFmtId="0" fontId="4" fillId="0" borderId="1" xfId="0" applyFont="1" applyBorder="1" applyAlignment="1">
      <alignment horizontal="center" wrapText="1"/>
    </xf>
    <xf numFmtId="164" fontId="19" fillId="0" borderId="1" xfId="1" applyNumberFormat="1" applyFont="1" applyFill="1" applyBorder="1"/>
    <xf numFmtId="0" fontId="19" fillId="0" borderId="1" xfId="0" applyFont="1" applyBorder="1" applyAlignment="1">
      <alignment wrapText="1"/>
    </xf>
    <xf numFmtId="3" fontId="8" fillId="0" borderId="0" xfId="0" applyNumberFormat="1" applyFont="1"/>
    <xf numFmtId="165" fontId="8" fillId="0" borderId="0" xfId="1" applyNumberFormat="1" applyFont="1"/>
    <xf numFmtId="0" fontId="3" fillId="0" borderId="0" xfId="1" applyNumberFormat="1" applyFont="1"/>
    <xf numFmtId="0" fontId="1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164" fontId="19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164" fontId="8" fillId="0" borderId="0" xfId="1" applyNumberFormat="1" applyFont="1" applyFill="1"/>
    <xf numFmtId="164" fontId="11" fillId="0" borderId="1" xfId="1" applyNumberFormat="1" applyFont="1" applyFill="1" applyBorder="1" applyAlignment="1"/>
    <xf numFmtId="165" fontId="8" fillId="0" borderId="0" xfId="1" applyNumberFormat="1" applyFont="1" applyFill="1"/>
    <xf numFmtId="0" fontId="8" fillId="0" borderId="0" xfId="1" applyNumberFormat="1" applyFont="1" applyFill="1"/>
    <xf numFmtId="164" fontId="3" fillId="0" borderId="0" xfId="1" applyNumberFormat="1" applyFont="1" applyFill="1"/>
    <xf numFmtId="0" fontId="4" fillId="0" borderId="0" xfId="0" applyFont="1" applyAlignment="1">
      <alignment wrapText="1"/>
    </xf>
    <xf numFmtId="0" fontId="17" fillId="0" borderId="1" xfId="0" applyFont="1" applyBorder="1" applyAlignment="1">
      <alignment wrapText="1"/>
    </xf>
    <xf numFmtId="164" fontId="17" fillId="0" borderId="1" xfId="0" applyNumberFormat="1" applyFont="1" applyBorder="1" applyAlignment="1">
      <alignment wrapText="1"/>
    </xf>
    <xf numFmtId="164" fontId="8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43" fontId="8" fillId="0" borderId="0" xfId="1" applyFont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4" fontId="17" fillId="0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4" fontId="8" fillId="0" borderId="0" xfId="1" applyNumberFormat="1" applyFont="1" applyAlignment="1">
      <alignment wrapText="1"/>
    </xf>
    <xf numFmtId="164" fontId="19" fillId="0" borderId="1" xfId="1" applyNumberFormat="1" applyFont="1" applyBorder="1" applyAlignment="1">
      <alignment wrapText="1"/>
    </xf>
    <xf numFmtId="0" fontId="19" fillId="0" borderId="1" xfId="13" applyFont="1" applyBorder="1" applyAlignment="1">
      <alignment wrapText="1"/>
    </xf>
    <xf numFmtId="165" fontId="8" fillId="0" borderId="0" xfId="2" applyNumberFormat="1" applyFont="1" applyAlignment="1">
      <alignment wrapText="1"/>
    </xf>
    <xf numFmtId="164" fontId="0" fillId="0" borderId="0" xfId="1" applyNumberFormat="1" applyFont="1"/>
    <xf numFmtId="164" fontId="3" fillId="0" borderId="1" xfId="1" applyNumberFormat="1" applyFont="1" applyBorder="1" applyAlignment="1"/>
    <xf numFmtId="0" fontId="4" fillId="0" borderId="1" xfId="0" applyFont="1" applyBorder="1"/>
    <xf numFmtId="164" fontId="3" fillId="0" borderId="1" xfId="1" applyNumberFormat="1" applyFont="1" applyBorder="1"/>
    <xf numFmtId="164" fontId="4" fillId="0" borderId="1" xfId="1" applyNumberFormat="1" applyFont="1" applyBorder="1"/>
    <xf numFmtId="164" fontId="3" fillId="0" borderId="1" xfId="1" applyNumberFormat="1" applyFont="1" applyFill="1" applyBorder="1"/>
    <xf numFmtId="164" fontId="4" fillId="0" borderId="1" xfId="1" applyNumberFormat="1" applyFont="1" applyBorder="1" applyAlignment="1"/>
    <xf numFmtId="164" fontId="11" fillId="0" borderId="1" xfId="1" applyNumberFormat="1" applyFont="1" applyBorder="1" applyAlignment="1"/>
    <xf numFmtId="164" fontId="17" fillId="0" borderId="1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4" fillId="0" borderId="1" xfId="0" applyFont="1" applyBorder="1" applyAlignment="1"/>
    <xf numFmtId="164" fontId="0" fillId="0" borderId="1" xfId="1" applyNumberFormat="1" applyFont="1" applyBorder="1" applyAlignment="1"/>
    <xf numFmtId="10" fontId="8" fillId="0" borderId="0" xfId="2" applyNumberFormat="1" applyFont="1" applyAlignment="1">
      <alignment wrapText="1"/>
    </xf>
    <xf numFmtId="164" fontId="4" fillId="0" borderId="0" xfId="1" applyNumberFormat="1" applyFont="1" applyBorder="1"/>
    <xf numFmtId="0" fontId="0" fillId="0" borderId="0" xfId="0" applyBorder="1" applyAlignment="1">
      <alignment wrapText="1"/>
    </xf>
    <xf numFmtId="164" fontId="0" fillId="0" borderId="1" xfId="1" applyNumberFormat="1" applyFont="1" applyFill="1" applyBorder="1"/>
    <xf numFmtId="164" fontId="3" fillId="0" borderId="1" xfId="1" applyNumberFormat="1" applyFont="1" applyFill="1" applyBorder="1" applyAlignment="1"/>
    <xf numFmtId="164" fontId="4" fillId="0" borderId="0" xfId="1" applyNumberFormat="1" applyFont="1" applyFill="1" applyAlignment="1"/>
    <xf numFmtId="164" fontId="4" fillId="0" borderId="1" xfId="0" applyNumberFormat="1" applyFont="1" applyFill="1" applyBorder="1"/>
    <xf numFmtId="0" fontId="4" fillId="0" borderId="1" xfId="14" applyFont="1" applyFill="1" applyBorder="1" applyAlignment="1"/>
    <xf numFmtId="0" fontId="0" fillId="0" borderId="0" xfId="0" applyFill="1" applyAlignment="1"/>
    <xf numFmtId="0" fontId="4" fillId="0" borderId="1" xfId="0" applyFont="1" applyFill="1" applyBorder="1"/>
    <xf numFmtId="164" fontId="0" fillId="0" borderId="1" xfId="1" applyNumberFormat="1" applyFont="1" applyFill="1" applyBorder="1" applyAlignment="1"/>
    <xf numFmtId="164" fontId="0" fillId="0" borderId="0" xfId="1" applyNumberFormat="1" applyFont="1" applyFill="1" applyAlignment="1"/>
    <xf numFmtId="0" fontId="25" fillId="0" borderId="1" xfId="0" applyFont="1" applyBorder="1" applyAlignment="1">
      <alignment wrapText="1"/>
    </xf>
    <xf numFmtId="164" fontId="0" fillId="0" borderId="0" xfId="0" applyNumberFormat="1" applyAlignment="1"/>
    <xf numFmtId="0" fontId="3" fillId="0" borderId="0" xfId="0" applyFont="1" applyAlignment="1">
      <alignment wrapText="1"/>
    </xf>
    <xf numFmtId="43" fontId="3" fillId="0" borderId="0" xfId="1" applyFont="1" applyAlignment="1">
      <alignment wrapText="1"/>
    </xf>
    <xf numFmtId="164" fontId="4" fillId="0" borderId="1" xfId="0" applyNumberFormat="1" applyFont="1" applyBorder="1" applyAlignment="1">
      <alignment wrapText="1"/>
    </xf>
    <xf numFmtId="164" fontId="17" fillId="0" borderId="2" xfId="1" applyNumberFormat="1" applyFont="1" applyFill="1" applyBorder="1" applyAlignment="1">
      <alignment horizontal="center"/>
    </xf>
    <xf numFmtId="0" fontId="19" fillId="0" borderId="2" xfId="0" applyFont="1" applyBorder="1" applyAlignment="1">
      <alignment wrapText="1"/>
    </xf>
    <xf numFmtId="0" fontId="19" fillId="0" borderId="2" xfId="13" applyFont="1" applyBorder="1" applyAlignment="1">
      <alignment wrapText="1"/>
    </xf>
    <xf numFmtId="164" fontId="19" fillId="0" borderId="2" xfId="1" applyNumberFormat="1" applyFont="1" applyBorder="1" applyAlignment="1">
      <alignment wrapText="1"/>
    </xf>
    <xf numFmtId="0" fontId="4" fillId="0" borderId="2" xfId="14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14" applyFont="1" applyBorder="1" applyAlignment="1"/>
    <xf numFmtId="0" fontId="3" fillId="0" borderId="2" xfId="0" applyFont="1" applyBorder="1"/>
    <xf numFmtId="0" fontId="4" fillId="0" borderId="1" xfId="0" applyFont="1" applyBorder="1" applyAlignment="1">
      <alignment wrapText="1"/>
    </xf>
    <xf numFmtId="0" fontId="3" fillId="0" borderId="1" xfId="17" applyFont="1" applyFill="1" applyBorder="1" applyAlignment="1">
      <alignment wrapText="1"/>
    </xf>
    <xf numFmtId="0" fontId="3" fillId="0" borderId="1" xfId="17" applyFont="1" applyBorder="1" applyAlignment="1">
      <alignment wrapText="1"/>
    </xf>
    <xf numFmtId="0" fontId="3" fillId="0" borderId="1" xfId="0" applyFont="1" applyBorder="1"/>
    <xf numFmtId="0" fontId="3" fillId="0" borderId="1" xfId="15" applyFont="1" applyBorder="1" applyAlignment="1">
      <alignment wrapText="1"/>
    </xf>
    <xf numFmtId="0" fontId="3" fillId="0" borderId="1" xfId="16" applyFont="1" applyBorder="1" applyAlignment="1">
      <alignment wrapText="1"/>
    </xf>
    <xf numFmtId="0" fontId="0" fillId="0" borderId="1" xfId="0" applyBorder="1" applyAlignment="1">
      <alignment wrapText="1"/>
    </xf>
    <xf numFmtId="164" fontId="4" fillId="0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/>
    <xf numFmtId="0" fontId="8" fillId="0" borderId="1" xfId="0" applyFont="1" applyBorder="1"/>
    <xf numFmtId="164" fontId="4" fillId="0" borderId="2" xfId="0" applyNumberFormat="1" applyFont="1" applyBorder="1" applyAlignment="1">
      <alignment wrapText="1"/>
    </xf>
    <xf numFmtId="164" fontId="4" fillId="0" borderId="2" xfId="0" applyNumberFormat="1" applyFont="1" applyFill="1" applyBorder="1" applyAlignment="1">
      <alignment wrapText="1"/>
    </xf>
    <xf numFmtId="0" fontId="17" fillId="0" borderId="2" xfId="0" applyFont="1" applyBorder="1" applyAlignment="1">
      <alignment wrapText="1"/>
    </xf>
    <xf numFmtId="0" fontId="19" fillId="0" borderId="0" xfId="6" applyFont="1" applyFill="1" applyBorder="1" applyAlignment="1">
      <alignment horizontal="left" wrapText="1"/>
    </xf>
    <xf numFmtId="10" fontId="4" fillId="0" borderId="1" xfId="2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</cellXfs>
  <cellStyles count="18">
    <cellStyle name="Comma" xfId="1" builtinId="3"/>
    <cellStyle name="Comma 2" xfId="8"/>
    <cellStyle name="Comma 3" xfId="12"/>
    <cellStyle name="Currency 2" xfId="9"/>
    <cellStyle name="Normal" xfId="0" builtinId="0"/>
    <cellStyle name="Normal 10" xfId="17"/>
    <cellStyle name="Normal 2" xfId="3"/>
    <cellStyle name="Normal 2 2" xfId="7"/>
    <cellStyle name="Normal 2_Sheet1" xfId="10"/>
    <cellStyle name="Normal 3" xfId="4"/>
    <cellStyle name="Normal 4" xfId="6"/>
    <cellStyle name="Normal 5" xfId="11"/>
    <cellStyle name="Normal 6" xfId="13"/>
    <cellStyle name="Normal 7" xfId="14"/>
    <cellStyle name="Normal 8" xfId="15"/>
    <cellStyle name="Normal 9" xfId="16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IM83"/>
  <sheetViews>
    <sheetView tabSelected="1" zoomScaleNormal="100" workbookViewId="0">
      <pane xSplit="3" ySplit="7" topLeftCell="GS8" activePane="bottomRight" state="frozenSplit"/>
      <selection pane="topRight" activeCell="C1" sqref="C1"/>
      <selection pane="bottomLeft" activeCell="A8" sqref="A8"/>
      <selection pane="bottomRight" activeCell="IF28" sqref="IF28"/>
    </sheetView>
  </sheetViews>
  <sheetFormatPr defaultColWidth="9.140625" defaultRowHeight="14.25" x14ac:dyDescent="0.2"/>
  <cols>
    <col min="1" max="1" width="10.7109375" style="5" customWidth="1"/>
    <col min="2" max="2" width="0.42578125" style="5" customWidth="1"/>
    <col min="3" max="3" width="36" style="69" customWidth="1"/>
    <col min="4" max="4" width="22.140625" style="6" hidden="1" customWidth="1"/>
    <col min="5" max="5" width="15.85546875" style="1" hidden="1" customWidth="1"/>
    <col min="6" max="7" width="16.7109375" style="1" hidden="1" customWidth="1"/>
    <col min="8" max="8" width="13" style="1" hidden="1" customWidth="1"/>
    <col min="9" max="9" width="15.85546875" style="1" hidden="1" customWidth="1"/>
    <col min="10" max="10" width="14.28515625" style="4" hidden="1" customWidth="1"/>
    <col min="11" max="11" width="14.28515625" style="1" hidden="1" customWidth="1"/>
    <col min="12" max="12" width="14.42578125" style="1" hidden="1" customWidth="1"/>
    <col min="13" max="13" width="15" style="1" hidden="1" customWidth="1"/>
    <col min="14" max="17" width="16.140625" style="1" hidden="1" customWidth="1"/>
    <col min="18" max="18" width="17.7109375" style="1" hidden="1" customWidth="1"/>
    <col min="19" max="21" width="16.140625" style="1" hidden="1" customWidth="1"/>
    <col min="22" max="22" width="18.42578125" style="1" hidden="1" customWidth="1"/>
    <col min="23" max="23" width="15" style="1" hidden="1" customWidth="1"/>
    <col min="24" max="24" width="11.140625" style="1" hidden="1" customWidth="1"/>
    <col min="25" max="26" width="15" style="1" hidden="1" customWidth="1"/>
    <col min="27" max="27" width="17.7109375" style="2" hidden="1" customWidth="1"/>
    <col min="28" max="29" width="15" style="1" hidden="1" customWidth="1"/>
    <col min="30" max="30" width="15" style="7" hidden="1" customWidth="1"/>
    <col min="31" max="31" width="12.85546875" style="1" hidden="1" customWidth="1"/>
    <col min="32" max="32" width="17" style="1" hidden="1" customWidth="1"/>
    <col min="33" max="34" width="15.42578125" style="1" hidden="1" customWidth="1"/>
    <col min="35" max="35" width="18.140625" style="1" hidden="1" customWidth="1"/>
    <col min="36" max="36" width="22.28515625" style="1" hidden="1" customWidth="1"/>
    <col min="37" max="38" width="19" style="1" hidden="1" customWidth="1"/>
    <col min="39" max="39" width="23.140625" style="7" hidden="1" customWidth="1"/>
    <col min="40" max="41" width="20.7109375" style="7" hidden="1" customWidth="1"/>
    <col min="42" max="42" width="15" style="1" hidden="1" customWidth="1"/>
    <col min="43" max="43" width="24.7109375" style="1" hidden="1" customWidth="1"/>
    <col min="44" max="44" width="21.42578125" style="1" hidden="1" customWidth="1"/>
    <col min="45" max="45" width="19.85546875" style="1" hidden="1" customWidth="1"/>
    <col min="46" max="46" width="11.140625" style="1" hidden="1" customWidth="1"/>
    <col min="47" max="47" width="15" style="1" hidden="1" customWidth="1"/>
    <col min="48" max="48" width="15" style="7" hidden="1" customWidth="1"/>
    <col min="49" max="49" width="17.7109375" style="1" hidden="1" customWidth="1"/>
    <col min="50" max="50" width="15" style="1" hidden="1" customWidth="1"/>
    <col min="51" max="51" width="15.85546875" style="7" hidden="1" customWidth="1"/>
    <col min="52" max="52" width="17.28515625" style="7" hidden="1" customWidth="1"/>
    <col min="53" max="53" width="15" style="1" hidden="1" customWidth="1"/>
    <col min="54" max="54" width="16.28515625" style="1" hidden="1" customWidth="1"/>
    <col min="55" max="55" width="17.28515625" style="1" hidden="1" customWidth="1"/>
    <col min="56" max="56" width="20.28515625" style="1" hidden="1" customWidth="1"/>
    <col min="57" max="57" width="15" style="1" hidden="1" customWidth="1"/>
    <col min="58" max="58" width="16.28515625" style="1" hidden="1" customWidth="1"/>
    <col min="59" max="59" width="15" style="1" hidden="1" customWidth="1"/>
    <col min="60" max="60" width="18.28515625" style="1" hidden="1" customWidth="1"/>
    <col min="61" max="61" width="17.85546875" style="1" hidden="1" customWidth="1"/>
    <col min="62" max="62" width="17.28515625" style="1" hidden="1" customWidth="1"/>
    <col min="63" max="63" width="18.28515625" style="1" hidden="1" customWidth="1"/>
    <col min="64" max="64" width="12.140625" style="1" hidden="1" customWidth="1"/>
    <col min="65" max="65" width="17.42578125" style="1" hidden="1" customWidth="1"/>
    <col min="66" max="66" width="15" style="2" hidden="1" customWidth="1"/>
    <col min="67" max="67" width="19" style="2" hidden="1" customWidth="1"/>
    <col min="68" max="68" width="15" style="2" hidden="1" customWidth="1"/>
    <col min="69" max="69" width="15.85546875" style="1" hidden="1" customWidth="1"/>
    <col min="70" max="70" width="17.28515625" style="1" hidden="1" customWidth="1"/>
    <col min="71" max="71" width="15" style="2" hidden="1" customWidth="1"/>
    <col min="72" max="72" width="16.28515625" style="1" hidden="1" customWidth="1"/>
    <col min="73" max="73" width="17.28515625" style="1" hidden="1" customWidth="1"/>
    <col min="74" max="74" width="16.28515625" style="1" hidden="1" customWidth="1"/>
    <col min="75" max="75" width="15" style="2" hidden="1" customWidth="1"/>
    <col min="76" max="76" width="16.28515625" style="1" hidden="1" customWidth="1"/>
    <col min="77" max="77" width="17.28515625" style="1" hidden="1" customWidth="1"/>
    <col min="78" max="78" width="16.28515625" style="1" hidden="1" customWidth="1"/>
    <col min="79" max="79" width="15" style="2" hidden="1" customWidth="1"/>
    <col min="80" max="80" width="16.28515625" style="1" hidden="1" customWidth="1"/>
    <col min="81" max="81" width="17.28515625" style="1" hidden="1" customWidth="1"/>
    <col min="82" max="82" width="16.28515625" style="1" hidden="1" customWidth="1"/>
    <col min="83" max="83" width="17" style="1" hidden="1" customWidth="1"/>
    <col min="84" max="84" width="15" style="2" hidden="1" customWidth="1"/>
    <col min="85" max="88" width="17.7109375" style="1" hidden="1" customWidth="1"/>
    <col min="89" max="89" width="16.7109375" style="2" hidden="1" customWidth="1"/>
    <col min="90" max="91" width="14" style="1" hidden="1" customWidth="1"/>
    <col min="92" max="92" width="21.28515625" style="1" hidden="1" customWidth="1"/>
    <col min="93" max="93" width="15" style="2" hidden="1" customWidth="1"/>
    <col min="94" max="94" width="19" style="2" hidden="1" customWidth="1"/>
    <col min="95" max="95" width="19" style="1" hidden="1" customWidth="1"/>
    <col min="96" max="96" width="15" style="2" hidden="1" customWidth="1"/>
    <col min="97" max="97" width="17.28515625" style="2" hidden="1" customWidth="1"/>
    <col min="98" max="98" width="15" style="2" hidden="1" customWidth="1"/>
    <col min="99" max="99" width="20.42578125" style="1" hidden="1" customWidth="1"/>
    <col min="100" max="100" width="21.42578125" style="2" hidden="1" customWidth="1"/>
    <col min="101" max="101" width="20.42578125" style="2" hidden="1" customWidth="1"/>
    <col min="102" max="102" width="15" style="2" hidden="1" customWidth="1"/>
    <col min="103" max="103" width="20.42578125" style="1" hidden="1" customWidth="1"/>
    <col min="104" max="104" width="21.42578125" style="2" hidden="1" customWidth="1"/>
    <col min="105" max="105" width="21.85546875" style="2" hidden="1" customWidth="1"/>
    <col min="106" max="106" width="15" style="2" hidden="1" customWidth="1"/>
    <col min="107" max="107" width="18.7109375" style="1" hidden="1" customWidth="1"/>
    <col min="108" max="108" width="19.7109375" style="2" hidden="1" customWidth="1"/>
    <col min="109" max="109" width="20.28515625" style="2" hidden="1" customWidth="1"/>
    <col min="110" max="110" width="18.42578125" style="2" hidden="1" customWidth="1"/>
    <col min="111" max="111" width="15" style="2" hidden="1" customWidth="1"/>
    <col min="112" max="112" width="19.85546875" style="1" hidden="1" customWidth="1"/>
    <col min="113" max="113" width="20.7109375" style="2" hidden="1" customWidth="1"/>
    <col min="114" max="114" width="21.140625" style="2" hidden="1" customWidth="1"/>
    <col min="115" max="115" width="21.42578125" style="2" hidden="1" customWidth="1"/>
    <col min="116" max="116" width="12.140625" style="2" hidden="1" customWidth="1"/>
    <col min="117" max="118" width="15" style="2" hidden="1" customWidth="1"/>
    <col min="119" max="119" width="15.140625" style="2" hidden="1" customWidth="1"/>
    <col min="120" max="120" width="14" style="2" hidden="1" customWidth="1"/>
    <col min="121" max="122" width="15.140625" style="2" hidden="1" customWidth="1"/>
    <col min="123" max="123" width="17.7109375" style="2" hidden="1" customWidth="1"/>
    <col min="124" max="124" width="12.85546875" style="2" hidden="1" customWidth="1"/>
    <col min="125" max="125" width="15" style="2" hidden="1" customWidth="1"/>
    <col min="126" max="126" width="17.7109375" style="2" hidden="1" customWidth="1"/>
    <col min="127" max="127" width="16.140625" style="2" hidden="1" customWidth="1"/>
    <col min="128" max="128" width="15" style="2" hidden="1" customWidth="1"/>
    <col min="129" max="132" width="18.42578125" style="1" hidden="1" customWidth="1"/>
    <col min="133" max="133" width="34.28515625" style="59" hidden="1" customWidth="1"/>
    <col min="134" max="134" width="15" style="2" hidden="1" customWidth="1"/>
    <col min="135" max="135" width="18.42578125" style="2" hidden="1" customWidth="1"/>
    <col min="136" max="137" width="15.85546875" style="2" hidden="1" customWidth="1"/>
    <col min="138" max="138" width="15" style="2" hidden="1" customWidth="1"/>
    <col min="139" max="139" width="18.42578125" style="2" hidden="1" customWidth="1"/>
    <col min="140" max="141" width="15.85546875" style="2" hidden="1" customWidth="1"/>
    <col min="142" max="142" width="15" style="2" hidden="1" customWidth="1"/>
    <col min="143" max="143" width="17.85546875" style="2" hidden="1" customWidth="1"/>
    <col min="144" max="144" width="15.85546875" style="2" hidden="1" customWidth="1"/>
    <col min="145" max="146" width="16.7109375" style="2" hidden="1" customWidth="1"/>
    <col min="147" max="147" width="15" style="2" hidden="1" customWidth="1"/>
    <col min="148" max="148" width="17.85546875" style="2" hidden="1" customWidth="1"/>
    <col min="149" max="149" width="17.42578125" style="2" hidden="1" customWidth="1"/>
    <col min="150" max="150" width="17.28515625" style="2" hidden="1" customWidth="1"/>
    <col min="151" max="151" width="17.7109375" style="2" hidden="1" customWidth="1"/>
    <col min="152" max="152" width="15" style="2" hidden="1" customWidth="1"/>
    <col min="153" max="153" width="20.140625" style="2" hidden="1" customWidth="1"/>
    <col min="154" max="154" width="21.28515625" style="2" hidden="1" customWidth="1"/>
    <col min="155" max="155" width="16.42578125" style="2" hidden="1" customWidth="1"/>
    <col min="156" max="156" width="15.7109375" style="2" hidden="1" customWidth="1"/>
    <col min="157" max="157" width="17.85546875" style="2" hidden="1" customWidth="1"/>
    <col min="158" max="158" width="11.140625" style="2" hidden="1" customWidth="1"/>
    <col min="159" max="159" width="16.42578125" style="2" hidden="1" customWidth="1"/>
    <col min="160" max="160" width="15.7109375" style="2" hidden="1" customWidth="1"/>
    <col min="161" max="161" width="11.7109375" style="2" hidden="1" customWidth="1"/>
    <col min="162" max="163" width="16.140625" style="2" hidden="1" customWidth="1"/>
    <col min="164" max="164" width="17.85546875" style="2" hidden="1" customWidth="1"/>
    <col min="165" max="165" width="53.85546875" style="2" hidden="1" customWidth="1"/>
    <col min="166" max="166" width="15" style="2" hidden="1" customWidth="1"/>
    <col min="167" max="167" width="17.85546875" style="2" hidden="1" customWidth="1"/>
    <col min="168" max="168" width="15.7109375" style="2" hidden="1" customWidth="1"/>
    <col min="169" max="169" width="14" style="2" hidden="1" customWidth="1"/>
    <col min="170" max="170" width="15.85546875" style="2" hidden="1" customWidth="1"/>
    <col min="171" max="172" width="15" style="2" hidden="1" customWidth="1"/>
    <col min="173" max="173" width="46.85546875" style="2" hidden="1" customWidth="1"/>
    <col min="174" max="174" width="15" style="2" hidden="1" customWidth="1"/>
    <col min="175" max="175" width="15.85546875" style="2" hidden="1" customWidth="1"/>
    <col min="176" max="177" width="16.85546875" style="2" hidden="1" customWidth="1"/>
    <col min="178" max="178" width="43.85546875" style="103" hidden="1" customWidth="1"/>
    <col min="179" max="179" width="14" style="2" hidden="1" customWidth="1"/>
    <col min="180" max="180" width="15.85546875" style="2" hidden="1" customWidth="1"/>
    <col min="181" max="183" width="16.85546875" style="2" hidden="1" customWidth="1"/>
    <col min="184" max="184" width="25" style="59" hidden="1" customWidth="1"/>
    <col min="185" max="185" width="14" style="2" hidden="1" customWidth="1"/>
    <col min="186" max="186" width="11.85546875" style="2" hidden="1" customWidth="1"/>
    <col min="187" max="187" width="14" style="2" hidden="1" customWidth="1"/>
    <col min="188" max="188" width="11.28515625" style="116" hidden="1" customWidth="1"/>
    <col min="189" max="189" width="14" style="2" hidden="1" customWidth="1"/>
    <col min="190" max="190" width="16.7109375" style="2" hidden="1" customWidth="1"/>
    <col min="191" max="191" width="14.42578125" style="2" hidden="1" customWidth="1"/>
    <col min="192" max="192" width="14.7109375" style="2" hidden="1" customWidth="1"/>
    <col min="193" max="193" width="16.140625" style="2" hidden="1" customWidth="1"/>
    <col min="194" max="194" width="16.42578125" style="2" hidden="1" customWidth="1"/>
    <col min="195" max="195" width="30.5703125" style="59" hidden="1" customWidth="1"/>
    <col min="196" max="196" width="10.28515625" style="59" hidden="1" customWidth="1"/>
    <col min="197" max="198" width="14.28515625" style="59" hidden="1" customWidth="1"/>
    <col min="199" max="199" width="18.7109375" style="59" hidden="1" customWidth="1"/>
    <col min="200" max="200" width="11.85546875" style="59" hidden="1" customWidth="1"/>
    <col min="201" max="201" width="14" style="59" bestFit="1" customWidth="1"/>
    <col min="202" max="202" width="14" style="121" customWidth="1"/>
    <col min="203" max="203" width="15.5703125" style="59" hidden="1" customWidth="1"/>
    <col min="204" max="204" width="30.5703125" style="59" hidden="1" customWidth="1"/>
    <col min="205" max="205" width="14" style="131" hidden="1" customWidth="1"/>
    <col min="206" max="206" width="16.7109375" style="59" hidden="1" customWidth="1"/>
    <col min="207" max="207" width="14.28515625" style="59" hidden="1" customWidth="1"/>
    <col min="208" max="208" width="20.28515625" style="59" hidden="1" customWidth="1"/>
    <col min="209" max="209" width="14" style="131" hidden="1" customWidth="1"/>
    <col min="210" max="210" width="16.7109375" style="59" hidden="1" customWidth="1"/>
    <col min="211" max="212" width="14.28515625" style="59" hidden="1" customWidth="1"/>
    <col min="213" max="213" width="22" style="59" hidden="1" customWidth="1"/>
    <col min="214" max="214" width="14" style="131" hidden="1" customWidth="1"/>
    <col min="215" max="215" width="16.7109375" style="59" hidden="1" customWidth="1"/>
    <col min="216" max="217" width="14.28515625" style="59" hidden="1" customWidth="1"/>
    <col min="218" max="218" width="22" style="59" hidden="1" customWidth="1"/>
    <col min="219" max="219" width="14" style="131" hidden="1" customWidth="1"/>
    <col min="220" max="220" width="16.7109375" style="59" hidden="1" customWidth="1"/>
    <col min="221" max="223" width="14.28515625" style="59" hidden="1" customWidth="1"/>
    <col min="224" max="224" width="22" style="59" hidden="1" customWidth="1"/>
    <col min="225" max="225" width="14" style="131" hidden="1" customWidth="1"/>
    <col min="226" max="226" width="21.28515625" style="59" hidden="1" customWidth="1"/>
    <col min="227" max="229" width="19.5703125" style="59" hidden="1" customWidth="1"/>
    <col min="230" max="230" width="22" style="59" hidden="1" customWidth="1"/>
    <col min="231" max="231" width="15.5703125" style="131" hidden="1" customWidth="1"/>
    <col min="232" max="232" width="21.28515625" style="59" hidden="1" customWidth="1"/>
    <col min="233" max="233" width="17.7109375" style="59" hidden="1" customWidth="1"/>
    <col min="234" max="234" width="19.5703125" style="59" hidden="1" customWidth="1"/>
    <col min="235" max="235" width="22" style="59" hidden="1" customWidth="1"/>
    <col min="236" max="236" width="14" style="131" customWidth="1"/>
    <col min="237" max="237" width="22" style="162" hidden="1" customWidth="1"/>
    <col min="238" max="238" width="14" style="162" bestFit="1" customWidth="1"/>
    <col min="239" max="239" width="17.42578125" style="162" hidden="1" customWidth="1"/>
    <col min="240" max="240" width="14" style="121" customWidth="1"/>
    <col min="241" max="241" width="19" style="1" customWidth="1"/>
    <col min="242" max="242" width="25.140625" style="162" customWidth="1"/>
    <col min="243" max="243" width="10.140625" style="108" bestFit="1" customWidth="1"/>
    <col min="244" max="244" width="10.28515625" style="1" bestFit="1" customWidth="1"/>
    <col min="245" max="245" width="11.28515625" style="1" bestFit="1" customWidth="1"/>
    <col min="246" max="16384" width="9.140625" style="1"/>
  </cols>
  <sheetData>
    <row r="1" spans="1:247" ht="17.25" customHeight="1" x14ac:dyDescent="0.25">
      <c r="A1" s="190" t="s">
        <v>51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  <c r="CK1" s="190"/>
      <c r="CL1" s="190"/>
      <c r="CM1" s="190"/>
      <c r="CN1" s="190"/>
      <c r="CO1" s="190"/>
      <c r="CP1" s="190"/>
      <c r="CQ1" s="190"/>
      <c r="CR1" s="190"/>
      <c r="CS1" s="190"/>
      <c r="CT1" s="190"/>
      <c r="CU1" s="190"/>
      <c r="CV1" s="190"/>
      <c r="CW1" s="190"/>
      <c r="CX1" s="190"/>
      <c r="CY1" s="190"/>
      <c r="CZ1" s="190"/>
      <c r="DA1" s="190"/>
      <c r="DB1" s="190"/>
      <c r="DC1" s="190"/>
      <c r="DD1" s="190"/>
      <c r="DE1" s="190"/>
      <c r="DF1" s="190"/>
      <c r="DG1" s="190"/>
      <c r="DH1" s="190"/>
      <c r="DI1" s="190"/>
      <c r="DJ1" s="190"/>
      <c r="DK1" s="190"/>
      <c r="DL1" s="190"/>
      <c r="DM1" s="190"/>
      <c r="DN1" s="190"/>
      <c r="DO1" s="190"/>
      <c r="DP1" s="190"/>
      <c r="DQ1" s="190"/>
      <c r="DR1" s="190"/>
      <c r="DS1" s="190"/>
      <c r="DT1" s="190"/>
      <c r="DU1" s="190"/>
      <c r="DV1" s="190"/>
      <c r="DW1" s="190"/>
      <c r="DX1" s="190"/>
      <c r="DY1" s="190"/>
      <c r="DZ1" s="190"/>
      <c r="EA1" s="190"/>
      <c r="EB1" s="190"/>
      <c r="EC1" s="190"/>
      <c r="ED1" s="190"/>
      <c r="EE1" s="190"/>
      <c r="EF1" s="190"/>
      <c r="EG1" s="190"/>
      <c r="EH1" s="190"/>
      <c r="EI1" s="190"/>
      <c r="EJ1" s="190"/>
      <c r="EK1" s="190"/>
      <c r="EL1" s="190"/>
      <c r="EM1" s="190"/>
      <c r="EN1" s="190"/>
      <c r="EO1" s="190"/>
      <c r="EP1" s="190"/>
      <c r="EQ1" s="190"/>
      <c r="ER1" s="190"/>
      <c r="ES1" s="190"/>
      <c r="ET1" s="190"/>
      <c r="EU1" s="190"/>
      <c r="EV1" s="190"/>
      <c r="EW1" s="190"/>
      <c r="EX1" s="190"/>
      <c r="EY1" s="190"/>
      <c r="EZ1" s="190"/>
      <c r="FA1" s="190"/>
      <c r="FB1" s="190"/>
      <c r="FC1" s="190"/>
      <c r="FD1" s="190"/>
      <c r="FE1" s="190"/>
      <c r="FF1" s="190"/>
      <c r="FG1" s="190"/>
      <c r="FH1" s="190"/>
      <c r="FI1" s="190"/>
      <c r="FJ1" s="190"/>
      <c r="FK1" s="190"/>
      <c r="FL1" s="190"/>
      <c r="FM1" s="190"/>
      <c r="FN1" s="190"/>
      <c r="FO1" s="190"/>
      <c r="FP1" s="190"/>
      <c r="FQ1" s="190"/>
      <c r="FR1" s="190"/>
      <c r="FS1" s="190"/>
      <c r="FT1" s="190"/>
      <c r="FU1" s="190"/>
      <c r="FV1" s="190"/>
      <c r="FW1" s="190"/>
      <c r="FX1" s="190"/>
      <c r="FY1" s="190"/>
      <c r="FZ1" s="190"/>
      <c r="GA1" s="190"/>
      <c r="GB1" s="190"/>
      <c r="GC1" s="190"/>
      <c r="GD1" s="190"/>
      <c r="GE1" s="190"/>
      <c r="GF1" s="190"/>
      <c r="GG1" s="190"/>
      <c r="GH1" s="190"/>
      <c r="GI1" s="190"/>
      <c r="GJ1" s="190"/>
      <c r="GK1" s="190"/>
      <c r="GL1" s="190"/>
      <c r="GM1" s="190"/>
      <c r="GN1" s="190"/>
      <c r="GO1" s="190"/>
      <c r="GP1" s="190"/>
      <c r="GQ1" s="190"/>
      <c r="GR1" s="190"/>
      <c r="GS1" s="190"/>
      <c r="GT1" s="190"/>
      <c r="GU1" s="190"/>
      <c r="GV1" s="190"/>
      <c r="GW1" s="190"/>
      <c r="GX1" s="190"/>
      <c r="GY1" s="190"/>
      <c r="GZ1" s="190"/>
      <c r="HA1" s="190"/>
      <c r="HB1" s="190"/>
      <c r="HC1" s="190"/>
      <c r="HD1" s="190"/>
      <c r="HE1" s="190"/>
      <c r="HF1" s="190"/>
      <c r="HG1" s="190"/>
      <c r="HH1" s="190"/>
      <c r="HI1" s="190"/>
      <c r="HJ1" s="190"/>
      <c r="HK1" s="190"/>
      <c r="HL1" s="190"/>
      <c r="HM1" s="190"/>
      <c r="HN1" s="190"/>
      <c r="HO1" s="190"/>
      <c r="HP1" s="190"/>
      <c r="HQ1" s="190"/>
      <c r="HR1" s="190"/>
      <c r="HS1" s="190"/>
      <c r="HT1" s="190"/>
      <c r="HU1" s="190"/>
      <c r="HV1" s="190"/>
      <c r="HW1" s="190"/>
      <c r="HX1" s="190"/>
      <c r="HY1" s="190"/>
      <c r="HZ1" s="190"/>
      <c r="IA1" s="190"/>
      <c r="IB1" s="190"/>
      <c r="IC1" s="190"/>
      <c r="ID1" s="190"/>
      <c r="IE1" s="190"/>
      <c r="IF1" s="190"/>
      <c r="IG1" s="190"/>
      <c r="IH1" s="190"/>
    </row>
    <row r="2" spans="1:247" ht="18" customHeight="1" x14ac:dyDescent="0.25">
      <c r="A2" s="190" t="s">
        <v>533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  <c r="BX2" s="190"/>
      <c r="BY2" s="190"/>
      <c r="BZ2" s="190"/>
      <c r="CA2" s="190"/>
      <c r="CB2" s="190"/>
      <c r="CC2" s="190"/>
      <c r="CD2" s="190"/>
      <c r="CE2" s="190"/>
      <c r="CF2" s="190"/>
      <c r="CG2" s="190"/>
      <c r="CH2" s="190"/>
      <c r="CI2" s="190"/>
      <c r="CJ2" s="190"/>
      <c r="CK2" s="190"/>
      <c r="CL2" s="190"/>
      <c r="CM2" s="190"/>
      <c r="CN2" s="190"/>
      <c r="CO2" s="190"/>
      <c r="CP2" s="190"/>
      <c r="CQ2" s="190"/>
      <c r="CR2" s="190"/>
      <c r="CS2" s="190"/>
      <c r="CT2" s="190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0"/>
      <c r="DJ2" s="190"/>
      <c r="DK2" s="190"/>
      <c r="DL2" s="190"/>
      <c r="DM2" s="190"/>
      <c r="DN2" s="190"/>
      <c r="DO2" s="190"/>
      <c r="DP2" s="190"/>
      <c r="DQ2" s="190"/>
      <c r="DR2" s="190"/>
      <c r="DS2" s="190"/>
      <c r="DT2" s="190"/>
      <c r="DU2" s="190"/>
      <c r="DV2" s="190"/>
      <c r="DW2" s="190"/>
      <c r="DX2" s="190"/>
      <c r="DY2" s="190"/>
      <c r="DZ2" s="190"/>
      <c r="EA2" s="190"/>
      <c r="EB2" s="190"/>
      <c r="EC2" s="190"/>
      <c r="ED2" s="190"/>
      <c r="EE2" s="190"/>
      <c r="EF2" s="190"/>
      <c r="EG2" s="190"/>
      <c r="EH2" s="190"/>
      <c r="EI2" s="190"/>
      <c r="EJ2" s="190"/>
      <c r="EK2" s="190"/>
      <c r="EL2" s="190"/>
      <c r="EM2" s="190"/>
      <c r="EN2" s="190"/>
      <c r="EO2" s="190"/>
      <c r="EP2" s="190"/>
      <c r="EQ2" s="190"/>
      <c r="ER2" s="190"/>
      <c r="ES2" s="190"/>
      <c r="ET2" s="190"/>
      <c r="EU2" s="190"/>
      <c r="EV2" s="190"/>
      <c r="EW2" s="190"/>
      <c r="EX2" s="190"/>
      <c r="EY2" s="190"/>
      <c r="EZ2" s="190"/>
      <c r="FA2" s="190"/>
      <c r="FB2" s="190"/>
      <c r="FC2" s="190"/>
      <c r="FD2" s="190"/>
      <c r="FE2" s="190"/>
      <c r="FF2" s="190"/>
      <c r="FG2" s="190"/>
      <c r="FH2" s="190"/>
      <c r="FI2" s="190"/>
      <c r="FJ2" s="190"/>
      <c r="FK2" s="190"/>
      <c r="FL2" s="190"/>
      <c r="FM2" s="190"/>
      <c r="FN2" s="190"/>
      <c r="FO2" s="190"/>
      <c r="FP2" s="190"/>
      <c r="FQ2" s="190"/>
      <c r="FR2" s="190"/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190"/>
      <c r="GD2" s="190"/>
      <c r="GE2" s="190"/>
      <c r="GF2" s="190"/>
      <c r="GG2" s="190"/>
      <c r="GH2" s="190"/>
      <c r="GI2" s="190"/>
      <c r="GJ2" s="190"/>
      <c r="GK2" s="190"/>
      <c r="GL2" s="190"/>
      <c r="GM2" s="190"/>
      <c r="GN2" s="190"/>
      <c r="GO2" s="190"/>
      <c r="GP2" s="190"/>
      <c r="GQ2" s="190"/>
      <c r="GR2" s="190"/>
      <c r="GS2" s="190"/>
      <c r="GT2" s="190"/>
      <c r="GU2" s="190"/>
      <c r="GV2" s="190"/>
      <c r="GW2" s="190"/>
      <c r="GX2" s="190"/>
      <c r="GY2" s="190"/>
      <c r="GZ2" s="190"/>
      <c r="HA2" s="190"/>
      <c r="HB2" s="190"/>
      <c r="HC2" s="190"/>
      <c r="HD2" s="190"/>
      <c r="HE2" s="190"/>
      <c r="HF2" s="190"/>
      <c r="HG2" s="190"/>
      <c r="HH2" s="190"/>
      <c r="HI2" s="190"/>
      <c r="HJ2" s="190"/>
      <c r="HK2" s="190"/>
      <c r="HL2" s="190"/>
      <c r="HM2" s="190"/>
      <c r="HN2" s="190"/>
      <c r="HO2" s="190"/>
      <c r="HP2" s="190"/>
      <c r="HQ2" s="190"/>
      <c r="HR2" s="190"/>
      <c r="HS2" s="190"/>
      <c r="HT2" s="190"/>
      <c r="HU2" s="190"/>
      <c r="HV2" s="190"/>
      <c r="HW2" s="190"/>
      <c r="HX2" s="190"/>
      <c r="HY2" s="190"/>
      <c r="HZ2" s="190"/>
      <c r="IA2" s="190"/>
      <c r="IB2" s="190"/>
      <c r="IC2" s="190"/>
      <c r="ID2" s="190"/>
      <c r="IE2" s="190"/>
      <c r="IF2" s="190"/>
      <c r="IG2" s="190"/>
      <c r="IH2" s="190"/>
    </row>
    <row r="3" spans="1:247" ht="18" x14ac:dyDescent="0.25">
      <c r="A3" s="45"/>
      <c r="B3" s="45"/>
      <c r="C3" s="6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6"/>
      <c r="CY3" s="46"/>
      <c r="CZ3" s="46"/>
      <c r="DA3" s="46"/>
      <c r="DB3" s="47"/>
      <c r="DC3" s="47"/>
      <c r="DD3" s="47"/>
      <c r="DE3" s="47"/>
      <c r="DF3" s="47"/>
      <c r="DG3" s="50"/>
      <c r="DH3" s="50"/>
      <c r="DI3" s="50"/>
      <c r="DJ3" s="50"/>
      <c r="DK3" s="50"/>
      <c r="DL3" s="53"/>
      <c r="DM3" s="53"/>
      <c r="DN3" s="54"/>
      <c r="DO3" s="53"/>
      <c r="DP3" s="56"/>
      <c r="DQ3" s="56"/>
      <c r="DR3" s="56"/>
      <c r="DS3" s="56"/>
      <c r="DT3" s="57"/>
      <c r="DU3" s="57"/>
      <c r="DV3" s="57"/>
      <c r="DW3" s="62"/>
      <c r="DX3" s="57"/>
      <c r="ID3" s="1"/>
      <c r="IE3" s="1"/>
    </row>
    <row r="4" spans="1:247" ht="10.5" hidden="1" customHeight="1" x14ac:dyDescent="0.25">
      <c r="A4" s="32"/>
      <c r="B4" s="32"/>
      <c r="C4" s="66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3"/>
      <c r="AG4" s="33"/>
      <c r="AH4" s="33"/>
      <c r="AI4" s="33"/>
      <c r="AJ4" s="33"/>
      <c r="AK4" s="33"/>
      <c r="AL4" s="33"/>
      <c r="AM4" s="32"/>
      <c r="AN4" s="32"/>
      <c r="AO4" s="32"/>
      <c r="AP4" s="34"/>
      <c r="AQ4" s="34"/>
      <c r="AR4" s="34"/>
      <c r="AS4" s="34"/>
      <c r="AT4" s="34"/>
      <c r="AU4" s="34"/>
      <c r="AV4" s="32"/>
      <c r="AW4" s="34"/>
      <c r="AX4" s="33"/>
      <c r="AY4" s="32"/>
      <c r="AZ4" s="32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IG4" s="184"/>
    </row>
    <row r="5" spans="1:247" ht="12.75" x14ac:dyDescent="0.2">
      <c r="A5" s="13"/>
      <c r="B5" s="189"/>
      <c r="C5" s="67"/>
      <c r="D5" s="14" t="s">
        <v>90</v>
      </c>
      <c r="E5" s="9" t="s">
        <v>44</v>
      </c>
      <c r="F5" s="11" t="s">
        <v>41</v>
      </c>
      <c r="G5" s="9" t="s">
        <v>52</v>
      </c>
      <c r="H5" s="9" t="s">
        <v>53</v>
      </c>
      <c r="I5" s="9" t="s">
        <v>55</v>
      </c>
      <c r="J5" s="9" t="s">
        <v>53</v>
      </c>
      <c r="K5" s="111"/>
      <c r="L5" s="111" t="s">
        <v>63</v>
      </c>
      <c r="M5" s="10" t="s">
        <v>55</v>
      </c>
      <c r="N5" s="11" t="s">
        <v>53</v>
      </c>
      <c r="O5" s="11" t="s">
        <v>66</v>
      </c>
      <c r="P5" s="11" t="s">
        <v>70</v>
      </c>
      <c r="Q5" s="11" t="s">
        <v>73</v>
      </c>
      <c r="R5" s="11" t="s">
        <v>77</v>
      </c>
      <c r="S5" s="11" t="s">
        <v>80</v>
      </c>
      <c r="T5" s="11" t="s">
        <v>85</v>
      </c>
      <c r="U5" s="12" t="s">
        <v>81</v>
      </c>
      <c r="V5" s="11" t="s">
        <v>72</v>
      </c>
      <c r="W5" s="11" t="s">
        <v>65</v>
      </c>
      <c r="X5" s="11" t="s">
        <v>65</v>
      </c>
      <c r="Y5" s="11" t="s">
        <v>65</v>
      </c>
      <c r="Z5" s="11" t="s">
        <v>53</v>
      </c>
      <c r="AA5" s="55" t="s">
        <v>99</v>
      </c>
      <c r="AB5" s="11" t="s">
        <v>91</v>
      </c>
      <c r="AC5" s="11" t="s">
        <v>91</v>
      </c>
      <c r="AD5" s="11" t="s">
        <v>91</v>
      </c>
      <c r="AE5" s="11" t="s">
        <v>105</v>
      </c>
      <c r="AF5" s="11" t="s">
        <v>106</v>
      </c>
      <c r="AG5" s="11" t="s">
        <v>107</v>
      </c>
      <c r="AH5" s="11" t="s">
        <v>91</v>
      </c>
      <c r="AI5" s="11" t="s">
        <v>91</v>
      </c>
      <c r="AJ5" s="11" t="s">
        <v>119</v>
      </c>
      <c r="AK5" s="11" t="s">
        <v>115</v>
      </c>
      <c r="AL5" s="11" t="s">
        <v>115</v>
      </c>
      <c r="AM5" s="11" t="s">
        <v>119</v>
      </c>
      <c r="AN5" s="11" t="s">
        <v>115</v>
      </c>
      <c r="AO5" s="11" t="s">
        <v>115</v>
      </c>
      <c r="AP5" s="11" t="s">
        <v>91</v>
      </c>
      <c r="AQ5" s="11" t="s">
        <v>119</v>
      </c>
      <c r="AR5" s="11" t="s">
        <v>128</v>
      </c>
      <c r="AS5" s="11" t="s">
        <v>119</v>
      </c>
      <c r="AT5" s="11" t="s">
        <v>91</v>
      </c>
      <c r="AU5" s="11" t="s">
        <v>91</v>
      </c>
      <c r="AV5" s="11" t="s">
        <v>53</v>
      </c>
      <c r="AW5" s="11" t="s">
        <v>114</v>
      </c>
      <c r="AX5" s="11" t="s">
        <v>136</v>
      </c>
      <c r="AY5" s="11" t="s">
        <v>99</v>
      </c>
      <c r="AZ5" s="11" t="s">
        <v>99</v>
      </c>
      <c r="BA5" s="11" t="s">
        <v>136</v>
      </c>
      <c r="BB5" s="11" t="s">
        <v>99</v>
      </c>
      <c r="BC5" s="11" t="s">
        <v>99</v>
      </c>
      <c r="BD5" s="11" t="s">
        <v>99</v>
      </c>
      <c r="BE5" s="11" t="s">
        <v>136</v>
      </c>
      <c r="BF5" s="11" t="s">
        <v>136</v>
      </c>
      <c r="BG5" s="11" t="s">
        <v>136</v>
      </c>
      <c r="BH5" s="11" t="s">
        <v>99</v>
      </c>
      <c r="BI5" s="11" t="s">
        <v>99</v>
      </c>
      <c r="BJ5" s="11" t="s">
        <v>99</v>
      </c>
      <c r="BK5" s="11" t="s">
        <v>99</v>
      </c>
      <c r="BL5" s="11" t="s">
        <v>136</v>
      </c>
      <c r="BM5" s="11" t="s">
        <v>136</v>
      </c>
      <c r="BN5" s="55" t="s">
        <v>53</v>
      </c>
      <c r="BO5" s="55" t="s">
        <v>114</v>
      </c>
      <c r="BP5" s="55" t="s">
        <v>169</v>
      </c>
      <c r="BQ5" s="11" t="s">
        <v>99</v>
      </c>
      <c r="BR5" s="11" t="s">
        <v>99</v>
      </c>
      <c r="BS5" s="55" t="s">
        <v>169</v>
      </c>
      <c r="BT5" s="11" t="s">
        <v>99</v>
      </c>
      <c r="BU5" s="11" t="s">
        <v>99</v>
      </c>
      <c r="BV5" s="11" t="s">
        <v>99</v>
      </c>
      <c r="BW5" s="55" t="s">
        <v>169</v>
      </c>
      <c r="BX5" s="11" t="s">
        <v>99</v>
      </c>
      <c r="BY5" s="11" t="s">
        <v>99</v>
      </c>
      <c r="BZ5" s="11" t="s">
        <v>99</v>
      </c>
      <c r="CA5" s="55" t="s">
        <v>169</v>
      </c>
      <c r="CB5" s="11" t="s">
        <v>99</v>
      </c>
      <c r="CC5" s="11" t="s">
        <v>99</v>
      </c>
      <c r="CD5" s="11" t="s">
        <v>99</v>
      </c>
      <c r="CE5" s="11" t="s">
        <v>99</v>
      </c>
      <c r="CF5" s="55" t="s">
        <v>169</v>
      </c>
      <c r="CG5" s="11" t="s">
        <v>99</v>
      </c>
      <c r="CH5" s="11" t="s">
        <v>99</v>
      </c>
      <c r="CI5" s="11" t="s">
        <v>99</v>
      </c>
      <c r="CJ5" s="11" t="s">
        <v>99</v>
      </c>
      <c r="CK5" s="55" t="s">
        <v>169</v>
      </c>
      <c r="CL5" s="11" t="s">
        <v>99</v>
      </c>
      <c r="CM5" s="11" t="s">
        <v>99</v>
      </c>
      <c r="CN5" s="43" t="s">
        <v>197</v>
      </c>
      <c r="CO5" s="55" t="s">
        <v>53</v>
      </c>
      <c r="CP5" s="55" t="s">
        <v>114</v>
      </c>
      <c r="CQ5" s="55" t="s">
        <v>114</v>
      </c>
      <c r="CR5" s="55" t="s">
        <v>199</v>
      </c>
      <c r="CS5" s="55" t="s">
        <v>199</v>
      </c>
      <c r="CT5" s="55" t="s">
        <v>199</v>
      </c>
      <c r="CU5" s="55" t="s">
        <v>114</v>
      </c>
      <c r="CV5" s="55" t="s">
        <v>114</v>
      </c>
      <c r="CW5" s="55" t="s">
        <v>114</v>
      </c>
      <c r="CX5" s="55" t="s">
        <v>199</v>
      </c>
      <c r="CY5" s="55" t="s">
        <v>114</v>
      </c>
      <c r="CZ5" s="55" t="s">
        <v>114</v>
      </c>
      <c r="DA5" s="55" t="s">
        <v>114</v>
      </c>
      <c r="DB5" s="55" t="s">
        <v>199</v>
      </c>
      <c r="DC5" s="76" t="s">
        <v>114</v>
      </c>
      <c r="DD5" s="76" t="s">
        <v>114</v>
      </c>
      <c r="DE5" s="76" t="s">
        <v>114</v>
      </c>
      <c r="DF5" s="76" t="s">
        <v>114</v>
      </c>
      <c r="DG5" s="55" t="s">
        <v>199</v>
      </c>
      <c r="DH5" s="76" t="s">
        <v>114</v>
      </c>
      <c r="DI5" s="76" t="s">
        <v>114</v>
      </c>
      <c r="DJ5" s="76" t="s">
        <v>114</v>
      </c>
      <c r="DK5" s="76" t="s">
        <v>114</v>
      </c>
      <c r="DL5" s="55" t="s">
        <v>199</v>
      </c>
      <c r="DM5" s="55" t="s">
        <v>199</v>
      </c>
      <c r="DN5" s="55" t="s">
        <v>199</v>
      </c>
      <c r="DO5" s="55" t="s">
        <v>230</v>
      </c>
      <c r="DP5" s="55" t="s">
        <v>199</v>
      </c>
      <c r="DQ5" s="55" t="s">
        <v>243</v>
      </c>
      <c r="DR5" s="55" t="s">
        <v>199</v>
      </c>
      <c r="DS5" s="55" t="s">
        <v>240</v>
      </c>
      <c r="DT5" s="55" t="s">
        <v>242</v>
      </c>
      <c r="DU5" s="55" t="s">
        <v>199</v>
      </c>
      <c r="DV5" s="55" t="s">
        <v>240</v>
      </c>
      <c r="DW5" s="55" t="s">
        <v>199</v>
      </c>
      <c r="DX5" s="55" t="s">
        <v>245</v>
      </c>
      <c r="DY5" s="55" t="s">
        <v>240</v>
      </c>
      <c r="DZ5" s="55" t="s">
        <v>253</v>
      </c>
      <c r="EA5" s="55" t="s">
        <v>240</v>
      </c>
      <c r="EB5" s="55" t="s">
        <v>240</v>
      </c>
      <c r="EC5" s="60"/>
      <c r="ED5" s="55" t="s">
        <v>253</v>
      </c>
      <c r="EE5" s="55" t="s">
        <v>240</v>
      </c>
      <c r="EF5" s="55" t="s">
        <v>240</v>
      </c>
      <c r="EG5" s="55" t="s">
        <v>240</v>
      </c>
      <c r="EH5" s="55" t="s">
        <v>253</v>
      </c>
      <c r="EI5" s="55" t="s">
        <v>240</v>
      </c>
      <c r="EJ5" s="55" t="s">
        <v>240</v>
      </c>
      <c r="EK5" s="55" t="s">
        <v>240</v>
      </c>
      <c r="EL5" s="55" t="s">
        <v>253</v>
      </c>
      <c r="EM5" s="76" t="s">
        <v>240</v>
      </c>
      <c r="EN5" s="76" t="s">
        <v>240</v>
      </c>
      <c r="EO5" s="76" t="s">
        <v>240</v>
      </c>
      <c r="EP5" s="76" t="s">
        <v>240</v>
      </c>
      <c r="EQ5" s="55" t="s">
        <v>253</v>
      </c>
      <c r="ER5" s="76" t="s">
        <v>240</v>
      </c>
      <c r="ES5" s="76" t="s">
        <v>240</v>
      </c>
      <c r="ET5" s="76" t="s">
        <v>240</v>
      </c>
      <c r="EU5" s="76" t="s">
        <v>240</v>
      </c>
      <c r="EV5" s="55" t="s">
        <v>253</v>
      </c>
      <c r="EW5" s="76" t="s">
        <v>240</v>
      </c>
      <c r="EX5" s="76" t="s">
        <v>240</v>
      </c>
      <c r="EY5" s="76"/>
      <c r="EZ5" s="55" t="s">
        <v>253</v>
      </c>
      <c r="FA5" s="76" t="s">
        <v>240</v>
      </c>
      <c r="FB5" s="76" t="s">
        <v>253</v>
      </c>
      <c r="FC5" s="76" t="s">
        <v>253</v>
      </c>
      <c r="FD5" s="76" t="s">
        <v>253</v>
      </c>
      <c r="FE5" s="76" t="s">
        <v>253</v>
      </c>
      <c r="FF5" s="76" t="s">
        <v>253</v>
      </c>
      <c r="FG5" s="76" t="s">
        <v>286</v>
      </c>
      <c r="FH5" s="76" t="s">
        <v>230</v>
      </c>
      <c r="FI5" s="96" t="s">
        <v>303</v>
      </c>
      <c r="FJ5" s="55" t="s">
        <v>286</v>
      </c>
      <c r="FK5" s="76" t="s">
        <v>230</v>
      </c>
      <c r="FL5" s="76" t="s">
        <v>230</v>
      </c>
      <c r="FM5" s="55" t="s">
        <v>286</v>
      </c>
      <c r="FN5" s="76" t="s">
        <v>230</v>
      </c>
      <c r="FO5" s="76" t="s">
        <v>230</v>
      </c>
      <c r="FP5" s="76" t="s">
        <v>230</v>
      </c>
      <c r="FQ5" s="76" t="s">
        <v>322</v>
      </c>
      <c r="FR5" s="55" t="s">
        <v>286</v>
      </c>
      <c r="FS5" s="76" t="s">
        <v>230</v>
      </c>
      <c r="FT5" s="76" t="s">
        <v>230</v>
      </c>
      <c r="FU5" s="76" t="s">
        <v>230</v>
      </c>
      <c r="FV5" s="76" t="s">
        <v>321</v>
      </c>
      <c r="FW5" s="55" t="s">
        <v>286</v>
      </c>
      <c r="FX5" s="76" t="s">
        <v>230</v>
      </c>
      <c r="FY5" s="76" t="s">
        <v>230</v>
      </c>
      <c r="FZ5" s="76" t="s">
        <v>230</v>
      </c>
      <c r="GA5" s="76" t="s">
        <v>230</v>
      </c>
      <c r="GB5" s="105" t="s">
        <v>340</v>
      </c>
      <c r="GC5" s="55" t="s">
        <v>286</v>
      </c>
      <c r="GD5" s="55" t="s">
        <v>286</v>
      </c>
      <c r="GE5" s="55" t="s">
        <v>286</v>
      </c>
      <c r="GF5" s="55" t="s">
        <v>286</v>
      </c>
      <c r="GG5" s="55" t="s">
        <v>286</v>
      </c>
      <c r="GH5" s="76" t="s">
        <v>230</v>
      </c>
      <c r="GI5" s="76" t="s">
        <v>230</v>
      </c>
      <c r="GJ5" s="76" t="s">
        <v>230</v>
      </c>
      <c r="GK5" s="76" t="s">
        <v>230</v>
      </c>
      <c r="GL5" s="76" t="s">
        <v>230</v>
      </c>
      <c r="GM5" s="105" t="s">
        <v>348</v>
      </c>
      <c r="GN5" s="105" t="s">
        <v>370</v>
      </c>
      <c r="GO5" s="55" t="s">
        <v>286</v>
      </c>
      <c r="GP5" s="55" t="s">
        <v>286</v>
      </c>
      <c r="GQ5" s="55" t="s">
        <v>286</v>
      </c>
      <c r="GR5" s="55" t="s">
        <v>286</v>
      </c>
      <c r="GS5" s="55" t="s">
        <v>286</v>
      </c>
      <c r="GT5" s="55" t="s">
        <v>373</v>
      </c>
      <c r="GU5" s="55" t="s">
        <v>230</v>
      </c>
      <c r="GV5" s="105" t="s">
        <v>376</v>
      </c>
      <c r="GW5" s="130" t="s">
        <v>373</v>
      </c>
      <c r="GX5" s="129" t="s">
        <v>230</v>
      </c>
      <c r="GY5" s="129" t="s">
        <v>230</v>
      </c>
      <c r="GZ5" s="129" t="s">
        <v>391</v>
      </c>
      <c r="HA5" s="130" t="s">
        <v>373</v>
      </c>
      <c r="HB5" s="129" t="s">
        <v>230</v>
      </c>
      <c r="HC5" s="129" t="s">
        <v>230</v>
      </c>
      <c r="HD5" s="143" t="s">
        <v>230</v>
      </c>
      <c r="HE5" s="143" t="s">
        <v>448</v>
      </c>
      <c r="HF5" s="130" t="s">
        <v>373</v>
      </c>
      <c r="HG5" s="143" t="s">
        <v>230</v>
      </c>
      <c r="HH5" s="143" t="s">
        <v>230</v>
      </c>
      <c r="HI5" s="143" t="s">
        <v>230</v>
      </c>
      <c r="HJ5" s="143" t="s">
        <v>447</v>
      </c>
      <c r="HK5" s="130" t="s">
        <v>373</v>
      </c>
      <c r="HL5" s="143" t="s">
        <v>230</v>
      </c>
      <c r="HM5" s="143" t="s">
        <v>230</v>
      </c>
      <c r="HN5" s="143" t="s">
        <v>230</v>
      </c>
      <c r="HO5" s="143" t="s">
        <v>230</v>
      </c>
      <c r="HP5" s="143" t="s">
        <v>447</v>
      </c>
      <c r="HQ5" s="130" t="s">
        <v>373</v>
      </c>
      <c r="HR5" s="143" t="s">
        <v>230</v>
      </c>
      <c r="HS5" s="143" t="s">
        <v>230</v>
      </c>
      <c r="HT5" s="143" t="s">
        <v>230</v>
      </c>
      <c r="HU5" s="143" t="s">
        <v>230</v>
      </c>
      <c r="HV5" s="143" t="s">
        <v>488</v>
      </c>
      <c r="HW5" s="130" t="s">
        <v>373</v>
      </c>
      <c r="HX5" s="143" t="s">
        <v>230</v>
      </c>
      <c r="HY5" s="143" t="s">
        <v>230</v>
      </c>
      <c r="HZ5" s="143" t="s">
        <v>230</v>
      </c>
      <c r="IA5" s="143" t="s">
        <v>520</v>
      </c>
      <c r="IB5" s="130" t="s">
        <v>373</v>
      </c>
      <c r="IC5" s="165" t="s">
        <v>520</v>
      </c>
      <c r="ID5" s="143" t="s">
        <v>373</v>
      </c>
      <c r="IE5" s="143" t="s">
        <v>230</v>
      </c>
      <c r="IF5" s="182" t="s">
        <v>532</v>
      </c>
      <c r="IG5" s="143" t="s">
        <v>230</v>
      </c>
      <c r="IH5" s="143" t="s">
        <v>538</v>
      </c>
    </row>
    <row r="6" spans="1:247" ht="12.75" x14ac:dyDescent="0.2">
      <c r="A6" s="15" t="s">
        <v>0</v>
      </c>
      <c r="B6" s="189"/>
      <c r="C6" s="67" t="s">
        <v>47</v>
      </c>
      <c r="D6" s="14" t="s">
        <v>68</v>
      </c>
      <c r="E6" s="9" t="s">
        <v>45</v>
      </c>
      <c r="F6" s="11" t="s">
        <v>93</v>
      </c>
      <c r="G6" s="9" t="s">
        <v>48</v>
      </c>
      <c r="H6" s="9" t="s">
        <v>54</v>
      </c>
      <c r="I6" s="9" t="s">
        <v>56</v>
      </c>
      <c r="J6" s="9" t="s">
        <v>60</v>
      </c>
      <c r="K6" s="111" t="s">
        <v>62</v>
      </c>
      <c r="L6" s="111" t="s">
        <v>64</v>
      </c>
      <c r="M6" s="10" t="s">
        <v>59</v>
      </c>
      <c r="N6" s="11" t="s">
        <v>65</v>
      </c>
      <c r="O6" s="11" t="s">
        <v>67</v>
      </c>
      <c r="P6" s="11" t="s">
        <v>65</v>
      </c>
      <c r="Q6" s="11" t="s">
        <v>74</v>
      </c>
      <c r="R6" s="11" t="s">
        <v>65</v>
      </c>
      <c r="S6" s="11" t="s">
        <v>78</v>
      </c>
      <c r="T6" s="11" t="s">
        <v>86</v>
      </c>
      <c r="U6" s="12" t="s">
        <v>82</v>
      </c>
      <c r="V6" s="11" t="s">
        <v>88</v>
      </c>
      <c r="W6" s="11" t="s">
        <v>95</v>
      </c>
      <c r="X6" s="11" t="s">
        <v>102</v>
      </c>
      <c r="Y6" s="11" t="s">
        <v>70</v>
      </c>
      <c r="Z6" s="11" t="s">
        <v>91</v>
      </c>
      <c r="AA6" s="55" t="s">
        <v>100</v>
      </c>
      <c r="AB6" s="11" t="s">
        <v>98</v>
      </c>
      <c r="AC6" s="11" t="s">
        <v>129</v>
      </c>
      <c r="AD6" s="11" t="s">
        <v>113</v>
      </c>
      <c r="AE6" s="9" t="s">
        <v>108</v>
      </c>
      <c r="AF6" s="11" t="s">
        <v>110</v>
      </c>
      <c r="AG6" s="11" t="s">
        <v>111</v>
      </c>
      <c r="AH6" s="11" t="s">
        <v>121</v>
      </c>
      <c r="AI6" s="11" t="s">
        <v>76</v>
      </c>
      <c r="AJ6" s="11" t="s">
        <v>120</v>
      </c>
      <c r="AK6" s="11" t="s">
        <v>116</v>
      </c>
      <c r="AL6" s="11" t="s">
        <v>112</v>
      </c>
      <c r="AM6" s="11" t="s">
        <v>120</v>
      </c>
      <c r="AN6" s="11" t="s">
        <v>116</v>
      </c>
      <c r="AO6" s="11" t="s">
        <v>112</v>
      </c>
      <c r="AP6" s="11" t="s">
        <v>133</v>
      </c>
      <c r="AQ6" s="11" t="s">
        <v>126</v>
      </c>
      <c r="AR6" s="11" t="s">
        <v>124</v>
      </c>
      <c r="AS6" s="11" t="s">
        <v>134</v>
      </c>
      <c r="AT6" s="11" t="s">
        <v>102</v>
      </c>
      <c r="AU6" s="11" t="s">
        <v>70</v>
      </c>
      <c r="AV6" s="11" t="s">
        <v>136</v>
      </c>
      <c r="AW6" s="11" t="s">
        <v>140</v>
      </c>
      <c r="AX6" s="11" t="s">
        <v>98</v>
      </c>
      <c r="AY6" s="11" t="s">
        <v>143</v>
      </c>
      <c r="AZ6" s="11" t="s">
        <v>145</v>
      </c>
      <c r="BA6" s="11" t="s">
        <v>129</v>
      </c>
      <c r="BB6" s="11" t="s">
        <v>143</v>
      </c>
      <c r="BC6" s="11" t="s">
        <v>157</v>
      </c>
      <c r="BD6" s="11" t="s">
        <v>159</v>
      </c>
      <c r="BE6" s="11" t="s">
        <v>121</v>
      </c>
      <c r="BF6" s="11" t="s">
        <v>76</v>
      </c>
      <c r="BG6" s="11" t="s">
        <v>166</v>
      </c>
      <c r="BH6" s="55" t="s">
        <v>167</v>
      </c>
      <c r="BI6" s="36" t="s">
        <v>162</v>
      </c>
      <c r="BJ6" s="55" t="s">
        <v>162</v>
      </c>
      <c r="BK6" s="55" t="s">
        <v>162</v>
      </c>
      <c r="BL6" s="11" t="s">
        <v>168</v>
      </c>
      <c r="BM6" s="55" t="s">
        <v>234</v>
      </c>
      <c r="BN6" s="55" t="s">
        <v>169</v>
      </c>
      <c r="BO6" s="55" t="s">
        <v>170</v>
      </c>
      <c r="BP6" s="55" t="s">
        <v>98</v>
      </c>
      <c r="BQ6" s="11" t="s">
        <v>178</v>
      </c>
      <c r="BR6" s="11" t="s">
        <v>180</v>
      </c>
      <c r="BS6" s="55" t="s">
        <v>129</v>
      </c>
      <c r="BT6" s="11" t="s">
        <v>178</v>
      </c>
      <c r="BU6" s="11" t="s">
        <v>180</v>
      </c>
      <c r="BV6" s="11" t="s">
        <v>184</v>
      </c>
      <c r="BW6" s="55" t="s">
        <v>113</v>
      </c>
      <c r="BX6" s="11" t="s">
        <v>178</v>
      </c>
      <c r="BY6" s="11" t="s">
        <v>180</v>
      </c>
      <c r="BZ6" s="11" t="s">
        <v>186</v>
      </c>
      <c r="CA6" s="55" t="s">
        <v>121</v>
      </c>
      <c r="CB6" s="11" t="s">
        <v>178</v>
      </c>
      <c r="CC6" s="11" t="s">
        <v>180</v>
      </c>
      <c r="CD6" s="11" t="s">
        <v>186</v>
      </c>
      <c r="CE6" s="11" t="s">
        <v>188</v>
      </c>
      <c r="CF6" s="55" t="s">
        <v>190</v>
      </c>
      <c r="CG6" s="11" t="s">
        <v>178</v>
      </c>
      <c r="CH6" s="11" t="s">
        <v>180</v>
      </c>
      <c r="CI6" s="11" t="s">
        <v>186</v>
      </c>
      <c r="CJ6" s="11" t="s">
        <v>189</v>
      </c>
      <c r="CK6" s="55" t="s">
        <v>133</v>
      </c>
      <c r="CL6" s="11" t="s">
        <v>178</v>
      </c>
      <c r="CM6" s="11" t="s">
        <v>195</v>
      </c>
      <c r="CN6" s="43" t="s">
        <v>125</v>
      </c>
      <c r="CO6" s="55" t="s">
        <v>199</v>
      </c>
      <c r="CP6" s="55" t="s">
        <v>202</v>
      </c>
      <c r="CQ6" s="55" t="s">
        <v>202</v>
      </c>
      <c r="CR6" s="55" t="s">
        <v>98</v>
      </c>
      <c r="CS6" s="55" t="s">
        <v>207</v>
      </c>
      <c r="CT6" s="55" t="s">
        <v>209</v>
      </c>
      <c r="CU6" s="55" t="s">
        <v>210</v>
      </c>
      <c r="CV6" s="55" t="s">
        <v>212</v>
      </c>
      <c r="CW6" s="55" t="s">
        <v>210</v>
      </c>
      <c r="CX6" s="55" t="s">
        <v>113</v>
      </c>
      <c r="CY6" s="55" t="s">
        <v>215</v>
      </c>
      <c r="CZ6" s="55" t="s">
        <v>216</v>
      </c>
      <c r="DA6" s="55" t="s">
        <v>215</v>
      </c>
      <c r="DB6" s="55" t="s">
        <v>121</v>
      </c>
      <c r="DC6" s="76" t="s">
        <v>222</v>
      </c>
      <c r="DD6" s="76" t="s">
        <v>223</v>
      </c>
      <c r="DE6" s="76" t="s">
        <v>222</v>
      </c>
      <c r="DF6" s="76" t="s">
        <v>222</v>
      </c>
      <c r="DG6" s="55" t="s">
        <v>225</v>
      </c>
      <c r="DH6" s="76" t="s">
        <v>228</v>
      </c>
      <c r="DI6" s="76" t="s">
        <v>228</v>
      </c>
      <c r="DJ6" s="76" t="s">
        <v>228</v>
      </c>
      <c r="DK6" s="76" t="s">
        <v>228</v>
      </c>
      <c r="DL6" s="55" t="s">
        <v>232</v>
      </c>
      <c r="DM6" s="55" t="s">
        <v>68</v>
      </c>
      <c r="DN6" s="55" t="s">
        <v>234</v>
      </c>
      <c r="DO6" s="55" t="s">
        <v>231</v>
      </c>
      <c r="DP6" s="55" t="s">
        <v>238</v>
      </c>
      <c r="DQ6" s="55" t="s">
        <v>168</v>
      </c>
      <c r="DR6" s="55" t="s">
        <v>234</v>
      </c>
      <c r="DS6" s="55" t="s">
        <v>231</v>
      </c>
      <c r="DT6" s="55" t="s">
        <v>168</v>
      </c>
      <c r="DU6" s="55" t="s">
        <v>234</v>
      </c>
      <c r="DV6" s="55" t="s">
        <v>231</v>
      </c>
      <c r="DW6" s="55" t="s">
        <v>234</v>
      </c>
      <c r="DX6" s="55" t="s">
        <v>96</v>
      </c>
      <c r="DY6" s="55" t="s">
        <v>246</v>
      </c>
      <c r="DZ6" s="55" t="s">
        <v>98</v>
      </c>
      <c r="EA6" s="55" t="s">
        <v>254</v>
      </c>
      <c r="EB6" s="55" t="s">
        <v>254</v>
      </c>
      <c r="EC6" s="61" t="s">
        <v>252</v>
      </c>
      <c r="ED6" s="55" t="s">
        <v>209</v>
      </c>
      <c r="EE6" s="55" t="s">
        <v>259</v>
      </c>
      <c r="EF6" s="55" t="s">
        <v>259</v>
      </c>
      <c r="EG6" s="55" t="s">
        <v>259</v>
      </c>
      <c r="EH6" s="55" t="s">
        <v>113</v>
      </c>
      <c r="EI6" s="55" t="s">
        <v>261</v>
      </c>
      <c r="EJ6" s="55" t="s">
        <v>261</v>
      </c>
      <c r="EK6" s="55" t="s">
        <v>261</v>
      </c>
      <c r="EL6" s="55" t="s">
        <v>121</v>
      </c>
      <c r="EM6" s="76" t="s">
        <v>266</v>
      </c>
      <c r="EN6" s="76" t="s">
        <v>266</v>
      </c>
      <c r="EO6" s="76" t="s">
        <v>266</v>
      </c>
      <c r="EP6" s="76" t="s">
        <v>266</v>
      </c>
      <c r="EQ6" s="55" t="s">
        <v>190</v>
      </c>
      <c r="ER6" s="76" t="s">
        <v>268</v>
      </c>
      <c r="ES6" s="76" t="s">
        <v>272</v>
      </c>
      <c r="ET6" s="76" t="s">
        <v>272</v>
      </c>
      <c r="EU6" s="76" t="s">
        <v>269</v>
      </c>
      <c r="EV6" s="55" t="s">
        <v>234</v>
      </c>
      <c r="EW6" s="76" t="s">
        <v>275</v>
      </c>
      <c r="EX6" s="76" t="s">
        <v>275</v>
      </c>
      <c r="EY6" s="76" t="s">
        <v>278</v>
      </c>
      <c r="EZ6" s="55" t="s">
        <v>234</v>
      </c>
      <c r="FA6" s="76" t="s">
        <v>280</v>
      </c>
      <c r="FB6" s="76" t="s">
        <v>282</v>
      </c>
      <c r="FC6" s="76" t="s">
        <v>133</v>
      </c>
      <c r="FD6" s="76" t="s">
        <v>290</v>
      </c>
      <c r="FE6" s="76" t="s">
        <v>284</v>
      </c>
      <c r="FF6" s="55" t="s">
        <v>133</v>
      </c>
      <c r="FG6" s="76" t="s">
        <v>232</v>
      </c>
      <c r="FH6" s="76" t="s">
        <v>299</v>
      </c>
      <c r="FI6" s="76"/>
      <c r="FJ6" s="55" t="s">
        <v>98</v>
      </c>
      <c r="FK6" s="76" t="s">
        <v>304</v>
      </c>
      <c r="FL6" s="76" t="s">
        <v>304</v>
      </c>
      <c r="FM6" s="55" t="s">
        <v>129</v>
      </c>
      <c r="FN6" s="76" t="s">
        <v>311</v>
      </c>
      <c r="FO6" s="76" t="s">
        <v>311</v>
      </c>
      <c r="FP6" s="76" t="s">
        <v>311</v>
      </c>
      <c r="FQ6" s="76"/>
      <c r="FR6" s="55" t="s">
        <v>113</v>
      </c>
      <c r="FS6" s="76" t="s">
        <v>319</v>
      </c>
      <c r="FT6" s="76" t="s">
        <v>319</v>
      </c>
      <c r="FU6" s="76" t="s">
        <v>319</v>
      </c>
      <c r="FV6" s="76"/>
      <c r="FW6" s="55" t="s">
        <v>121</v>
      </c>
      <c r="FX6" s="76" t="s">
        <v>336</v>
      </c>
      <c r="FY6" s="76" t="s">
        <v>336</v>
      </c>
      <c r="FZ6" s="76" t="s">
        <v>336</v>
      </c>
      <c r="GA6" s="76" t="s">
        <v>336</v>
      </c>
      <c r="GB6" s="107"/>
      <c r="GC6" s="55" t="s">
        <v>190</v>
      </c>
      <c r="GD6" s="55" t="s">
        <v>347</v>
      </c>
      <c r="GE6" s="55" t="s">
        <v>133</v>
      </c>
      <c r="GF6" s="55" t="s">
        <v>68</v>
      </c>
      <c r="GG6" s="55" t="s">
        <v>133</v>
      </c>
      <c r="GH6" s="76" t="s">
        <v>359</v>
      </c>
      <c r="GI6" s="76" t="s">
        <v>359</v>
      </c>
      <c r="GJ6" s="76" t="s">
        <v>360</v>
      </c>
      <c r="GK6" s="76" t="s">
        <v>359</v>
      </c>
      <c r="GL6" s="76" t="s">
        <v>359</v>
      </c>
      <c r="GM6" s="112"/>
      <c r="GN6" s="112" t="s">
        <v>282</v>
      </c>
      <c r="GO6" s="55" t="s">
        <v>133</v>
      </c>
      <c r="GP6" s="55" t="s">
        <v>371</v>
      </c>
      <c r="GQ6" s="55" t="s">
        <v>133</v>
      </c>
      <c r="GR6" s="55" t="s">
        <v>366</v>
      </c>
      <c r="GS6" s="55" t="s">
        <v>133</v>
      </c>
      <c r="GT6" s="55" t="s">
        <v>96</v>
      </c>
      <c r="GU6" s="55" t="s">
        <v>374</v>
      </c>
      <c r="GV6" s="112"/>
      <c r="GW6" s="130" t="s">
        <v>98</v>
      </c>
      <c r="GX6" s="129" t="s">
        <v>389</v>
      </c>
      <c r="GY6" s="129" t="s">
        <v>389</v>
      </c>
      <c r="GZ6" s="129"/>
      <c r="HA6" s="130" t="s">
        <v>129</v>
      </c>
      <c r="HB6" s="129" t="s">
        <v>403</v>
      </c>
      <c r="HC6" s="129" t="s">
        <v>403</v>
      </c>
      <c r="HD6" s="143" t="s">
        <v>403</v>
      </c>
      <c r="HE6" s="129"/>
      <c r="HF6" s="130" t="s">
        <v>113</v>
      </c>
      <c r="HG6" s="143" t="s">
        <v>445</v>
      </c>
      <c r="HH6" s="143" t="s">
        <v>445</v>
      </c>
      <c r="HI6" s="143" t="s">
        <v>445</v>
      </c>
      <c r="HJ6" s="143"/>
      <c r="HK6" s="130" t="s">
        <v>121</v>
      </c>
      <c r="HL6" s="143" t="s">
        <v>464</v>
      </c>
      <c r="HM6" s="143" t="s">
        <v>464</v>
      </c>
      <c r="HN6" s="143" t="s">
        <v>464</v>
      </c>
      <c r="HO6" s="143" t="s">
        <v>464</v>
      </c>
      <c r="HP6" s="143"/>
      <c r="HQ6" s="130" t="s">
        <v>190</v>
      </c>
      <c r="HR6" s="143" t="s">
        <v>486</v>
      </c>
      <c r="HS6" s="143" t="s">
        <v>486</v>
      </c>
      <c r="HT6" s="143" t="s">
        <v>486</v>
      </c>
      <c r="HU6" s="143" t="s">
        <v>486</v>
      </c>
      <c r="HV6" s="143"/>
      <c r="HW6" s="130" t="s">
        <v>234</v>
      </c>
      <c r="HX6" s="143" t="s">
        <v>512</v>
      </c>
      <c r="HY6" s="143" t="s">
        <v>512</v>
      </c>
      <c r="HZ6" s="143" t="s">
        <v>512</v>
      </c>
      <c r="IA6" s="143"/>
      <c r="IB6" s="130" t="s">
        <v>234</v>
      </c>
      <c r="IC6" s="165"/>
      <c r="ID6" s="143" t="s">
        <v>523</v>
      </c>
      <c r="IE6" s="143" t="s">
        <v>512</v>
      </c>
      <c r="IF6" s="182" t="s">
        <v>158</v>
      </c>
      <c r="IG6" s="143" t="s">
        <v>536</v>
      </c>
      <c r="IH6" s="143" t="s">
        <v>539</v>
      </c>
    </row>
    <row r="7" spans="1:247" ht="12.75" x14ac:dyDescent="0.2">
      <c r="A7" s="15" t="s">
        <v>1</v>
      </c>
      <c r="B7" s="189"/>
      <c r="C7" s="68" t="s">
        <v>34</v>
      </c>
      <c r="D7" s="14"/>
      <c r="E7" s="9" t="s">
        <v>43</v>
      </c>
      <c r="F7" s="11" t="s">
        <v>94</v>
      </c>
      <c r="G7" s="9" t="s">
        <v>49</v>
      </c>
      <c r="H7" s="16">
        <v>40032</v>
      </c>
      <c r="I7" s="9" t="s">
        <v>58</v>
      </c>
      <c r="J7" s="9" t="s">
        <v>61</v>
      </c>
      <c r="K7" s="111" t="s">
        <v>61</v>
      </c>
      <c r="L7" s="111" t="s">
        <v>61</v>
      </c>
      <c r="M7" s="10" t="s">
        <v>94</v>
      </c>
      <c r="N7" s="11" t="s">
        <v>96</v>
      </c>
      <c r="O7" s="11" t="s">
        <v>68</v>
      </c>
      <c r="P7" s="11" t="s">
        <v>71</v>
      </c>
      <c r="Q7" s="11" t="s">
        <v>75</v>
      </c>
      <c r="R7" s="11" t="s">
        <v>68</v>
      </c>
      <c r="S7" s="11" t="s">
        <v>79</v>
      </c>
      <c r="T7" s="11" t="s">
        <v>87</v>
      </c>
      <c r="U7" s="12" t="s">
        <v>83</v>
      </c>
      <c r="V7" s="11" t="s">
        <v>89</v>
      </c>
      <c r="W7" s="11" t="s">
        <v>68</v>
      </c>
      <c r="X7" s="11" t="s">
        <v>68</v>
      </c>
      <c r="Y7" s="11" t="s">
        <v>68</v>
      </c>
      <c r="Z7" s="11" t="s">
        <v>96</v>
      </c>
      <c r="AA7" s="55" t="s">
        <v>97</v>
      </c>
      <c r="AB7" s="55" t="s">
        <v>68</v>
      </c>
      <c r="AC7" s="55" t="s">
        <v>68</v>
      </c>
      <c r="AD7" s="55" t="s">
        <v>68</v>
      </c>
      <c r="AE7" s="9" t="s">
        <v>109</v>
      </c>
      <c r="AF7" s="9" t="s">
        <v>104</v>
      </c>
      <c r="AG7" s="9" t="s">
        <v>104</v>
      </c>
      <c r="AH7" s="9" t="s">
        <v>68</v>
      </c>
      <c r="AI7" s="9" t="s">
        <v>125</v>
      </c>
      <c r="AJ7" s="55" t="s">
        <v>117</v>
      </c>
      <c r="AK7" s="55" t="s">
        <v>118</v>
      </c>
      <c r="AL7" s="55" t="s">
        <v>118</v>
      </c>
      <c r="AM7" s="55" t="s">
        <v>122</v>
      </c>
      <c r="AN7" s="55" t="s">
        <v>123</v>
      </c>
      <c r="AO7" s="55" t="s">
        <v>123</v>
      </c>
      <c r="AP7" s="55" t="s">
        <v>68</v>
      </c>
      <c r="AQ7" s="55" t="s">
        <v>127</v>
      </c>
      <c r="AR7" s="55" t="s">
        <v>125</v>
      </c>
      <c r="AS7" s="55" t="s">
        <v>135</v>
      </c>
      <c r="AT7" s="55" t="s">
        <v>68</v>
      </c>
      <c r="AU7" s="55" t="s">
        <v>68</v>
      </c>
      <c r="AV7" s="55" t="s">
        <v>158</v>
      </c>
      <c r="AW7" s="55" t="s">
        <v>142</v>
      </c>
      <c r="AX7" s="55" t="s">
        <v>68</v>
      </c>
      <c r="AY7" s="55" t="s">
        <v>144</v>
      </c>
      <c r="AZ7" s="55" t="s">
        <v>146</v>
      </c>
      <c r="BA7" s="55" t="s">
        <v>68</v>
      </c>
      <c r="BB7" s="55" t="s">
        <v>156</v>
      </c>
      <c r="BC7" s="55" t="s">
        <v>156</v>
      </c>
      <c r="BD7" s="55" t="s">
        <v>160</v>
      </c>
      <c r="BE7" s="55" t="s">
        <v>68</v>
      </c>
      <c r="BF7" s="55" t="s">
        <v>68</v>
      </c>
      <c r="BG7" s="55" t="s">
        <v>56</v>
      </c>
      <c r="BH7" s="11" t="s">
        <v>135</v>
      </c>
      <c r="BI7" s="11" t="s">
        <v>163</v>
      </c>
      <c r="BJ7" s="11" t="s">
        <v>164</v>
      </c>
      <c r="BK7" s="11" t="s">
        <v>165</v>
      </c>
      <c r="BL7" s="55" t="s">
        <v>84</v>
      </c>
      <c r="BM7" s="55" t="s">
        <v>239</v>
      </c>
      <c r="BN7" s="55" t="s">
        <v>96</v>
      </c>
      <c r="BO7" s="55" t="s">
        <v>171</v>
      </c>
      <c r="BP7" s="55" t="s">
        <v>68</v>
      </c>
      <c r="BQ7" s="55" t="s">
        <v>179</v>
      </c>
      <c r="BR7" s="55" t="s">
        <v>179</v>
      </c>
      <c r="BS7" s="55" t="s">
        <v>68</v>
      </c>
      <c r="BT7" s="55" t="s">
        <v>181</v>
      </c>
      <c r="BU7" s="55" t="s">
        <v>181</v>
      </c>
      <c r="BV7" s="55" t="s">
        <v>181</v>
      </c>
      <c r="BW7" s="55" t="s">
        <v>68</v>
      </c>
      <c r="BX7" s="55" t="s">
        <v>185</v>
      </c>
      <c r="BY7" s="55" t="s">
        <v>185</v>
      </c>
      <c r="BZ7" s="55" t="s">
        <v>185</v>
      </c>
      <c r="CA7" s="55" t="s">
        <v>68</v>
      </c>
      <c r="CB7" s="55" t="s">
        <v>187</v>
      </c>
      <c r="CC7" s="55" t="s">
        <v>187</v>
      </c>
      <c r="CD7" s="55" t="s">
        <v>187</v>
      </c>
      <c r="CE7" s="55" t="s">
        <v>187</v>
      </c>
      <c r="CF7" s="55" t="s">
        <v>68</v>
      </c>
      <c r="CG7" s="55" t="s">
        <v>191</v>
      </c>
      <c r="CH7" s="55" t="s">
        <v>191</v>
      </c>
      <c r="CI7" s="55" t="s">
        <v>191</v>
      </c>
      <c r="CJ7" s="55" t="s">
        <v>191</v>
      </c>
      <c r="CK7" s="55" t="s">
        <v>227</v>
      </c>
      <c r="CL7" s="55" t="s">
        <v>193</v>
      </c>
      <c r="CM7" s="55" t="s">
        <v>196</v>
      </c>
      <c r="CN7" s="76" t="s">
        <v>194</v>
      </c>
      <c r="CO7" s="55" t="s">
        <v>158</v>
      </c>
      <c r="CP7" s="55" t="s">
        <v>201</v>
      </c>
      <c r="CQ7" s="55" t="s">
        <v>200</v>
      </c>
      <c r="CR7" s="55" t="s">
        <v>68</v>
      </c>
      <c r="CS7" s="55" t="s">
        <v>208</v>
      </c>
      <c r="CT7" s="55" t="s">
        <v>68</v>
      </c>
      <c r="CU7" s="55" t="s">
        <v>211</v>
      </c>
      <c r="CV7" s="55" t="s">
        <v>206</v>
      </c>
      <c r="CW7" s="55" t="s">
        <v>213</v>
      </c>
      <c r="CX7" s="55" t="s">
        <v>68</v>
      </c>
      <c r="CY7" s="55" t="s">
        <v>211</v>
      </c>
      <c r="CZ7" s="55" t="s">
        <v>206</v>
      </c>
      <c r="DA7" s="55" t="s">
        <v>217</v>
      </c>
      <c r="DB7" s="55" t="s">
        <v>68</v>
      </c>
      <c r="DC7" s="76" t="s">
        <v>211</v>
      </c>
      <c r="DD7" s="76" t="s">
        <v>206</v>
      </c>
      <c r="DE7" s="76" t="s">
        <v>217</v>
      </c>
      <c r="DF7" s="76" t="s">
        <v>224</v>
      </c>
      <c r="DG7" s="55" t="s">
        <v>68</v>
      </c>
      <c r="DH7" s="76" t="s">
        <v>211</v>
      </c>
      <c r="DI7" s="76" t="s">
        <v>206</v>
      </c>
      <c r="DJ7" s="76" t="s">
        <v>217</v>
      </c>
      <c r="DK7" s="76" t="s">
        <v>226</v>
      </c>
      <c r="DL7" s="55" t="s">
        <v>229</v>
      </c>
      <c r="DM7" s="55" t="s">
        <v>233</v>
      </c>
      <c r="DN7" s="55"/>
      <c r="DO7" s="55" t="s">
        <v>196</v>
      </c>
      <c r="DP7" s="55"/>
      <c r="DQ7" s="55"/>
      <c r="DR7" s="55" t="s">
        <v>239</v>
      </c>
      <c r="DS7" s="55" t="s">
        <v>241</v>
      </c>
      <c r="DT7" s="55"/>
      <c r="DU7" s="55" t="s">
        <v>239</v>
      </c>
      <c r="DV7" s="55" t="s">
        <v>241</v>
      </c>
      <c r="DW7" s="55" t="s">
        <v>369</v>
      </c>
      <c r="DX7" s="55" t="s">
        <v>68</v>
      </c>
      <c r="DY7" s="55" t="s">
        <v>247</v>
      </c>
      <c r="DZ7" s="55" t="s">
        <v>68</v>
      </c>
      <c r="EA7" s="55" t="s">
        <v>247</v>
      </c>
      <c r="EB7" s="55" t="s">
        <v>255</v>
      </c>
      <c r="EC7" s="60"/>
      <c r="ED7" s="55" t="s">
        <v>68</v>
      </c>
      <c r="EE7" s="55" t="s">
        <v>247</v>
      </c>
      <c r="EF7" s="55" t="s">
        <v>255</v>
      </c>
      <c r="EG7" s="55" t="s">
        <v>260</v>
      </c>
      <c r="EH7" s="55" t="s">
        <v>68</v>
      </c>
      <c r="EI7" s="55" t="s">
        <v>247</v>
      </c>
      <c r="EJ7" s="55" t="s">
        <v>255</v>
      </c>
      <c r="EK7" s="55" t="s">
        <v>262</v>
      </c>
      <c r="EL7" s="55" t="s">
        <v>68</v>
      </c>
      <c r="EM7" s="76" t="s">
        <v>247</v>
      </c>
      <c r="EN7" s="76" t="s">
        <v>255</v>
      </c>
      <c r="EO7" s="76" t="s">
        <v>262</v>
      </c>
      <c r="EP7" s="76" t="s">
        <v>267</v>
      </c>
      <c r="EQ7" s="55" t="s">
        <v>68</v>
      </c>
      <c r="ER7" s="76" t="s">
        <v>247</v>
      </c>
      <c r="ES7" s="76" t="s">
        <v>273</v>
      </c>
      <c r="ET7" s="76" t="s">
        <v>271</v>
      </c>
      <c r="EU7" s="76" t="s">
        <v>270</v>
      </c>
      <c r="EV7" s="55" t="s">
        <v>233</v>
      </c>
      <c r="EW7" s="76" t="s">
        <v>247</v>
      </c>
      <c r="EX7" s="76" t="s">
        <v>276</v>
      </c>
      <c r="EY7" s="76" t="s">
        <v>279</v>
      </c>
      <c r="EZ7" s="93"/>
      <c r="FA7" s="76" t="s">
        <v>247</v>
      </c>
      <c r="FB7" s="76" t="s">
        <v>68</v>
      </c>
      <c r="FC7" s="76" t="s">
        <v>283</v>
      </c>
      <c r="FD7" s="76" t="s">
        <v>289</v>
      </c>
      <c r="FE7" s="76" t="s">
        <v>285</v>
      </c>
      <c r="FF7" s="55" t="s">
        <v>372</v>
      </c>
      <c r="FG7" s="76" t="s">
        <v>287</v>
      </c>
      <c r="FH7" s="76" t="s">
        <v>300</v>
      </c>
      <c r="FI7" s="76"/>
      <c r="FJ7" s="55" t="s">
        <v>68</v>
      </c>
      <c r="FK7" s="76" t="s">
        <v>300</v>
      </c>
      <c r="FL7" s="76" t="s">
        <v>305</v>
      </c>
      <c r="FM7" s="55" t="s">
        <v>68</v>
      </c>
      <c r="FN7" s="76" t="s">
        <v>300</v>
      </c>
      <c r="FO7" s="76" t="s">
        <v>305</v>
      </c>
      <c r="FP7" s="76" t="s">
        <v>312</v>
      </c>
      <c r="FQ7" s="76"/>
      <c r="FR7" s="55" t="s">
        <v>68</v>
      </c>
      <c r="FS7" s="76" t="s">
        <v>300</v>
      </c>
      <c r="FT7" s="76" t="s">
        <v>305</v>
      </c>
      <c r="FU7" s="76" t="s">
        <v>320</v>
      </c>
      <c r="FV7" s="76"/>
      <c r="FW7" s="55" t="s">
        <v>68</v>
      </c>
      <c r="FX7" s="76" t="s">
        <v>300</v>
      </c>
      <c r="FY7" s="76" t="s">
        <v>305</v>
      </c>
      <c r="FZ7" s="76" t="s">
        <v>320</v>
      </c>
      <c r="GA7" s="76" t="s">
        <v>337</v>
      </c>
      <c r="GB7" s="107"/>
      <c r="GC7" s="55" t="s">
        <v>68</v>
      </c>
      <c r="GD7" s="55" t="s">
        <v>229</v>
      </c>
      <c r="GE7" s="55" t="s">
        <v>365</v>
      </c>
      <c r="GF7" s="55" t="s">
        <v>350</v>
      </c>
      <c r="GG7" s="55"/>
      <c r="GH7" s="76" t="s">
        <v>300</v>
      </c>
      <c r="GI7" s="76" t="s">
        <v>305</v>
      </c>
      <c r="GJ7" s="76" t="s">
        <v>320</v>
      </c>
      <c r="GK7" s="76" t="s">
        <v>346</v>
      </c>
      <c r="GL7" s="76" t="s">
        <v>349</v>
      </c>
      <c r="GM7" s="107"/>
      <c r="GN7" s="112" t="s">
        <v>68</v>
      </c>
      <c r="GO7" s="55" t="s">
        <v>368</v>
      </c>
      <c r="GP7" s="55"/>
      <c r="GQ7" s="122" t="s">
        <v>361</v>
      </c>
      <c r="GR7" s="122"/>
      <c r="GS7" s="112" t="s">
        <v>367</v>
      </c>
      <c r="GT7" s="130" t="s">
        <v>68</v>
      </c>
      <c r="GU7" s="112" t="s">
        <v>375</v>
      </c>
      <c r="GV7" s="115"/>
      <c r="GW7" s="130" t="s">
        <v>68</v>
      </c>
      <c r="GX7" s="129" t="s">
        <v>375</v>
      </c>
      <c r="GY7" s="129" t="s">
        <v>390</v>
      </c>
      <c r="GZ7" s="129"/>
      <c r="HA7" s="130" t="s">
        <v>68</v>
      </c>
      <c r="HB7" s="129" t="s">
        <v>375</v>
      </c>
      <c r="HC7" s="129" t="s">
        <v>390</v>
      </c>
      <c r="HD7" s="143" t="s">
        <v>423</v>
      </c>
      <c r="HE7" s="129"/>
      <c r="HF7" s="130" t="s">
        <v>68</v>
      </c>
      <c r="HG7" s="143" t="s">
        <v>375</v>
      </c>
      <c r="HH7" s="130" t="s">
        <v>390</v>
      </c>
      <c r="HI7" s="130" t="s">
        <v>446</v>
      </c>
      <c r="HJ7" s="143"/>
      <c r="HK7" s="130" t="s">
        <v>68</v>
      </c>
      <c r="HL7" s="143" t="s">
        <v>375</v>
      </c>
      <c r="HM7" s="130" t="s">
        <v>390</v>
      </c>
      <c r="HN7" s="130" t="s">
        <v>446</v>
      </c>
      <c r="HO7" s="130" t="s">
        <v>463</v>
      </c>
      <c r="HP7" s="143"/>
      <c r="HQ7" s="130" t="s">
        <v>68</v>
      </c>
      <c r="HR7" s="143" t="s">
        <v>375</v>
      </c>
      <c r="HS7" s="130" t="s">
        <v>390</v>
      </c>
      <c r="HT7" s="130" t="s">
        <v>446</v>
      </c>
      <c r="HU7" s="130" t="s">
        <v>487</v>
      </c>
      <c r="HV7" s="143"/>
      <c r="HW7" s="130" t="s">
        <v>511</v>
      </c>
      <c r="HX7" s="143" t="s">
        <v>375</v>
      </c>
      <c r="HY7" s="143" t="s">
        <v>390</v>
      </c>
      <c r="HZ7" s="143" t="s">
        <v>513</v>
      </c>
      <c r="IA7" s="143"/>
      <c r="IB7" s="130" t="s">
        <v>521</v>
      </c>
      <c r="IC7" s="165"/>
      <c r="ID7" s="143"/>
      <c r="IE7" s="143" t="s">
        <v>375</v>
      </c>
      <c r="IF7" s="182" t="s">
        <v>68</v>
      </c>
      <c r="IG7" s="143" t="s">
        <v>537</v>
      </c>
      <c r="IH7" s="143"/>
    </row>
    <row r="8" spans="1:247" ht="60" x14ac:dyDescent="0.2">
      <c r="A8" s="39" t="s">
        <v>21</v>
      </c>
      <c r="B8" s="18"/>
      <c r="C8" s="51" t="s">
        <v>237</v>
      </c>
      <c r="D8" s="20">
        <v>13612790</v>
      </c>
      <c r="E8" s="21">
        <v>16780047</v>
      </c>
      <c r="F8" s="21">
        <v>15813844</v>
      </c>
      <c r="G8" s="21">
        <v>13750821</v>
      </c>
      <c r="H8" s="21"/>
      <c r="I8" s="21">
        <f t="shared" ref="I8:I56" si="0">SUM(G8:H8)</f>
        <v>13750821</v>
      </c>
      <c r="J8" s="22">
        <v>-581934</v>
      </c>
      <c r="K8" s="22"/>
      <c r="L8" s="22">
        <f t="shared" ref="L8:L56" si="1">SUM(J8:K8)</f>
        <v>-581934</v>
      </c>
      <c r="M8" s="23">
        <f>L8+I8</f>
        <v>13168887</v>
      </c>
      <c r="N8" s="23">
        <v>13169128</v>
      </c>
      <c r="O8" s="23">
        <v>13031114</v>
      </c>
      <c r="P8" s="23">
        <v>13131114</v>
      </c>
      <c r="Q8" s="23">
        <v>13100000</v>
      </c>
      <c r="R8" s="23">
        <v>13165557</v>
      </c>
      <c r="S8" s="23">
        <v>1.7809999999999999E-2</v>
      </c>
      <c r="T8" s="23">
        <f>-S8*R8</f>
        <v>-234478.57016999999</v>
      </c>
      <c r="U8" s="23">
        <f>R8+T8</f>
        <v>12931078.42983</v>
      </c>
      <c r="V8" s="23">
        <f t="shared" ref="V8:V45" si="2">U8-M8</f>
        <v>-237808.5701700002</v>
      </c>
      <c r="W8" s="24">
        <v>12767009</v>
      </c>
      <c r="X8" s="24"/>
      <c r="Y8" s="24">
        <f>W8+X8</f>
        <v>12767009</v>
      </c>
      <c r="Z8" s="25">
        <v>12767009</v>
      </c>
      <c r="AA8" s="25">
        <f>(Z8-W8)</f>
        <v>0</v>
      </c>
      <c r="AB8" s="25">
        <v>12767009</v>
      </c>
      <c r="AC8" s="25">
        <v>12767009</v>
      </c>
      <c r="AD8" s="26">
        <v>12511669</v>
      </c>
      <c r="AE8" s="25"/>
      <c r="AF8" s="25"/>
      <c r="AG8" s="25"/>
      <c r="AH8" s="26">
        <v>12511669</v>
      </c>
      <c r="AI8" s="26">
        <v>12767009</v>
      </c>
      <c r="AJ8" s="25">
        <f t="shared" ref="AJ8:AJ12" si="3">AD8-W8</f>
        <v>-255340</v>
      </c>
      <c r="AK8" s="25">
        <f>AD8-Z8</f>
        <v>-255340</v>
      </c>
      <c r="AL8" s="25">
        <f>AD8-AC8</f>
        <v>-255340</v>
      </c>
      <c r="AM8" s="26">
        <f>AH8-W8</f>
        <v>-255340</v>
      </c>
      <c r="AN8" s="26">
        <f>AH8-Z8</f>
        <v>-255340</v>
      </c>
      <c r="AO8" s="26">
        <f t="shared" ref="AO8:AO57" si="4">AH8-AC8</f>
        <v>-255340</v>
      </c>
      <c r="AP8" s="25">
        <v>12767009</v>
      </c>
      <c r="AQ8" s="25">
        <f t="shared" ref="AQ8:AQ57" si="5">AI8-W8-X8</f>
        <v>0</v>
      </c>
      <c r="AR8" s="25">
        <f>AI8-Z8</f>
        <v>0</v>
      </c>
      <c r="AS8" s="25">
        <f>AP8-W8-X8</f>
        <v>0</v>
      </c>
      <c r="AT8" s="25"/>
      <c r="AU8" s="25">
        <f>AP8+AT8</f>
        <v>12767009</v>
      </c>
      <c r="AV8" s="25">
        <v>13424188</v>
      </c>
      <c r="AW8" s="25">
        <f>AV8-(AP8+AT8)</f>
        <v>657179</v>
      </c>
      <c r="AX8" s="25">
        <v>13036906</v>
      </c>
      <c r="AY8" s="26">
        <f>AX8-AP8-AT8</f>
        <v>269897</v>
      </c>
      <c r="AZ8" s="26">
        <f>AX8-AV8</f>
        <v>-387282</v>
      </c>
      <c r="BA8" s="25">
        <v>13424188</v>
      </c>
      <c r="BB8" s="25">
        <f>BA8-AP8-AT8</f>
        <v>657179</v>
      </c>
      <c r="BC8" s="25">
        <f>BA8-AV8</f>
        <v>0</v>
      </c>
      <c r="BD8" s="25">
        <f>BA8-AX8</f>
        <v>387282</v>
      </c>
      <c r="BE8" s="25">
        <v>13444988</v>
      </c>
      <c r="BF8" s="25">
        <v>13694988</v>
      </c>
      <c r="BG8" s="25">
        <v>13694988</v>
      </c>
      <c r="BH8" s="25">
        <f>+BF8-AU8</f>
        <v>927979</v>
      </c>
      <c r="BI8" s="25">
        <f>+BF8-AV8</f>
        <v>270800</v>
      </c>
      <c r="BJ8" s="25">
        <f>+BF8-BA8</f>
        <v>270800</v>
      </c>
      <c r="BK8" s="8">
        <f>+BF8-BE8</f>
        <v>250000</v>
      </c>
      <c r="BL8" s="25">
        <v>75000</v>
      </c>
      <c r="BM8" s="25">
        <f>BG8-BL8</f>
        <v>13619988</v>
      </c>
      <c r="BN8" s="37">
        <v>13892387</v>
      </c>
      <c r="BO8" s="26">
        <f>BN8-BM8</f>
        <v>272399</v>
      </c>
      <c r="BP8" s="37">
        <v>13837895</v>
      </c>
      <c r="BQ8" s="8">
        <f>BP8-BM8</f>
        <v>217907</v>
      </c>
      <c r="BR8" s="8">
        <f>BP8-BN8</f>
        <v>-54492</v>
      </c>
      <c r="BS8" s="37">
        <v>14438400</v>
      </c>
      <c r="BT8" s="40">
        <f>BS8-BM8</f>
        <v>818412</v>
      </c>
      <c r="BU8" s="40">
        <f>BS8-BN8</f>
        <v>546013</v>
      </c>
      <c r="BV8" s="40">
        <f>BS8-BP8</f>
        <v>600505</v>
      </c>
      <c r="BW8" s="38">
        <v>13837895</v>
      </c>
      <c r="BX8" s="8">
        <f>BW8-BM8</f>
        <v>217907</v>
      </c>
      <c r="BY8" s="8">
        <f>BW8-BN8</f>
        <v>-54492</v>
      </c>
      <c r="BZ8" s="8">
        <f>BW8-BS8</f>
        <v>-600505</v>
      </c>
      <c r="CA8" s="38">
        <f>13837895+50000</f>
        <v>13887895</v>
      </c>
      <c r="CB8" s="8">
        <f>CA8-BM8</f>
        <v>267907</v>
      </c>
      <c r="CC8" s="8">
        <f>CA8-BN8</f>
        <v>-4492</v>
      </c>
      <c r="CD8" s="8">
        <f t="shared" ref="CD8:CD57" si="6">CA8-BS8</f>
        <v>-550505</v>
      </c>
      <c r="CE8" s="8">
        <f>CA8-BW8</f>
        <v>50000</v>
      </c>
      <c r="CF8" s="38">
        <v>14463400</v>
      </c>
      <c r="CG8" s="8">
        <f>CF8-BM8</f>
        <v>843412</v>
      </c>
      <c r="CH8" s="8">
        <f>CF8-BN8</f>
        <v>571013</v>
      </c>
      <c r="CI8" s="8">
        <f>CF8-BS8</f>
        <v>25000</v>
      </c>
      <c r="CJ8" s="8">
        <f>CF8-CA8</f>
        <v>575505</v>
      </c>
      <c r="CK8" s="38">
        <f>14463400+30000</f>
        <v>14493400</v>
      </c>
      <c r="CL8" s="8">
        <f t="shared" ref="CL8:CL58" si="7">CK8-BM8</f>
        <v>873412</v>
      </c>
      <c r="CM8" s="8">
        <f>CK8-BN8</f>
        <v>601013</v>
      </c>
      <c r="CN8" s="8">
        <f>CK8-CF8</f>
        <v>30000</v>
      </c>
      <c r="CO8" s="38">
        <v>13258242</v>
      </c>
      <c r="CP8" s="38">
        <f>CO8-BN8</f>
        <v>-634145</v>
      </c>
      <c r="CQ8" s="8">
        <f>CO8-CK8</f>
        <v>-1235158</v>
      </c>
      <c r="CR8" s="38">
        <v>13258243</v>
      </c>
      <c r="CS8" s="27">
        <v>270414</v>
      </c>
      <c r="CT8" s="38">
        <f>+CS8+CR8</f>
        <v>13528657</v>
      </c>
      <c r="CU8" s="8">
        <f>CT8-CK8</f>
        <v>-964743</v>
      </c>
      <c r="CV8" s="38">
        <f>CT8-CO8</f>
        <v>270415</v>
      </c>
      <c r="CW8" s="38">
        <f>CT8-CR8</f>
        <v>270414</v>
      </c>
      <c r="CX8" s="38">
        <v>13150714</v>
      </c>
      <c r="CY8" s="8">
        <f>CX8-CK8</f>
        <v>-1342686</v>
      </c>
      <c r="CZ8" s="38">
        <f>CX8-CO8</f>
        <v>-107528</v>
      </c>
      <c r="DA8" s="38">
        <f>CX8-CT8</f>
        <v>-377943</v>
      </c>
      <c r="DB8" s="38">
        <v>13150714</v>
      </c>
      <c r="DC8" s="8">
        <f>DB8-CK8</f>
        <v>-1342686</v>
      </c>
      <c r="DD8" s="38">
        <f>DB8-CO8</f>
        <v>-107528</v>
      </c>
      <c r="DE8" s="38">
        <f>DB8-CT8</f>
        <v>-377943</v>
      </c>
      <c r="DF8" s="38">
        <f>DB8-CX8</f>
        <v>0</v>
      </c>
      <c r="DG8" s="38">
        <v>13778657</v>
      </c>
      <c r="DH8" s="40">
        <f>DG8-CK8</f>
        <v>-714743</v>
      </c>
      <c r="DI8" s="38">
        <f>DG8-CO8</f>
        <v>520415</v>
      </c>
      <c r="DJ8" s="38">
        <f>DG8-CT8</f>
        <v>250000</v>
      </c>
      <c r="DK8" s="38">
        <f>DG8-DB8</f>
        <v>627943</v>
      </c>
      <c r="DL8" s="38">
        <f>-60000-100000-250000-25000</f>
        <v>-435000</v>
      </c>
      <c r="DM8" s="38">
        <f>SUM(DG8+DL8)</f>
        <v>13343657</v>
      </c>
      <c r="DN8" s="38">
        <v>13778657</v>
      </c>
      <c r="DO8" s="38">
        <f>DN8-CK8</f>
        <v>-714743</v>
      </c>
      <c r="DP8" s="38">
        <v>100000</v>
      </c>
      <c r="DQ8" s="38">
        <v>-438538</v>
      </c>
      <c r="DR8" s="38">
        <f>DN8+DP8+DQ8</f>
        <v>13440119</v>
      </c>
      <c r="DS8" s="38">
        <f>DR8-CK8</f>
        <v>-1053281</v>
      </c>
      <c r="DT8" s="38">
        <v>-380193</v>
      </c>
      <c r="DU8" s="38">
        <f>DR8+DT8</f>
        <v>13059926</v>
      </c>
      <c r="DV8" s="38">
        <f>DU8-CK8</f>
        <v>-1433474</v>
      </c>
      <c r="DW8" s="38">
        <v>13059926</v>
      </c>
      <c r="DX8" s="38">
        <v>13425797</v>
      </c>
      <c r="DY8" s="8">
        <f>DX8-DU8</f>
        <v>365871</v>
      </c>
      <c r="DZ8" s="40">
        <v>13237522</v>
      </c>
      <c r="EA8" s="8">
        <f>DZ8-DU8</f>
        <v>177596</v>
      </c>
      <c r="EB8" s="8">
        <f>DZ8-DX8</f>
        <v>-188275</v>
      </c>
      <c r="EC8" s="60"/>
      <c r="ED8" s="37">
        <v>13857522</v>
      </c>
      <c r="EE8" s="25">
        <f>ED8-DU8</f>
        <v>797596</v>
      </c>
      <c r="EF8" s="25">
        <f>ED8-DX8</f>
        <v>431725</v>
      </c>
      <c r="EG8" s="25">
        <f>ED8-DZ8</f>
        <v>620000</v>
      </c>
      <c r="EH8" s="37">
        <v>13625797</v>
      </c>
      <c r="EI8" s="25">
        <f>EH8-DU8</f>
        <v>565871</v>
      </c>
      <c r="EJ8" s="25">
        <f>EH8-DX8</f>
        <v>200000</v>
      </c>
      <c r="EK8" s="25">
        <f>EH8-ED8</f>
        <v>-231725</v>
      </c>
      <c r="EL8" s="37">
        <f>13625797+220000</f>
        <v>13845797</v>
      </c>
      <c r="EM8" s="25">
        <f>EL8-DU8</f>
        <v>785871</v>
      </c>
      <c r="EN8" s="25">
        <f>EL8-DX8</f>
        <v>420000</v>
      </c>
      <c r="EO8" s="25">
        <f>EL8-ED8</f>
        <v>-11725</v>
      </c>
      <c r="EP8" s="25">
        <f>EL8-EH8</f>
        <v>220000</v>
      </c>
      <c r="EQ8" s="37">
        <v>14442522</v>
      </c>
      <c r="ER8" s="25">
        <f>EQ8-DW8</f>
        <v>1382596</v>
      </c>
      <c r="ES8" s="25">
        <f>EQ8-DX8</f>
        <v>1016725</v>
      </c>
      <c r="ET8" s="25">
        <f>EQ8-ED8</f>
        <v>585000</v>
      </c>
      <c r="EU8" s="25">
        <f>EQ8-EL8</f>
        <v>596725</v>
      </c>
      <c r="EV8" s="37">
        <f>14442522-1193000</f>
        <v>13249522</v>
      </c>
      <c r="EW8" s="25">
        <f>EV8-DW8</f>
        <v>189596</v>
      </c>
      <c r="EX8" s="25">
        <f>EV8-EQ8</f>
        <v>-1193000</v>
      </c>
      <c r="EY8" s="25">
        <f t="shared" ref="EY8:EY41" si="8">EZ8-EV8</f>
        <v>1193000</v>
      </c>
      <c r="EZ8" s="37">
        <f>14442522</f>
        <v>14442522</v>
      </c>
      <c r="FA8" s="25">
        <f>EZ8-DW8</f>
        <v>1382596</v>
      </c>
      <c r="FB8" s="25">
        <v>108715</v>
      </c>
      <c r="FC8" s="25">
        <f>EZ8+FB8</f>
        <v>14551237</v>
      </c>
      <c r="FD8" s="25">
        <f>13562342-14551237+108715</f>
        <v>-880180</v>
      </c>
      <c r="FE8" s="25">
        <v>-75000</v>
      </c>
      <c r="FF8" s="25">
        <f>FC8+FE8+FD8</f>
        <v>13596057</v>
      </c>
      <c r="FG8" s="37">
        <v>12270245</v>
      </c>
      <c r="FH8" s="25">
        <f>FG8-FF8</f>
        <v>-1325812</v>
      </c>
      <c r="FI8" s="37" t="s">
        <v>292</v>
      </c>
      <c r="FJ8" s="37">
        <v>12270245</v>
      </c>
      <c r="FK8" s="37">
        <f>FJ8-FF8</f>
        <v>-1325812</v>
      </c>
      <c r="FL8" s="37">
        <f>FJ8-FG8</f>
        <v>0</v>
      </c>
      <c r="FM8" s="37">
        <v>13608245</v>
      </c>
      <c r="FN8" s="37">
        <f>FM8-FF8</f>
        <v>12188</v>
      </c>
      <c r="FO8" s="37">
        <f>FM8-FG8</f>
        <v>1338000</v>
      </c>
      <c r="FP8" s="37">
        <f>FM8-FJ8</f>
        <v>1338000</v>
      </c>
      <c r="FQ8" s="37" t="s">
        <v>307</v>
      </c>
      <c r="FR8" s="37">
        <v>12820245</v>
      </c>
      <c r="FS8" s="37">
        <f>FR8-FF8</f>
        <v>-775812</v>
      </c>
      <c r="FT8" s="37">
        <f>FR8-FG8</f>
        <v>550000</v>
      </c>
      <c r="FU8" s="37">
        <f>FR8-FM8</f>
        <v>-788000</v>
      </c>
      <c r="FV8" s="101" t="s">
        <v>335</v>
      </c>
      <c r="FW8" s="37">
        <v>13675539</v>
      </c>
      <c r="FX8" s="37">
        <f>FW8-FF8</f>
        <v>79482</v>
      </c>
      <c r="FY8" s="37">
        <f>FW8-FG8</f>
        <v>1405294</v>
      </c>
      <c r="FZ8" s="37">
        <f>FW8-FM8</f>
        <v>67294</v>
      </c>
      <c r="GA8" s="37">
        <f>FW8-FR8</f>
        <v>855294</v>
      </c>
      <c r="GB8" s="107" t="s">
        <v>342</v>
      </c>
      <c r="GC8" s="37">
        <v>14352257</v>
      </c>
      <c r="GD8" s="26">
        <v>-2160294</v>
      </c>
      <c r="GE8" s="37">
        <f>+GC8+GD8</f>
        <v>12191963</v>
      </c>
      <c r="GF8" s="38">
        <v>2160294</v>
      </c>
      <c r="GG8" s="37">
        <f>+GE8+GF8</f>
        <v>14352257</v>
      </c>
      <c r="GH8" s="26">
        <f t="shared" ref="GH8:GH39" si="9">+GG8-FF8</f>
        <v>756200</v>
      </c>
      <c r="GI8" s="37">
        <f t="shared" ref="GI8:GI39" si="10">+GG8-FG8</f>
        <v>2082012</v>
      </c>
      <c r="GJ8" s="37">
        <f t="shared" ref="GJ8:GJ39" si="11">+GG8-FM8</f>
        <v>744012</v>
      </c>
      <c r="GK8" s="37">
        <f t="shared" ref="GK8:GK39" si="12">+GG8-FW8</f>
        <v>676718</v>
      </c>
      <c r="GL8" s="37">
        <f t="shared" ref="GL8:GL39" si="13">+GG8-GC8</f>
        <v>0</v>
      </c>
      <c r="GM8" s="107" t="s">
        <v>352</v>
      </c>
      <c r="GN8" s="115"/>
      <c r="GO8" s="113">
        <f>GG8+GN8</f>
        <v>14352257</v>
      </c>
      <c r="GP8" s="113"/>
      <c r="GQ8" s="113">
        <f>GO8+GP8</f>
        <v>14352257</v>
      </c>
      <c r="GR8" s="113">
        <v>-1878844</v>
      </c>
      <c r="GS8" s="128">
        <v>12473413</v>
      </c>
      <c r="GT8" s="128">
        <v>11769863</v>
      </c>
      <c r="GU8" s="123">
        <f>GT8-GS8</f>
        <v>-703550</v>
      </c>
      <c r="GV8" s="115" t="s">
        <v>384</v>
      </c>
      <c r="GW8" s="99">
        <v>11769864</v>
      </c>
      <c r="GX8" s="128">
        <f>GW8-GS8</f>
        <v>-703549</v>
      </c>
      <c r="GY8" s="128">
        <f>GW8-GT8</f>
        <v>1</v>
      </c>
      <c r="GZ8" s="115" t="s">
        <v>384</v>
      </c>
      <c r="HA8" s="99">
        <f>11769864+1690000</f>
        <v>13459864</v>
      </c>
      <c r="HB8" s="128">
        <f>HA8-GS8</f>
        <v>986451</v>
      </c>
      <c r="HC8" s="128">
        <f>HA8-GT8</f>
        <v>1690001</v>
      </c>
      <c r="HD8" s="128">
        <f>HA8-GW8</f>
        <v>1690000</v>
      </c>
      <c r="HE8" s="115" t="s">
        <v>409</v>
      </c>
      <c r="HF8" s="99">
        <v>12369863</v>
      </c>
      <c r="HG8" s="128">
        <f>HF8-GS8</f>
        <v>-103550</v>
      </c>
      <c r="HH8" s="128">
        <f>HF8-GT8</f>
        <v>600000</v>
      </c>
      <c r="HI8" s="128">
        <f>HF8-HA8</f>
        <v>-1090001</v>
      </c>
      <c r="HJ8" s="115" t="s">
        <v>450</v>
      </c>
      <c r="HK8" s="99">
        <f>12369863+400000</f>
        <v>12769863</v>
      </c>
      <c r="HL8" s="128">
        <f>HK8-GS8</f>
        <v>296450</v>
      </c>
      <c r="HM8" s="128">
        <f>HK8-GT8</f>
        <v>1000000</v>
      </c>
      <c r="HN8" s="128">
        <f>HK8-HA8</f>
        <v>-690001</v>
      </c>
      <c r="HO8" s="128">
        <f>HK8-HF8</f>
        <v>400000</v>
      </c>
      <c r="HP8" s="115" t="s">
        <v>481</v>
      </c>
      <c r="HQ8" s="99">
        <v>14103767</v>
      </c>
      <c r="HR8" s="128">
        <f t="shared" ref="HR8:HR26" si="14">HQ8-GS8</f>
        <v>1630354</v>
      </c>
      <c r="HS8" s="128">
        <f t="shared" ref="HS8:HS39" si="15">HQ8-GT8</f>
        <v>2333904</v>
      </c>
      <c r="HT8" s="128">
        <f t="shared" ref="HT8:HT39" si="16">HQ8-HA8</f>
        <v>643903</v>
      </c>
      <c r="HU8" s="128">
        <f t="shared" ref="HU8:HU39" si="17">HQ8-HK8</f>
        <v>1333904</v>
      </c>
      <c r="HV8" s="160" t="s">
        <v>495</v>
      </c>
      <c r="HW8" s="99">
        <v>11663767</v>
      </c>
      <c r="HX8" s="128">
        <f t="shared" ref="HX8:HX39" si="18">HW8-GS8</f>
        <v>-809646</v>
      </c>
      <c r="HY8" s="128">
        <f t="shared" ref="HY8:HY39" si="19">HW8-GT8</f>
        <v>-106096</v>
      </c>
      <c r="HZ8" s="128">
        <f>HW8-HQ8</f>
        <v>-2440000</v>
      </c>
      <c r="IA8" s="160" t="s">
        <v>514</v>
      </c>
      <c r="IB8" s="99">
        <v>14103767</v>
      </c>
      <c r="IC8" s="166" t="s">
        <v>495</v>
      </c>
      <c r="ID8" s="128">
        <f t="shared" ref="ID8:ID38" si="20">IB8</f>
        <v>14103767</v>
      </c>
      <c r="IE8" s="164">
        <f t="shared" ref="IE8:IE47" si="21">ID8-GS8</f>
        <v>1630354</v>
      </c>
      <c r="IF8" s="185">
        <v>11323745</v>
      </c>
      <c r="IG8" s="40">
        <f>IF8-ID8</f>
        <v>-2780022</v>
      </c>
      <c r="IH8" s="115" t="s">
        <v>549</v>
      </c>
      <c r="IK8" s="3"/>
      <c r="IM8" s="3"/>
    </row>
    <row r="9" spans="1:247" ht="12.75" x14ac:dyDescent="0.2">
      <c r="A9" s="19" t="s">
        <v>14</v>
      </c>
      <c r="B9" s="19"/>
      <c r="C9" s="52" t="s">
        <v>57</v>
      </c>
      <c r="D9" s="20">
        <v>20615313</v>
      </c>
      <c r="E9" s="21">
        <v>21615313</v>
      </c>
      <c r="F9" s="21">
        <v>19345224</v>
      </c>
      <c r="G9" s="21">
        <v>18491758</v>
      </c>
      <c r="H9" s="21"/>
      <c r="I9" s="21">
        <f t="shared" si="0"/>
        <v>18491758</v>
      </c>
      <c r="J9" s="22"/>
      <c r="K9" s="22"/>
      <c r="L9" s="22">
        <f t="shared" si="1"/>
        <v>0</v>
      </c>
      <c r="M9" s="23">
        <f t="shared" ref="M9:M56" si="22">L9+I9</f>
        <v>18491758</v>
      </c>
      <c r="N9" s="23">
        <f>M9+J9</f>
        <v>18491758</v>
      </c>
      <c r="O9" s="23">
        <v>17642582</v>
      </c>
      <c r="P9" s="23">
        <v>17642582</v>
      </c>
      <c r="Q9" s="23">
        <v>17642582</v>
      </c>
      <c r="R9" s="23">
        <v>17642582</v>
      </c>
      <c r="S9" s="23">
        <v>0</v>
      </c>
      <c r="T9" s="23">
        <f>-S9*R9</f>
        <v>0</v>
      </c>
      <c r="U9" s="23">
        <f>R9+T9</f>
        <v>17642582</v>
      </c>
      <c r="V9" s="23">
        <f t="shared" si="2"/>
        <v>-849176</v>
      </c>
      <c r="W9" s="24">
        <v>17642582</v>
      </c>
      <c r="X9" s="24"/>
      <c r="Y9" s="24">
        <f t="shared" ref="Y9:Y57" si="23">W9+X9</f>
        <v>17642582</v>
      </c>
      <c r="Z9" s="25">
        <v>17642582</v>
      </c>
      <c r="AA9" s="25">
        <f t="shared" ref="AA9:AA56" si="24">(Z9-W9)</f>
        <v>0</v>
      </c>
      <c r="AB9" s="25">
        <v>16142582</v>
      </c>
      <c r="AC9" s="25">
        <v>17642582</v>
      </c>
      <c r="AD9" s="26">
        <v>16999730</v>
      </c>
      <c r="AE9" s="25">
        <f>AC9-AB9</f>
        <v>1500000</v>
      </c>
      <c r="AF9" s="25"/>
      <c r="AG9" s="25"/>
      <c r="AH9" s="27">
        <v>17642582</v>
      </c>
      <c r="AI9" s="27">
        <v>17642582</v>
      </c>
      <c r="AJ9" s="25">
        <f t="shared" si="3"/>
        <v>-642852</v>
      </c>
      <c r="AK9" s="25">
        <f t="shared" ref="AK9:AK57" si="25">AD9-Z9</f>
        <v>-642852</v>
      </c>
      <c r="AL9" s="25">
        <f t="shared" ref="AL9:AL57" si="26">AD9-AC9</f>
        <v>-642852</v>
      </c>
      <c r="AM9" s="26">
        <f t="shared" ref="AM9:AM57" si="27">AH9-W9</f>
        <v>0</v>
      </c>
      <c r="AN9" s="26">
        <f t="shared" ref="AN9:AN57" si="28">AH9-Z9</f>
        <v>0</v>
      </c>
      <c r="AO9" s="26">
        <f t="shared" si="4"/>
        <v>0</v>
      </c>
      <c r="AP9" s="25">
        <v>17642582</v>
      </c>
      <c r="AQ9" s="25">
        <f t="shared" si="5"/>
        <v>0</v>
      </c>
      <c r="AR9" s="25">
        <f t="shared" ref="AR9:AR57" si="29">AI9-Z9</f>
        <v>0</v>
      </c>
      <c r="AS9" s="25">
        <f t="shared" ref="AS9:AS57" si="30">AP9-W9-X9</f>
        <v>0</v>
      </c>
      <c r="AT9" s="25"/>
      <c r="AU9" s="25">
        <f t="shared" ref="AU9:AU57" si="31">AP9+AT9</f>
        <v>17642582</v>
      </c>
      <c r="AV9" s="25">
        <v>17642582</v>
      </c>
      <c r="AW9" s="25">
        <f t="shared" ref="AW9:AW57" si="32">AV9-(AP9+AT9)</f>
        <v>0</v>
      </c>
      <c r="AX9" s="25">
        <v>16642582</v>
      </c>
      <c r="AY9" s="26">
        <f>AX9-AP9-AT9</f>
        <v>-1000000</v>
      </c>
      <c r="AZ9" s="26">
        <f>AX9-AV9</f>
        <v>-1000000</v>
      </c>
      <c r="BA9" s="25">
        <v>18142582</v>
      </c>
      <c r="BB9" s="25">
        <f t="shared" ref="BB9:BB57" si="33">BA9-AP9-AT9</f>
        <v>500000</v>
      </c>
      <c r="BC9" s="25">
        <f t="shared" ref="BC9:BC57" si="34">BA9-AV9</f>
        <v>500000</v>
      </c>
      <c r="BD9" s="25">
        <f t="shared" ref="BD9:BD57" si="35">BA9-AX9</f>
        <v>1500000</v>
      </c>
      <c r="BE9" s="25">
        <f>16892582+1000000</f>
        <v>17892582</v>
      </c>
      <c r="BF9" s="25">
        <v>18142582</v>
      </c>
      <c r="BG9" s="25">
        <v>18142582</v>
      </c>
      <c r="BH9" s="25">
        <f t="shared" ref="BH9:BH57" si="36">+BF9-AU9</f>
        <v>500000</v>
      </c>
      <c r="BI9" s="25">
        <f t="shared" ref="BI9:BI57" si="37">+BF9-AV9</f>
        <v>500000</v>
      </c>
      <c r="BJ9" s="25">
        <f t="shared" ref="BJ9:BJ57" si="38">+BF9-BA9</f>
        <v>0</v>
      </c>
      <c r="BK9" s="8">
        <f t="shared" ref="BK9:BK57" si="39">+BF9-BE9</f>
        <v>250000</v>
      </c>
      <c r="BL9" s="25"/>
      <c r="BM9" s="25">
        <f t="shared" ref="BM9:BM57" si="40">BG9-BL9</f>
        <v>18142582</v>
      </c>
      <c r="BN9" s="37">
        <v>18142582</v>
      </c>
      <c r="BO9" s="26">
        <f t="shared" ref="BO9:BO57" si="41">BN9-BM9</f>
        <v>0</v>
      </c>
      <c r="BP9" s="37">
        <v>17142582</v>
      </c>
      <c r="BQ9" s="8">
        <f t="shared" ref="BQ9:BQ57" si="42">BP9-BM9</f>
        <v>-1000000</v>
      </c>
      <c r="BR9" s="8">
        <f t="shared" ref="BR9:BR57" si="43">BP9-BN9</f>
        <v>-1000000</v>
      </c>
      <c r="BS9" s="37">
        <v>18642582</v>
      </c>
      <c r="BT9" s="40">
        <f t="shared" ref="BT9:BT57" si="44">BS9-BM9</f>
        <v>500000</v>
      </c>
      <c r="BU9" s="40">
        <f t="shared" ref="BU9:BU57" si="45">BS9-BN9</f>
        <v>500000</v>
      </c>
      <c r="BV9" s="40">
        <f t="shared" ref="BV9:BV57" si="46">BS9-BP9</f>
        <v>1500000</v>
      </c>
      <c r="BW9" s="38">
        <v>17142582</v>
      </c>
      <c r="BX9" s="8">
        <f t="shared" ref="BX9:BX57" si="47">BW9-BM9</f>
        <v>-1000000</v>
      </c>
      <c r="BY9" s="8">
        <f t="shared" ref="BY9:BY57" si="48">BW9-BN9</f>
        <v>-1000000</v>
      </c>
      <c r="BZ9" s="8">
        <f t="shared" ref="BZ9:BZ57" si="49">BW9-BS9</f>
        <v>-1500000</v>
      </c>
      <c r="CA9" s="38">
        <f>17142582+1000000</f>
        <v>18142582</v>
      </c>
      <c r="CB9" s="8">
        <f t="shared" ref="CB9:CB57" si="50">CA9-BM9</f>
        <v>0</v>
      </c>
      <c r="CC9" s="8">
        <f t="shared" ref="CC9:CC57" si="51">CA9-BN9</f>
        <v>0</v>
      </c>
      <c r="CD9" s="8">
        <f t="shared" si="6"/>
        <v>-500000</v>
      </c>
      <c r="CE9" s="8">
        <f t="shared" ref="CE9:CE57" si="52">CA9-BW9</f>
        <v>1000000</v>
      </c>
      <c r="CF9" s="38">
        <v>18642582</v>
      </c>
      <c r="CG9" s="8">
        <f t="shared" ref="CG9:CG58" si="53">CF9-BM9</f>
        <v>500000</v>
      </c>
      <c r="CH9" s="8">
        <f t="shared" ref="CH9:CH58" si="54">CF9-BN9</f>
        <v>500000</v>
      </c>
      <c r="CI9" s="8">
        <f t="shared" ref="CI9:CI58" si="55">CF9-BS9</f>
        <v>0</v>
      </c>
      <c r="CJ9" s="8">
        <f t="shared" ref="CJ9:CJ58" si="56">CF9-CA9</f>
        <v>500000</v>
      </c>
      <c r="CK9" s="38">
        <v>18642582</v>
      </c>
      <c r="CL9" s="8">
        <f t="shared" si="7"/>
        <v>500000</v>
      </c>
      <c r="CM9" s="8">
        <f t="shared" ref="CM9:CM58" si="57">CK9-BN9</f>
        <v>500000</v>
      </c>
      <c r="CN9" s="8">
        <f t="shared" ref="CN9:CN58" si="58">CK9-CF9</f>
        <v>0</v>
      </c>
      <c r="CO9" s="38">
        <v>18642582</v>
      </c>
      <c r="CP9" s="38">
        <f t="shared" ref="CP9:CP58" si="59">CO9-BN9</f>
        <v>500000</v>
      </c>
      <c r="CQ9" s="8">
        <f t="shared" ref="CQ9:CQ60" si="60">CO9-CK9</f>
        <v>0</v>
      </c>
      <c r="CR9" s="38">
        <v>18642582</v>
      </c>
      <c r="CS9" s="27">
        <v>500000</v>
      </c>
      <c r="CT9" s="38">
        <f t="shared" ref="CT9:CT58" si="61">+CS9+CR9</f>
        <v>19142582</v>
      </c>
      <c r="CU9" s="8">
        <f t="shared" ref="CU9:CU58" si="62">CT9-CK9</f>
        <v>500000</v>
      </c>
      <c r="CV9" s="38">
        <f t="shared" ref="CV9:CV58" si="63">CT9-CO9</f>
        <v>500000</v>
      </c>
      <c r="CW9" s="38">
        <f t="shared" ref="CW9:CW58" si="64">CT9-CR9</f>
        <v>500000</v>
      </c>
      <c r="CX9" s="38">
        <v>18642582</v>
      </c>
      <c r="CY9" s="8">
        <f t="shared" ref="CY9:CY58" si="65">CX9-CK9</f>
        <v>0</v>
      </c>
      <c r="CZ9" s="38">
        <f t="shared" ref="CZ9:CZ58" si="66">CX9-CO9</f>
        <v>0</v>
      </c>
      <c r="DA9" s="38">
        <f t="shared" ref="DA9:DA58" si="67">CX9-CT9</f>
        <v>-500000</v>
      </c>
      <c r="DB9" s="38">
        <v>18642582</v>
      </c>
      <c r="DC9" s="8">
        <f t="shared" ref="DC9:DC58" si="68">DB9-CK9</f>
        <v>0</v>
      </c>
      <c r="DD9" s="38">
        <f t="shared" ref="DD9:DD58" si="69">DB9-CO9</f>
        <v>0</v>
      </c>
      <c r="DE9" s="38">
        <f t="shared" ref="DE9:DE58" si="70">DB9-CT9</f>
        <v>-500000</v>
      </c>
      <c r="DF9" s="38">
        <f t="shared" ref="DF9:DF58" si="71">DB9-CX9</f>
        <v>0</v>
      </c>
      <c r="DG9" s="38">
        <v>19142582</v>
      </c>
      <c r="DH9" s="40">
        <f t="shared" ref="DH9:DH58" si="72">DG9-CK9</f>
        <v>500000</v>
      </c>
      <c r="DI9" s="38">
        <f t="shared" ref="DI9:DI58" si="73">DG9-CO9</f>
        <v>500000</v>
      </c>
      <c r="DJ9" s="38">
        <f t="shared" ref="DJ9:DJ58" si="74">DG9-CT9</f>
        <v>0</v>
      </c>
      <c r="DK9" s="38">
        <f t="shared" ref="DK9:DK58" si="75">DG9-DB9</f>
        <v>500000</v>
      </c>
      <c r="DL9" s="38"/>
      <c r="DM9" s="38">
        <f t="shared" ref="DM9:DM58" si="76">SUM(DG9+DL9)</f>
        <v>19142582</v>
      </c>
      <c r="DN9" s="38">
        <v>19142582</v>
      </c>
      <c r="DO9" s="38">
        <f t="shared" ref="DO9:DO58" si="77">DN9-CK9</f>
        <v>500000</v>
      </c>
      <c r="DP9" s="38"/>
      <c r="DQ9" s="38">
        <v>-287139</v>
      </c>
      <c r="DR9" s="38">
        <f t="shared" ref="DR9:DR58" si="78">DN9+DP9+DQ9</f>
        <v>18855443</v>
      </c>
      <c r="DS9" s="38">
        <f t="shared" ref="DS9:DS58" si="79">DR9-CK9</f>
        <v>212861</v>
      </c>
      <c r="DT9" s="38">
        <v>-943000</v>
      </c>
      <c r="DU9" s="38">
        <f t="shared" ref="DU9:DU58" si="80">DR9+DT9</f>
        <v>17912443</v>
      </c>
      <c r="DV9" s="38">
        <f t="shared" ref="DV9:DV58" si="81">DU9-CK9</f>
        <v>-730139</v>
      </c>
      <c r="DW9" s="38">
        <v>17912443</v>
      </c>
      <c r="DX9" s="38">
        <v>19142582</v>
      </c>
      <c r="DY9" s="8">
        <f>DX9-DU9</f>
        <v>1230139</v>
      </c>
      <c r="DZ9" s="40">
        <v>19142582</v>
      </c>
      <c r="EA9" s="8">
        <f>DZ9-DU9</f>
        <v>1230139</v>
      </c>
      <c r="EB9" s="8">
        <f>DZ9-DX9</f>
        <v>0</v>
      </c>
      <c r="EC9" s="60"/>
      <c r="ED9" s="37">
        <v>20142582</v>
      </c>
      <c r="EE9" s="25">
        <f>ED9-DU9</f>
        <v>2230139</v>
      </c>
      <c r="EF9" s="25">
        <f>ED9-DX9</f>
        <v>1000000</v>
      </c>
      <c r="EG9" s="25">
        <f t="shared" ref="EG9:EG58" si="82">ED9-DZ9</f>
        <v>1000000</v>
      </c>
      <c r="EH9" s="37">
        <v>17912443</v>
      </c>
      <c r="EI9" s="25">
        <f>EH9-DU9</f>
        <v>0</v>
      </c>
      <c r="EJ9" s="25">
        <f>EH9-DX9</f>
        <v>-1230139</v>
      </c>
      <c r="EK9" s="25">
        <f t="shared" ref="EK9:EK58" si="83">EH9-ED9</f>
        <v>-2230139</v>
      </c>
      <c r="EL9" s="37">
        <f>17912443+2000000</f>
        <v>19912443</v>
      </c>
      <c r="EM9" s="25">
        <f>EL9-DU9</f>
        <v>2000000</v>
      </c>
      <c r="EN9" s="25">
        <f>EL9-DX9</f>
        <v>769861</v>
      </c>
      <c r="EO9" s="25">
        <f>EL9-ED9</f>
        <v>-230139</v>
      </c>
      <c r="EP9" s="25">
        <f t="shared" ref="EP9:EP59" si="84">EL9-EH9</f>
        <v>2000000</v>
      </c>
      <c r="EQ9" s="37">
        <v>20142582</v>
      </c>
      <c r="ER9" s="25">
        <f>EQ9-DW9</f>
        <v>2230139</v>
      </c>
      <c r="ES9" s="25">
        <f>EQ9-DX9</f>
        <v>1000000</v>
      </c>
      <c r="ET9" s="25">
        <f t="shared" ref="ET9:ET59" si="85">EQ9-ED9</f>
        <v>0</v>
      </c>
      <c r="EU9" s="25">
        <f t="shared" ref="EU9:EU59" si="86">EQ9-EL9</f>
        <v>230139</v>
      </c>
      <c r="EV9" s="37">
        <v>20142582</v>
      </c>
      <c r="EW9" s="25">
        <f>EV9-DW9</f>
        <v>2230139</v>
      </c>
      <c r="EX9" s="25">
        <f t="shared" ref="EX9:EX59" si="87">EV9-EQ9</f>
        <v>0</v>
      </c>
      <c r="EY9" s="25">
        <f t="shared" si="8"/>
        <v>0</v>
      </c>
      <c r="EZ9" s="37">
        <v>20142582</v>
      </c>
      <c r="FA9" s="25">
        <f>EZ9-DW9</f>
        <v>2230139</v>
      </c>
      <c r="FB9" s="25"/>
      <c r="FC9" s="25">
        <f t="shared" ref="FC9:FC59" si="88">EZ9+FB9</f>
        <v>20142582</v>
      </c>
      <c r="FD9" s="25"/>
      <c r="FE9" s="25"/>
      <c r="FF9" s="25">
        <f t="shared" ref="FF9:FF59" si="89">FC9+FE9+FD9</f>
        <v>20142582</v>
      </c>
      <c r="FG9" s="37">
        <v>20142582</v>
      </c>
      <c r="FH9" s="25">
        <f t="shared" ref="FH9:FH59" si="90">FG9-FF9</f>
        <v>0</v>
      </c>
      <c r="FI9" s="25"/>
      <c r="FJ9" s="37">
        <v>20142582</v>
      </c>
      <c r="FK9" s="37">
        <f t="shared" ref="FK9:FK59" si="91">FJ9-FF9</f>
        <v>0</v>
      </c>
      <c r="FL9" s="37">
        <f t="shared" ref="FL9:FL59" si="92">FJ9-FG9</f>
        <v>0</v>
      </c>
      <c r="FM9" s="37">
        <v>20642582</v>
      </c>
      <c r="FN9" s="37">
        <f t="shared" ref="FN9:FN59" si="93">FM9-FF9</f>
        <v>500000</v>
      </c>
      <c r="FO9" s="37">
        <f t="shared" ref="FO9:FO59" si="94">FM9-FG9</f>
        <v>500000</v>
      </c>
      <c r="FP9" s="37">
        <f t="shared" ref="FP9:FP59" si="95">FM9-FJ9</f>
        <v>500000</v>
      </c>
      <c r="FQ9" s="37"/>
      <c r="FR9" s="37">
        <v>20142582</v>
      </c>
      <c r="FS9" s="37">
        <f t="shared" ref="FS9:FS59" si="96">FR9-FF9</f>
        <v>0</v>
      </c>
      <c r="FT9" s="37">
        <f t="shared" ref="FT9:FT59" si="97">FR9-FG9</f>
        <v>0</v>
      </c>
      <c r="FU9" s="37">
        <f t="shared" ref="FU9:FU59" si="98">FR9-FM9</f>
        <v>-500000</v>
      </c>
      <c r="FV9" s="100"/>
      <c r="FW9" s="37">
        <v>20142582</v>
      </c>
      <c r="FX9" s="37">
        <f t="shared" ref="FX9:FX59" si="99">FW9-FF9</f>
        <v>0</v>
      </c>
      <c r="FY9" s="37">
        <f t="shared" ref="FY9:FY59" si="100">FW9-FG9</f>
        <v>0</v>
      </c>
      <c r="FZ9" s="37">
        <f t="shared" ref="FZ9:FZ59" si="101">FW9-FM9</f>
        <v>-500000</v>
      </c>
      <c r="GA9" s="37">
        <f t="shared" ref="GA9:GA59" si="102">FW9-FR9</f>
        <v>0</v>
      </c>
      <c r="GB9" s="107"/>
      <c r="GC9" s="37">
        <v>20642582</v>
      </c>
      <c r="GD9" s="26"/>
      <c r="GE9" s="37">
        <f t="shared" ref="GE9:GE59" si="103">+GC9+GD9</f>
        <v>20642582</v>
      </c>
      <c r="GF9" s="38"/>
      <c r="GG9" s="37">
        <f t="shared" ref="GG9:GG59" si="104">+GE9+GF9</f>
        <v>20642582</v>
      </c>
      <c r="GH9" s="26">
        <f t="shared" si="9"/>
        <v>500000</v>
      </c>
      <c r="GI9" s="37">
        <f t="shared" si="10"/>
        <v>500000</v>
      </c>
      <c r="GJ9" s="37">
        <f t="shared" si="11"/>
        <v>0</v>
      </c>
      <c r="GK9" s="37">
        <f t="shared" si="12"/>
        <v>500000</v>
      </c>
      <c r="GL9" s="37">
        <f t="shared" si="13"/>
        <v>0</v>
      </c>
      <c r="GM9" s="107"/>
      <c r="GN9" s="115"/>
      <c r="GO9" s="113">
        <f t="shared" ref="GO9:GO59" si="105">GG9+GN9</f>
        <v>20642582</v>
      </c>
      <c r="GP9" s="113"/>
      <c r="GQ9" s="113">
        <f t="shared" ref="GQ9:GQ59" si="106">GO9+GP9</f>
        <v>20642582</v>
      </c>
      <c r="GR9" s="113"/>
      <c r="GS9" s="128">
        <v>20642582</v>
      </c>
      <c r="GT9" s="128">
        <v>20642582</v>
      </c>
      <c r="GU9" s="123">
        <f t="shared" ref="GU9:GU10" si="107">GT9-GS9</f>
        <v>0</v>
      </c>
      <c r="GV9" s="115"/>
      <c r="GW9" s="99">
        <v>21142582</v>
      </c>
      <c r="GX9" s="128">
        <f t="shared" ref="GX9:GX53" si="108">GW9-GS9</f>
        <v>500000</v>
      </c>
      <c r="GY9" s="128">
        <f t="shared" ref="GY9:GY53" si="109">GW9-GT9</f>
        <v>500000</v>
      </c>
      <c r="GZ9" s="115"/>
      <c r="HA9" s="99">
        <v>21142582</v>
      </c>
      <c r="HB9" s="128">
        <f t="shared" ref="HB9:HB59" si="110">HA9-GS9</f>
        <v>500000</v>
      </c>
      <c r="HC9" s="128">
        <f t="shared" ref="HC9:HC59" si="111">HA9-GT9</f>
        <v>500000</v>
      </c>
      <c r="HD9" s="128">
        <f t="shared" ref="HD9:HD59" si="112">HA9-GW9</f>
        <v>0</v>
      </c>
      <c r="HE9" s="115"/>
      <c r="HF9" s="99">
        <v>21000000</v>
      </c>
      <c r="HG9" s="128">
        <f>HF9-GS9</f>
        <v>357418</v>
      </c>
      <c r="HH9" s="128">
        <f t="shared" ref="HH9:HH59" si="113">HF9-GT9</f>
        <v>357418</v>
      </c>
      <c r="HI9" s="128">
        <f t="shared" ref="HI9:HI59" si="114">HF9-HA9</f>
        <v>-142582</v>
      </c>
      <c r="HJ9" s="115"/>
      <c r="HK9" s="99">
        <v>21000000</v>
      </c>
      <c r="HL9" s="128">
        <f t="shared" ref="HL9:HL59" si="115">HK9-GS9</f>
        <v>357418</v>
      </c>
      <c r="HM9" s="128">
        <f t="shared" ref="HM9:HM59" si="116">HK9-GT9</f>
        <v>357418</v>
      </c>
      <c r="HN9" s="128">
        <f t="shared" ref="HN9:HN59" si="117">HK9-HA9</f>
        <v>-142582</v>
      </c>
      <c r="HO9" s="128">
        <f t="shared" ref="HO9:HO59" si="118">HK9-HF9</f>
        <v>0</v>
      </c>
      <c r="HP9" s="115"/>
      <c r="HQ9" s="99">
        <v>20642582</v>
      </c>
      <c r="HR9" s="128">
        <f t="shared" si="14"/>
        <v>0</v>
      </c>
      <c r="HS9" s="128">
        <f t="shared" si="15"/>
        <v>0</v>
      </c>
      <c r="HT9" s="128">
        <f t="shared" si="16"/>
        <v>-500000</v>
      </c>
      <c r="HU9" s="128">
        <f t="shared" si="17"/>
        <v>-357418</v>
      </c>
      <c r="HV9" s="115"/>
      <c r="HW9" s="99">
        <v>20642582</v>
      </c>
      <c r="HX9" s="128">
        <f t="shared" si="18"/>
        <v>0</v>
      </c>
      <c r="HY9" s="128">
        <f t="shared" si="19"/>
        <v>0</v>
      </c>
      <c r="HZ9" s="128">
        <f t="shared" ref="HZ9:HZ59" si="119">HW9-HQ9</f>
        <v>0</v>
      </c>
      <c r="IA9" s="115"/>
      <c r="IB9" s="99">
        <v>20642582</v>
      </c>
      <c r="IC9" s="115"/>
      <c r="ID9" s="128">
        <f t="shared" si="20"/>
        <v>20642582</v>
      </c>
      <c r="IE9" s="164">
        <f t="shared" si="21"/>
        <v>0</v>
      </c>
      <c r="IF9" s="185">
        <v>20642582</v>
      </c>
      <c r="IG9" s="40">
        <f t="shared" ref="IG9:IG59" si="120">IF9-ID9</f>
        <v>0</v>
      </c>
      <c r="IH9" s="115"/>
    </row>
    <row r="10" spans="1:247" ht="12.75" customHeight="1" x14ac:dyDescent="0.2">
      <c r="A10" s="17" t="s">
        <v>42</v>
      </c>
      <c r="B10" s="18"/>
      <c r="C10" s="52" t="s">
        <v>150</v>
      </c>
      <c r="D10" s="20">
        <v>0</v>
      </c>
      <c r="E10" s="21">
        <v>1450000</v>
      </c>
      <c r="F10" s="21">
        <v>1192800</v>
      </c>
      <c r="G10" s="21">
        <v>0</v>
      </c>
      <c r="H10" s="21"/>
      <c r="I10" s="21">
        <f t="shared" si="0"/>
        <v>0</v>
      </c>
      <c r="J10" s="22"/>
      <c r="K10" s="22"/>
      <c r="L10" s="22">
        <f t="shared" si="1"/>
        <v>0</v>
      </c>
      <c r="M10" s="23">
        <f t="shared" si="22"/>
        <v>0</v>
      </c>
      <c r="N10" s="23">
        <f>M10+J10</f>
        <v>0</v>
      </c>
      <c r="O10" s="23">
        <v>800000</v>
      </c>
      <c r="P10" s="23">
        <v>800000</v>
      </c>
      <c r="Q10" s="23">
        <v>0</v>
      </c>
      <c r="R10" s="23">
        <v>800000</v>
      </c>
      <c r="S10" s="23">
        <v>0.5</v>
      </c>
      <c r="T10" s="23">
        <f t="shared" ref="T10:T56" si="121">-S10*R10</f>
        <v>-400000</v>
      </c>
      <c r="U10" s="23">
        <f t="shared" ref="U10:U56" si="122">R10+T10</f>
        <v>400000</v>
      </c>
      <c r="V10" s="23">
        <f t="shared" si="2"/>
        <v>400000</v>
      </c>
      <c r="W10" s="24">
        <v>400000</v>
      </c>
      <c r="X10" s="24"/>
      <c r="Y10" s="24">
        <f t="shared" si="23"/>
        <v>400000</v>
      </c>
      <c r="Z10" s="25">
        <v>0</v>
      </c>
      <c r="AA10" s="25">
        <f t="shared" si="24"/>
        <v>-400000</v>
      </c>
      <c r="AB10" s="25">
        <v>400000</v>
      </c>
      <c r="AC10" s="25">
        <v>400000</v>
      </c>
      <c r="AD10" s="26">
        <v>392000</v>
      </c>
      <c r="AE10" s="25"/>
      <c r="AF10" s="25"/>
      <c r="AG10" s="25">
        <f>AC10-Z10</f>
        <v>400000</v>
      </c>
      <c r="AH10" s="26">
        <v>392000</v>
      </c>
      <c r="AI10" s="26">
        <v>400000</v>
      </c>
      <c r="AJ10" s="25">
        <f t="shared" si="3"/>
        <v>-8000</v>
      </c>
      <c r="AK10" s="25">
        <f t="shared" si="25"/>
        <v>392000</v>
      </c>
      <c r="AL10" s="25">
        <f t="shared" si="26"/>
        <v>-8000</v>
      </c>
      <c r="AM10" s="26">
        <f t="shared" si="27"/>
        <v>-8000</v>
      </c>
      <c r="AN10" s="26">
        <f t="shared" si="28"/>
        <v>392000</v>
      </c>
      <c r="AO10" s="26">
        <f t="shared" si="4"/>
        <v>-8000</v>
      </c>
      <c r="AP10" s="25">
        <v>400000</v>
      </c>
      <c r="AQ10" s="25">
        <f t="shared" si="5"/>
        <v>0</v>
      </c>
      <c r="AR10" s="25">
        <f t="shared" si="29"/>
        <v>400000</v>
      </c>
      <c r="AS10" s="25">
        <f t="shared" si="30"/>
        <v>0</v>
      </c>
      <c r="AT10" s="25"/>
      <c r="AU10" s="25">
        <f t="shared" si="31"/>
        <v>400000</v>
      </c>
      <c r="AV10" s="25">
        <v>0</v>
      </c>
      <c r="AW10" s="25">
        <f t="shared" si="32"/>
        <v>-400000</v>
      </c>
      <c r="AX10" s="25">
        <v>400000</v>
      </c>
      <c r="AY10" s="26">
        <f t="shared" ref="AY10:AY56" si="123">AX10-AP10-AT10</f>
        <v>0</v>
      </c>
      <c r="AZ10" s="26">
        <f t="shared" ref="AZ10:AZ56" si="124">AX10-AV10</f>
        <v>400000</v>
      </c>
      <c r="BA10" s="25">
        <v>400000</v>
      </c>
      <c r="BB10" s="25">
        <f t="shared" si="33"/>
        <v>0</v>
      </c>
      <c r="BC10" s="25">
        <f t="shared" si="34"/>
        <v>400000</v>
      </c>
      <c r="BD10" s="25">
        <f t="shared" si="35"/>
        <v>0</v>
      </c>
      <c r="BE10" s="25">
        <v>400000</v>
      </c>
      <c r="BF10" s="25">
        <v>400000</v>
      </c>
      <c r="BG10" s="25">
        <v>400000</v>
      </c>
      <c r="BH10" s="25">
        <f t="shared" si="36"/>
        <v>0</v>
      </c>
      <c r="BI10" s="25">
        <f t="shared" si="37"/>
        <v>400000</v>
      </c>
      <c r="BJ10" s="25">
        <f t="shared" si="38"/>
        <v>0</v>
      </c>
      <c r="BK10" s="8">
        <f t="shared" si="39"/>
        <v>0</v>
      </c>
      <c r="BL10" s="25"/>
      <c r="BM10" s="25">
        <f t="shared" si="40"/>
        <v>400000</v>
      </c>
      <c r="BN10" s="37">
        <v>0</v>
      </c>
      <c r="BO10" s="26">
        <f t="shared" si="41"/>
        <v>-400000</v>
      </c>
      <c r="BP10" s="37">
        <v>0</v>
      </c>
      <c r="BQ10" s="8">
        <f t="shared" si="42"/>
        <v>-400000</v>
      </c>
      <c r="BR10" s="8">
        <f t="shared" si="43"/>
        <v>0</v>
      </c>
      <c r="BS10" s="37">
        <v>0</v>
      </c>
      <c r="BT10" s="40">
        <f t="shared" si="44"/>
        <v>-400000</v>
      </c>
      <c r="BU10" s="40">
        <f t="shared" si="45"/>
        <v>0</v>
      </c>
      <c r="BV10" s="40">
        <f t="shared" si="46"/>
        <v>0</v>
      </c>
      <c r="BW10" s="38">
        <v>400000</v>
      </c>
      <c r="BX10" s="8">
        <f t="shared" si="47"/>
        <v>0</v>
      </c>
      <c r="BY10" s="8">
        <f t="shared" si="48"/>
        <v>400000</v>
      </c>
      <c r="BZ10" s="8">
        <f t="shared" si="49"/>
        <v>400000</v>
      </c>
      <c r="CA10" s="38">
        <v>400000</v>
      </c>
      <c r="CB10" s="8">
        <f t="shared" si="50"/>
        <v>0</v>
      </c>
      <c r="CC10" s="8">
        <f t="shared" si="51"/>
        <v>400000</v>
      </c>
      <c r="CD10" s="8">
        <f t="shared" si="6"/>
        <v>400000</v>
      </c>
      <c r="CE10" s="8">
        <f t="shared" si="52"/>
        <v>0</v>
      </c>
      <c r="CF10" s="38">
        <v>400000</v>
      </c>
      <c r="CG10" s="8">
        <f t="shared" si="53"/>
        <v>0</v>
      </c>
      <c r="CH10" s="8">
        <f t="shared" si="54"/>
        <v>400000</v>
      </c>
      <c r="CI10" s="8">
        <f t="shared" si="55"/>
        <v>400000</v>
      </c>
      <c r="CJ10" s="8">
        <f t="shared" si="56"/>
        <v>0</v>
      </c>
      <c r="CK10" s="38">
        <v>400000</v>
      </c>
      <c r="CL10" s="8">
        <f t="shared" si="7"/>
        <v>0</v>
      </c>
      <c r="CM10" s="8">
        <f t="shared" si="57"/>
        <v>400000</v>
      </c>
      <c r="CN10" s="8">
        <f t="shared" si="58"/>
        <v>0</v>
      </c>
      <c r="CO10" s="38">
        <v>0</v>
      </c>
      <c r="CP10" s="38">
        <f t="shared" si="59"/>
        <v>0</v>
      </c>
      <c r="CQ10" s="8">
        <f t="shared" si="60"/>
        <v>-400000</v>
      </c>
      <c r="CR10" s="38">
        <v>400000</v>
      </c>
      <c r="CS10" s="27"/>
      <c r="CT10" s="38">
        <f t="shared" si="61"/>
        <v>400000</v>
      </c>
      <c r="CU10" s="8">
        <f t="shared" si="62"/>
        <v>0</v>
      </c>
      <c r="CV10" s="38">
        <f t="shared" si="63"/>
        <v>400000</v>
      </c>
      <c r="CW10" s="38">
        <f t="shared" si="64"/>
        <v>0</v>
      </c>
      <c r="CX10" s="38">
        <v>400000</v>
      </c>
      <c r="CY10" s="8">
        <f t="shared" si="65"/>
        <v>0</v>
      </c>
      <c r="CZ10" s="38">
        <f t="shared" si="66"/>
        <v>400000</v>
      </c>
      <c r="DA10" s="38">
        <f t="shared" si="67"/>
        <v>0</v>
      </c>
      <c r="DB10" s="38">
        <v>400000</v>
      </c>
      <c r="DC10" s="8">
        <f t="shared" si="68"/>
        <v>0</v>
      </c>
      <c r="DD10" s="38">
        <f t="shared" si="69"/>
        <v>400000</v>
      </c>
      <c r="DE10" s="38">
        <f t="shared" si="70"/>
        <v>0</v>
      </c>
      <c r="DF10" s="38">
        <f t="shared" si="71"/>
        <v>0</v>
      </c>
      <c r="DG10" s="38">
        <v>400000</v>
      </c>
      <c r="DH10" s="40">
        <f t="shared" si="72"/>
        <v>0</v>
      </c>
      <c r="DI10" s="38">
        <f t="shared" si="73"/>
        <v>400000</v>
      </c>
      <c r="DJ10" s="38">
        <f t="shared" si="74"/>
        <v>0</v>
      </c>
      <c r="DK10" s="38">
        <f t="shared" si="75"/>
        <v>0</v>
      </c>
      <c r="DL10" s="38"/>
      <c r="DM10" s="38">
        <f t="shared" si="76"/>
        <v>400000</v>
      </c>
      <c r="DN10" s="38">
        <v>400000</v>
      </c>
      <c r="DO10" s="38">
        <f t="shared" si="77"/>
        <v>0</v>
      </c>
      <c r="DP10" s="38"/>
      <c r="DQ10" s="38">
        <v>-6000</v>
      </c>
      <c r="DR10" s="38">
        <f t="shared" si="78"/>
        <v>394000</v>
      </c>
      <c r="DS10" s="38">
        <f t="shared" si="79"/>
        <v>-6000</v>
      </c>
      <c r="DT10" s="38"/>
      <c r="DU10" s="38">
        <f t="shared" si="80"/>
        <v>394000</v>
      </c>
      <c r="DV10" s="38">
        <f t="shared" si="81"/>
        <v>-6000</v>
      </c>
      <c r="DW10" s="38">
        <v>394000</v>
      </c>
      <c r="DX10" s="38">
        <v>0</v>
      </c>
      <c r="DY10" s="8">
        <f>DX10-DU10</f>
        <v>-394000</v>
      </c>
      <c r="DZ10" s="40">
        <v>400000</v>
      </c>
      <c r="EA10" s="8">
        <f>DZ10-DU10</f>
        <v>6000</v>
      </c>
      <c r="EB10" s="8">
        <f>DZ10-DX10</f>
        <v>400000</v>
      </c>
      <c r="EC10" s="58" t="s">
        <v>256</v>
      </c>
      <c r="ED10" s="37">
        <v>400000</v>
      </c>
      <c r="EE10" s="25">
        <f>ED10-DU10</f>
        <v>6000</v>
      </c>
      <c r="EF10" s="25">
        <f>ED10-DX10</f>
        <v>400000</v>
      </c>
      <c r="EG10" s="25">
        <f t="shared" si="82"/>
        <v>0</v>
      </c>
      <c r="EH10" s="37">
        <v>0</v>
      </c>
      <c r="EI10" s="25">
        <f>EH10-DU10</f>
        <v>-394000</v>
      </c>
      <c r="EJ10" s="25">
        <f>EH10-DX10</f>
        <v>0</v>
      </c>
      <c r="EK10" s="25">
        <f t="shared" si="83"/>
        <v>-400000</v>
      </c>
      <c r="EL10" s="37">
        <v>0</v>
      </c>
      <c r="EM10" s="25">
        <f>EL10-DU10</f>
        <v>-394000</v>
      </c>
      <c r="EN10" s="25">
        <f>EL10-DX10</f>
        <v>0</v>
      </c>
      <c r="EO10" s="25">
        <f t="shared" ref="EO10:EO59" si="125">EL10-ED10</f>
        <v>-400000</v>
      </c>
      <c r="EP10" s="25">
        <f t="shared" si="84"/>
        <v>0</v>
      </c>
      <c r="EQ10" s="37">
        <v>400000</v>
      </c>
      <c r="ER10" s="25">
        <f>EQ10-DW10</f>
        <v>6000</v>
      </c>
      <c r="ES10" s="25">
        <f>EQ10-DX10</f>
        <v>400000</v>
      </c>
      <c r="ET10" s="25">
        <f t="shared" si="85"/>
        <v>0</v>
      </c>
      <c r="EU10" s="25">
        <f t="shared" si="86"/>
        <v>400000</v>
      </c>
      <c r="EV10" s="37">
        <v>400000</v>
      </c>
      <c r="EW10" s="25">
        <f>EV10-DW10</f>
        <v>6000</v>
      </c>
      <c r="EX10" s="25">
        <f t="shared" si="87"/>
        <v>0</v>
      </c>
      <c r="EY10" s="25">
        <f t="shared" si="8"/>
        <v>0</v>
      </c>
      <c r="EZ10" s="37">
        <v>400000</v>
      </c>
      <c r="FA10" s="25">
        <f>EZ10-DW10</f>
        <v>6000</v>
      </c>
      <c r="FB10" s="25"/>
      <c r="FC10" s="25">
        <f t="shared" si="88"/>
        <v>400000</v>
      </c>
      <c r="FD10" s="25"/>
      <c r="FE10" s="25"/>
      <c r="FF10" s="25">
        <f t="shared" si="89"/>
        <v>400000</v>
      </c>
      <c r="FG10" s="37">
        <v>0</v>
      </c>
      <c r="FH10" s="25">
        <f t="shared" si="90"/>
        <v>-400000</v>
      </c>
      <c r="FI10" s="25"/>
      <c r="FJ10" s="37">
        <v>400000</v>
      </c>
      <c r="FK10" s="37">
        <f t="shared" si="91"/>
        <v>0</v>
      </c>
      <c r="FL10" s="37">
        <f t="shared" si="92"/>
        <v>400000</v>
      </c>
      <c r="FM10" s="37">
        <v>400000</v>
      </c>
      <c r="FN10" s="37">
        <f t="shared" si="93"/>
        <v>0</v>
      </c>
      <c r="FO10" s="37">
        <f t="shared" si="94"/>
        <v>400000</v>
      </c>
      <c r="FP10" s="37">
        <f t="shared" si="95"/>
        <v>0</v>
      </c>
      <c r="FQ10" s="37"/>
      <c r="FR10" s="37">
        <v>0</v>
      </c>
      <c r="FS10" s="37">
        <f t="shared" si="96"/>
        <v>-400000</v>
      </c>
      <c r="FT10" s="37">
        <f t="shared" si="97"/>
        <v>0</v>
      </c>
      <c r="FU10" s="37">
        <f t="shared" si="98"/>
        <v>-400000</v>
      </c>
      <c r="FV10" s="100"/>
      <c r="FW10" s="37">
        <v>0</v>
      </c>
      <c r="FX10" s="37">
        <f t="shared" si="99"/>
        <v>-400000</v>
      </c>
      <c r="FY10" s="37">
        <f t="shared" si="100"/>
        <v>0</v>
      </c>
      <c r="FZ10" s="37">
        <f t="shared" si="101"/>
        <v>-400000</v>
      </c>
      <c r="GA10" s="37">
        <f t="shared" si="102"/>
        <v>0</v>
      </c>
      <c r="GB10" s="107"/>
      <c r="GC10" s="37">
        <v>400000</v>
      </c>
      <c r="GD10" s="26">
        <v>-400000</v>
      </c>
      <c r="GE10" s="37">
        <f t="shared" si="103"/>
        <v>0</v>
      </c>
      <c r="GF10" s="38">
        <v>400000</v>
      </c>
      <c r="GG10" s="37">
        <f t="shared" si="104"/>
        <v>400000</v>
      </c>
      <c r="GH10" s="26">
        <f t="shared" si="9"/>
        <v>0</v>
      </c>
      <c r="GI10" s="37">
        <f t="shared" si="10"/>
        <v>400000</v>
      </c>
      <c r="GJ10" s="37">
        <f t="shared" si="11"/>
        <v>0</v>
      </c>
      <c r="GK10" s="37">
        <f t="shared" si="12"/>
        <v>400000</v>
      </c>
      <c r="GL10" s="37">
        <f t="shared" si="13"/>
        <v>0</v>
      </c>
      <c r="GM10" s="107"/>
      <c r="GN10" s="115"/>
      <c r="GO10" s="113">
        <f t="shared" si="105"/>
        <v>400000</v>
      </c>
      <c r="GP10" s="113"/>
      <c r="GQ10" s="113">
        <f t="shared" si="106"/>
        <v>400000</v>
      </c>
      <c r="GR10" s="113">
        <v>-266667</v>
      </c>
      <c r="GS10" s="128">
        <v>133333</v>
      </c>
      <c r="GT10" s="128">
        <v>0</v>
      </c>
      <c r="GU10" s="123">
        <f t="shared" si="107"/>
        <v>-133333</v>
      </c>
      <c r="GV10" s="115" t="s">
        <v>377</v>
      </c>
      <c r="GW10" s="99">
        <v>250000</v>
      </c>
      <c r="GX10" s="128">
        <f t="shared" si="108"/>
        <v>116667</v>
      </c>
      <c r="GY10" s="128">
        <f t="shared" si="109"/>
        <v>250000</v>
      </c>
      <c r="GZ10" s="115" t="s">
        <v>393</v>
      </c>
      <c r="HA10" s="99">
        <f>250000+150000</f>
        <v>400000</v>
      </c>
      <c r="HB10" s="128">
        <f t="shared" si="110"/>
        <v>266667</v>
      </c>
      <c r="HC10" s="128">
        <f t="shared" si="111"/>
        <v>400000</v>
      </c>
      <c r="HD10" s="128">
        <f t="shared" si="112"/>
        <v>150000</v>
      </c>
      <c r="HE10" s="115" t="s">
        <v>410</v>
      </c>
      <c r="HF10" s="99">
        <v>0</v>
      </c>
      <c r="HG10" s="128">
        <f t="shared" ref="HG10:HG59" si="126">HF10-GS10</f>
        <v>-133333</v>
      </c>
      <c r="HH10" s="128">
        <f t="shared" si="113"/>
        <v>0</v>
      </c>
      <c r="HI10" s="128">
        <f t="shared" si="114"/>
        <v>-400000</v>
      </c>
      <c r="HJ10" s="115"/>
      <c r="HK10" s="99">
        <v>0</v>
      </c>
      <c r="HL10" s="128">
        <f t="shared" si="115"/>
        <v>-133333</v>
      </c>
      <c r="HM10" s="128">
        <f t="shared" si="116"/>
        <v>0</v>
      </c>
      <c r="HN10" s="128">
        <f t="shared" si="117"/>
        <v>-400000</v>
      </c>
      <c r="HO10" s="128">
        <f t="shared" si="118"/>
        <v>0</v>
      </c>
      <c r="HP10" s="115"/>
      <c r="HQ10" s="99">
        <v>339500</v>
      </c>
      <c r="HR10" s="128">
        <f t="shared" si="14"/>
        <v>206167</v>
      </c>
      <c r="HS10" s="128">
        <f t="shared" si="15"/>
        <v>339500</v>
      </c>
      <c r="HT10" s="128">
        <f t="shared" si="16"/>
        <v>-60500</v>
      </c>
      <c r="HU10" s="128">
        <f t="shared" si="17"/>
        <v>339500</v>
      </c>
      <c r="HV10" s="115"/>
      <c r="HW10" s="99">
        <v>339500</v>
      </c>
      <c r="HX10" s="128">
        <f t="shared" si="18"/>
        <v>206167</v>
      </c>
      <c r="HY10" s="128">
        <f t="shared" si="19"/>
        <v>339500</v>
      </c>
      <c r="HZ10" s="128">
        <f t="shared" si="119"/>
        <v>0</v>
      </c>
      <c r="IA10" s="115"/>
      <c r="IB10" s="99">
        <v>339500</v>
      </c>
      <c r="IC10" s="115"/>
      <c r="ID10" s="128">
        <f t="shared" si="20"/>
        <v>339500</v>
      </c>
      <c r="IE10" s="164">
        <f t="shared" si="21"/>
        <v>206167</v>
      </c>
      <c r="IF10" s="185">
        <v>0</v>
      </c>
      <c r="IG10" s="40">
        <f t="shared" si="120"/>
        <v>-339500</v>
      </c>
      <c r="IH10" s="115" t="s">
        <v>541</v>
      </c>
    </row>
    <row r="11" spans="1:247" ht="12.75" hidden="1" customHeight="1" x14ac:dyDescent="0.2">
      <c r="A11" s="39" t="s">
        <v>288</v>
      </c>
      <c r="B11" s="18"/>
      <c r="C11" s="51" t="s">
        <v>291</v>
      </c>
      <c r="D11" s="20"/>
      <c r="E11" s="21"/>
      <c r="F11" s="21"/>
      <c r="G11" s="21"/>
      <c r="H11" s="21"/>
      <c r="I11" s="21"/>
      <c r="J11" s="22"/>
      <c r="K11" s="22"/>
      <c r="L11" s="22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94"/>
      <c r="X11" s="94"/>
      <c r="Y11" s="94"/>
      <c r="Z11" s="29"/>
      <c r="AA11" s="29"/>
      <c r="AB11" s="29"/>
      <c r="AC11" s="29"/>
      <c r="AD11" s="27"/>
      <c r="AE11" s="29"/>
      <c r="AF11" s="29"/>
      <c r="AG11" s="29"/>
      <c r="AH11" s="27"/>
      <c r="AI11" s="27"/>
      <c r="AJ11" s="29"/>
      <c r="AK11" s="29"/>
      <c r="AL11" s="29"/>
      <c r="AM11" s="27"/>
      <c r="AN11" s="27"/>
      <c r="AO11" s="27"/>
      <c r="AP11" s="29"/>
      <c r="AQ11" s="29"/>
      <c r="AR11" s="29"/>
      <c r="AS11" s="29"/>
      <c r="AT11" s="29"/>
      <c r="AU11" s="29"/>
      <c r="AV11" s="29"/>
      <c r="AW11" s="29"/>
      <c r="AX11" s="29"/>
      <c r="AY11" s="27"/>
      <c r="AZ11" s="27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41"/>
      <c r="BL11" s="29"/>
      <c r="BM11" s="29"/>
      <c r="BN11" s="38"/>
      <c r="BO11" s="27"/>
      <c r="BP11" s="38"/>
      <c r="BQ11" s="41"/>
      <c r="BR11" s="41"/>
      <c r="BS11" s="38"/>
      <c r="BT11" s="42"/>
      <c r="BU11" s="42"/>
      <c r="BV11" s="42"/>
      <c r="BW11" s="38"/>
      <c r="BX11" s="41"/>
      <c r="BY11" s="41"/>
      <c r="BZ11" s="41"/>
      <c r="CA11" s="38"/>
      <c r="CB11" s="41"/>
      <c r="CC11" s="41"/>
      <c r="CD11" s="41"/>
      <c r="CE11" s="41"/>
      <c r="CF11" s="38"/>
      <c r="CG11" s="41"/>
      <c r="CH11" s="41"/>
      <c r="CI11" s="41"/>
      <c r="CJ11" s="41"/>
      <c r="CK11" s="38"/>
      <c r="CL11" s="41"/>
      <c r="CM11" s="41"/>
      <c r="CN11" s="41"/>
      <c r="CO11" s="38"/>
      <c r="CP11" s="38"/>
      <c r="CQ11" s="41"/>
      <c r="CR11" s="38"/>
      <c r="CS11" s="27"/>
      <c r="CT11" s="38"/>
      <c r="CU11" s="41"/>
      <c r="CV11" s="38"/>
      <c r="CW11" s="38"/>
      <c r="CX11" s="38"/>
      <c r="CY11" s="41"/>
      <c r="CZ11" s="38"/>
      <c r="DA11" s="38"/>
      <c r="DB11" s="38"/>
      <c r="DC11" s="41"/>
      <c r="DD11" s="38"/>
      <c r="DE11" s="38"/>
      <c r="DF11" s="38"/>
      <c r="DG11" s="38"/>
      <c r="DH11" s="42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>
        <v>0</v>
      </c>
      <c r="DX11" s="38">
        <v>0</v>
      </c>
      <c r="DY11" s="41"/>
      <c r="DZ11" s="42"/>
      <c r="EA11" s="41"/>
      <c r="EB11" s="41"/>
      <c r="EC11" s="95"/>
      <c r="ED11" s="38"/>
      <c r="EE11" s="29"/>
      <c r="EF11" s="29"/>
      <c r="EG11" s="29"/>
      <c r="EH11" s="38"/>
      <c r="EI11" s="29"/>
      <c r="EJ11" s="29"/>
      <c r="EK11" s="29"/>
      <c r="EL11" s="38"/>
      <c r="EM11" s="29"/>
      <c r="EN11" s="29"/>
      <c r="EO11" s="29"/>
      <c r="EP11" s="29"/>
      <c r="EQ11" s="38"/>
      <c r="ER11" s="29"/>
      <c r="ES11" s="29"/>
      <c r="ET11" s="29"/>
      <c r="EU11" s="29"/>
      <c r="EV11" s="38"/>
      <c r="EW11" s="29"/>
      <c r="EX11" s="29"/>
      <c r="EY11" s="29"/>
      <c r="EZ11" s="38">
        <v>0</v>
      </c>
      <c r="FA11" s="29"/>
      <c r="FB11" s="29"/>
      <c r="FC11" s="29"/>
      <c r="FD11" s="29"/>
      <c r="FE11" s="29"/>
      <c r="FF11" s="29">
        <v>0</v>
      </c>
      <c r="FG11" s="38">
        <v>4529410</v>
      </c>
      <c r="FH11" s="29">
        <f t="shared" si="90"/>
        <v>4529410</v>
      </c>
      <c r="FI11" s="29"/>
      <c r="FJ11" s="38">
        <v>0</v>
      </c>
      <c r="FK11" s="37">
        <f t="shared" si="91"/>
        <v>0</v>
      </c>
      <c r="FL11" s="37">
        <f t="shared" si="92"/>
        <v>-4529410</v>
      </c>
      <c r="FM11" s="38">
        <v>0</v>
      </c>
      <c r="FN11" s="37">
        <f t="shared" si="93"/>
        <v>0</v>
      </c>
      <c r="FO11" s="37">
        <f t="shared" si="94"/>
        <v>-4529410</v>
      </c>
      <c r="FP11" s="37">
        <f t="shared" si="95"/>
        <v>0</v>
      </c>
      <c r="FQ11" s="37"/>
      <c r="FR11" s="38">
        <v>0</v>
      </c>
      <c r="FS11" s="37">
        <f t="shared" si="96"/>
        <v>0</v>
      </c>
      <c r="FT11" s="37">
        <f t="shared" si="97"/>
        <v>-4529410</v>
      </c>
      <c r="FU11" s="37">
        <f t="shared" si="98"/>
        <v>0</v>
      </c>
      <c r="FV11" s="100"/>
      <c r="FW11" s="38">
        <v>0</v>
      </c>
      <c r="FX11" s="37">
        <f t="shared" si="99"/>
        <v>0</v>
      </c>
      <c r="FY11" s="37">
        <f t="shared" si="100"/>
        <v>-4529410</v>
      </c>
      <c r="FZ11" s="37">
        <f t="shared" si="101"/>
        <v>0</v>
      </c>
      <c r="GA11" s="37">
        <f t="shared" si="102"/>
        <v>0</v>
      </c>
      <c r="GB11" s="107"/>
      <c r="GC11" s="38"/>
      <c r="GD11" s="27"/>
      <c r="GE11" s="37">
        <f t="shared" si="103"/>
        <v>0</v>
      </c>
      <c r="GF11" s="38"/>
      <c r="GG11" s="37">
        <f t="shared" si="104"/>
        <v>0</v>
      </c>
      <c r="GH11" s="26">
        <f t="shared" si="9"/>
        <v>0</v>
      </c>
      <c r="GI11" s="37">
        <f t="shared" si="10"/>
        <v>-4529410</v>
      </c>
      <c r="GJ11" s="37">
        <f t="shared" si="11"/>
        <v>0</v>
      </c>
      <c r="GK11" s="37">
        <f t="shared" si="12"/>
        <v>0</v>
      </c>
      <c r="GL11" s="37">
        <f t="shared" si="13"/>
        <v>0</v>
      </c>
      <c r="GM11" s="107"/>
      <c r="GN11" s="115"/>
      <c r="GO11" s="113">
        <f t="shared" si="105"/>
        <v>0</v>
      </c>
      <c r="GP11" s="113"/>
      <c r="GQ11" s="113">
        <f t="shared" si="106"/>
        <v>0</v>
      </c>
      <c r="GR11" s="113"/>
      <c r="GS11" s="128">
        <v>0</v>
      </c>
      <c r="GT11" s="128"/>
      <c r="GU11" s="123"/>
      <c r="GV11" s="115"/>
      <c r="GW11" s="99"/>
      <c r="GX11" s="128">
        <f t="shared" si="108"/>
        <v>0</v>
      </c>
      <c r="GY11" s="128">
        <f t="shared" si="109"/>
        <v>0</v>
      </c>
      <c r="GZ11" s="115"/>
      <c r="HA11" s="99"/>
      <c r="HB11" s="128">
        <f t="shared" si="110"/>
        <v>0</v>
      </c>
      <c r="HC11" s="128">
        <f t="shared" si="111"/>
        <v>0</v>
      </c>
      <c r="HD11" s="128">
        <f t="shared" si="112"/>
        <v>0</v>
      </c>
      <c r="HE11" s="115"/>
      <c r="HF11" s="99"/>
      <c r="HG11" s="128">
        <f t="shared" si="126"/>
        <v>0</v>
      </c>
      <c r="HH11" s="128">
        <f t="shared" si="113"/>
        <v>0</v>
      </c>
      <c r="HI11" s="128">
        <f t="shared" si="114"/>
        <v>0</v>
      </c>
      <c r="HJ11" s="115"/>
      <c r="HK11" s="99"/>
      <c r="HL11" s="128">
        <f t="shared" si="115"/>
        <v>0</v>
      </c>
      <c r="HM11" s="128">
        <f t="shared" si="116"/>
        <v>0</v>
      </c>
      <c r="HN11" s="128">
        <f t="shared" si="117"/>
        <v>0</v>
      </c>
      <c r="HO11" s="128">
        <f t="shared" si="118"/>
        <v>0</v>
      </c>
      <c r="HP11" s="115"/>
      <c r="HQ11" s="99"/>
      <c r="HR11" s="128">
        <f t="shared" si="14"/>
        <v>0</v>
      </c>
      <c r="HS11" s="128">
        <f t="shared" si="15"/>
        <v>0</v>
      </c>
      <c r="HT11" s="128">
        <f t="shared" si="16"/>
        <v>0</v>
      </c>
      <c r="HU11" s="128">
        <f t="shared" si="17"/>
        <v>0</v>
      </c>
      <c r="HV11" s="115"/>
      <c r="HW11" s="99"/>
      <c r="HX11" s="128">
        <f t="shared" si="18"/>
        <v>0</v>
      </c>
      <c r="HY11" s="128">
        <f t="shared" si="19"/>
        <v>0</v>
      </c>
      <c r="HZ11" s="128">
        <f t="shared" si="119"/>
        <v>0</v>
      </c>
      <c r="IA11" s="115"/>
      <c r="IB11" s="99"/>
      <c r="IC11" s="115"/>
      <c r="ID11" s="128">
        <f t="shared" si="20"/>
        <v>0</v>
      </c>
      <c r="IE11" s="164">
        <f t="shared" si="21"/>
        <v>0</v>
      </c>
      <c r="IF11" s="185"/>
      <c r="IG11" s="40">
        <f t="shared" si="120"/>
        <v>0</v>
      </c>
      <c r="IH11" s="115"/>
    </row>
    <row r="12" spans="1:247" ht="51" customHeight="1" x14ac:dyDescent="0.2">
      <c r="A12" s="17" t="s">
        <v>50</v>
      </c>
      <c r="B12" s="18"/>
      <c r="C12" s="52" t="s">
        <v>151</v>
      </c>
      <c r="D12" s="20"/>
      <c r="E12" s="21">
        <v>0</v>
      </c>
      <c r="F12" s="21">
        <v>0</v>
      </c>
      <c r="G12" s="21">
        <v>4175489</v>
      </c>
      <c r="H12" s="21"/>
      <c r="I12" s="21">
        <f t="shared" si="0"/>
        <v>4175489</v>
      </c>
      <c r="J12" s="22"/>
      <c r="K12" s="22"/>
      <c r="L12" s="22">
        <f t="shared" si="1"/>
        <v>0</v>
      </c>
      <c r="M12" s="23">
        <f t="shared" si="22"/>
        <v>4175489</v>
      </c>
      <c r="N12" s="23">
        <f>M12+J12</f>
        <v>4175489</v>
      </c>
      <c r="O12" s="23">
        <v>3097940</v>
      </c>
      <c r="P12" s="23">
        <v>2347940</v>
      </c>
      <c r="Q12" s="23">
        <v>4075489</v>
      </c>
      <c r="R12" s="23">
        <v>3275489</v>
      </c>
      <c r="S12" s="23">
        <v>3.8940000000000002E-2</v>
      </c>
      <c r="T12" s="23">
        <f t="shared" si="121"/>
        <v>-127547.54166</v>
      </c>
      <c r="U12" s="23">
        <f t="shared" si="122"/>
        <v>3147941.4583399999</v>
      </c>
      <c r="V12" s="23">
        <f t="shared" si="2"/>
        <v>-1027547.5416600001</v>
      </c>
      <c r="W12" s="24">
        <v>3147940</v>
      </c>
      <c r="X12" s="24"/>
      <c r="Y12" s="24">
        <f t="shared" si="23"/>
        <v>3147940</v>
      </c>
      <c r="Z12" s="25">
        <v>3947940</v>
      </c>
      <c r="AA12" s="25">
        <f t="shared" si="24"/>
        <v>800000</v>
      </c>
      <c r="AB12" s="25">
        <v>3147940</v>
      </c>
      <c r="AC12" s="25">
        <v>3147940</v>
      </c>
      <c r="AD12" s="26">
        <v>3084981</v>
      </c>
      <c r="AE12" s="25"/>
      <c r="AF12" s="25"/>
      <c r="AG12" s="25">
        <f>AC12-Z12</f>
        <v>-800000</v>
      </c>
      <c r="AH12" s="26">
        <v>3084981</v>
      </c>
      <c r="AI12" s="26">
        <v>3147940</v>
      </c>
      <c r="AJ12" s="25">
        <f t="shared" si="3"/>
        <v>-62959</v>
      </c>
      <c r="AK12" s="25">
        <f>AD12-Z12</f>
        <v>-862959</v>
      </c>
      <c r="AL12" s="25">
        <f t="shared" si="26"/>
        <v>-62959</v>
      </c>
      <c r="AM12" s="26">
        <f t="shared" si="27"/>
        <v>-62959</v>
      </c>
      <c r="AN12" s="26">
        <f t="shared" si="28"/>
        <v>-862959</v>
      </c>
      <c r="AO12" s="26">
        <f t="shared" si="4"/>
        <v>-62959</v>
      </c>
      <c r="AP12" s="25">
        <v>3147940</v>
      </c>
      <c r="AQ12" s="25">
        <f t="shared" si="5"/>
        <v>0</v>
      </c>
      <c r="AR12" s="25">
        <f t="shared" si="29"/>
        <v>-800000</v>
      </c>
      <c r="AS12" s="25">
        <f t="shared" si="30"/>
        <v>0</v>
      </c>
      <c r="AT12" s="25"/>
      <c r="AU12" s="25">
        <f t="shared" si="31"/>
        <v>3147940</v>
      </c>
      <c r="AV12" s="25">
        <v>3547940</v>
      </c>
      <c r="AW12" s="25">
        <f t="shared" si="32"/>
        <v>400000</v>
      </c>
      <c r="AX12" s="25">
        <v>3147940</v>
      </c>
      <c r="AY12" s="26">
        <f t="shared" si="123"/>
        <v>0</v>
      </c>
      <c r="AZ12" s="26">
        <f t="shared" si="124"/>
        <v>-400000</v>
      </c>
      <c r="BA12" s="25">
        <v>3147940</v>
      </c>
      <c r="BB12" s="25">
        <f t="shared" si="33"/>
        <v>0</v>
      </c>
      <c r="BC12" s="25">
        <f t="shared" si="34"/>
        <v>-400000</v>
      </c>
      <c r="BD12" s="25">
        <f t="shared" si="35"/>
        <v>0</v>
      </c>
      <c r="BE12" s="25">
        <v>3147940</v>
      </c>
      <c r="BF12" s="25">
        <v>3147940</v>
      </c>
      <c r="BG12" s="25">
        <v>3147940</v>
      </c>
      <c r="BH12" s="25">
        <f t="shared" si="36"/>
        <v>0</v>
      </c>
      <c r="BI12" s="25">
        <f t="shared" si="37"/>
        <v>-400000</v>
      </c>
      <c r="BJ12" s="25">
        <f t="shared" si="38"/>
        <v>0</v>
      </c>
      <c r="BK12" s="8">
        <f t="shared" si="39"/>
        <v>0</v>
      </c>
      <c r="BL12" s="25">
        <v>25000</v>
      </c>
      <c r="BM12" s="25">
        <f t="shared" si="40"/>
        <v>3122940</v>
      </c>
      <c r="BN12" s="37">
        <v>3797940</v>
      </c>
      <c r="BO12" s="26">
        <f t="shared" si="41"/>
        <v>675000</v>
      </c>
      <c r="BP12" s="37">
        <v>1500000</v>
      </c>
      <c r="BQ12" s="8">
        <f t="shared" si="42"/>
        <v>-1622940</v>
      </c>
      <c r="BR12" s="8">
        <f t="shared" si="43"/>
        <v>-2297940</v>
      </c>
      <c r="BS12" s="37">
        <v>1800000</v>
      </c>
      <c r="BT12" s="40">
        <f t="shared" si="44"/>
        <v>-1322940</v>
      </c>
      <c r="BU12" s="40">
        <f t="shared" si="45"/>
        <v>-1997940</v>
      </c>
      <c r="BV12" s="40">
        <f t="shared" si="46"/>
        <v>300000</v>
      </c>
      <c r="BW12" s="38">
        <v>3000000</v>
      </c>
      <c r="BX12" s="8">
        <f t="shared" si="47"/>
        <v>-122940</v>
      </c>
      <c r="BY12" s="8">
        <f t="shared" si="48"/>
        <v>-797940</v>
      </c>
      <c r="BZ12" s="8">
        <f t="shared" si="49"/>
        <v>1200000</v>
      </c>
      <c r="CA12" s="38">
        <v>3000000</v>
      </c>
      <c r="CB12" s="8">
        <f t="shared" si="50"/>
        <v>-122940</v>
      </c>
      <c r="CC12" s="8">
        <f t="shared" si="51"/>
        <v>-797940</v>
      </c>
      <c r="CD12" s="8">
        <f t="shared" si="6"/>
        <v>1200000</v>
      </c>
      <c r="CE12" s="8">
        <f t="shared" si="52"/>
        <v>0</v>
      </c>
      <c r="CF12" s="38">
        <v>2300000</v>
      </c>
      <c r="CG12" s="8">
        <f t="shared" si="53"/>
        <v>-822940</v>
      </c>
      <c r="CH12" s="8">
        <f t="shared" si="54"/>
        <v>-1497940</v>
      </c>
      <c r="CI12" s="8">
        <f t="shared" si="55"/>
        <v>500000</v>
      </c>
      <c r="CJ12" s="8">
        <f t="shared" si="56"/>
        <v>-700000</v>
      </c>
      <c r="CK12" s="38">
        <v>2300000</v>
      </c>
      <c r="CL12" s="8">
        <f t="shared" si="7"/>
        <v>-822940</v>
      </c>
      <c r="CM12" s="8">
        <f t="shared" si="57"/>
        <v>-1497940</v>
      </c>
      <c r="CN12" s="8">
        <f t="shared" si="58"/>
        <v>0</v>
      </c>
      <c r="CO12" s="38">
        <f>CK12+400000+350000</f>
        <v>3050000</v>
      </c>
      <c r="CP12" s="38">
        <f t="shared" si="59"/>
        <v>-747940</v>
      </c>
      <c r="CQ12" s="8">
        <f t="shared" si="60"/>
        <v>750000</v>
      </c>
      <c r="CR12" s="38">
        <v>1800000</v>
      </c>
      <c r="CS12" s="27">
        <v>320000</v>
      </c>
      <c r="CT12" s="38">
        <f t="shared" si="61"/>
        <v>2120000</v>
      </c>
      <c r="CU12" s="8">
        <f t="shared" si="62"/>
        <v>-180000</v>
      </c>
      <c r="CV12" s="38">
        <f t="shared" si="63"/>
        <v>-930000</v>
      </c>
      <c r="CW12" s="38">
        <f t="shared" si="64"/>
        <v>320000</v>
      </c>
      <c r="CX12" s="38">
        <v>2300000</v>
      </c>
      <c r="CY12" s="8">
        <f t="shared" si="65"/>
        <v>0</v>
      </c>
      <c r="CZ12" s="38">
        <f t="shared" si="66"/>
        <v>-750000</v>
      </c>
      <c r="DA12" s="38">
        <f t="shared" si="67"/>
        <v>180000</v>
      </c>
      <c r="DB12" s="38">
        <v>2300000</v>
      </c>
      <c r="DC12" s="8">
        <f t="shared" si="68"/>
        <v>0</v>
      </c>
      <c r="DD12" s="38">
        <f t="shared" si="69"/>
        <v>-750000</v>
      </c>
      <c r="DE12" s="38">
        <f t="shared" si="70"/>
        <v>180000</v>
      </c>
      <c r="DF12" s="38">
        <f t="shared" si="71"/>
        <v>0</v>
      </c>
      <c r="DG12" s="38">
        <v>2020000</v>
      </c>
      <c r="DH12" s="40">
        <f t="shared" si="72"/>
        <v>-280000</v>
      </c>
      <c r="DI12" s="38">
        <f t="shared" si="73"/>
        <v>-1030000</v>
      </c>
      <c r="DJ12" s="38">
        <f t="shared" si="74"/>
        <v>-100000</v>
      </c>
      <c r="DK12" s="38">
        <f t="shared" si="75"/>
        <v>-280000</v>
      </c>
      <c r="DL12" s="38">
        <v>-20000</v>
      </c>
      <c r="DM12" s="38">
        <f t="shared" si="76"/>
        <v>2000000</v>
      </c>
      <c r="DN12" s="38">
        <v>2020000</v>
      </c>
      <c r="DO12" s="38">
        <f t="shared" si="77"/>
        <v>-280000</v>
      </c>
      <c r="DP12" s="38"/>
      <c r="DQ12" s="38">
        <v>-18000</v>
      </c>
      <c r="DR12" s="38">
        <f t="shared" si="78"/>
        <v>2002000</v>
      </c>
      <c r="DS12" s="38">
        <f t="shared" si="79"/>
        <v>-298000</v>
      </c>
      <c r="DT12" s="38">
        <v>-106984</v>
      </c>
      <c r="DU12" s="38">
        <f t="shared" si="80"/>
        <v>1895016</v>
      </c>
      <c r="DV12" s="38">
        <f t="shared" si="81"/>
        <v>-404984</v>
      </c>
      <c r="DW12" s="38">
        <v>1895016</v>
      </c>
      <c r="DX12" s="38">
        <v>0</v>
      </c>
      <c r="DY12" s="8">
        <f t="shared" ref="DY12:DY39" si="127">DX12-DU12</f>
        <v>-1895016</v>
      </c>
      <c r="DZ12" s="40">
        <v>1800000</v>
      </c>
      <c r="EA12" s="8">
        <f t="shared" ref="EA12:EA39" si="128">DZ12-DU12</f>
        <v>-95016</v>
      </c>
      <c r="EB12" s="8">
        <f t="shared" ref="EB12:EB39" si="129">DZ12-DX12</f>
        <v>1800000</v>
      </c>
      <c r="EC12" s="58" t="s">
        <v>256</v>
      </c>
      <c r="ED12" s="37">
        <v>1900000</v>
      </c>
      <c r="EE12" s="25">
        <f t="shared" ref="EE12:EE39" si="130">ED12-DU12</f>
        <v>4984</v>
      </c>
      <c r="EF12" s="25">
        <f t="shared" ref="EF12:EF39" si="131">ED12-DX12</f>
        <v>1900000</v>
      </c>
      <c r="EG12" s="25">
        <f t="shared" si="82"/>
        <v>100000</v>
      </c>
      <c r="EH12" s="37">
        <v>2800000</v>
      </c>
      <c r="EI12" s="25">
        <f t="shared" ref="EI12:EI39" si="132">EH12-DU12</f>
        <v>904984</v>
      </c>
      <c r="EJ12" s="25">
        <f t="shared" ref="EJ12:EJ39" si="133">EH12-DX12</f>
        <v>2800000</v>
      </c>
      <c r="EK12" s="25">
        <f t="shared" si="83"/>
        <v>900000</v>
      </c>
      <c r="EL12" s="37">
        <v>2800000</v>
      </c>
      <c r="EM12" s="25">
        <f t="shared" ref="EM12:EM39" si="134">EL12-DU12</f>
        <v>904984</v>
      </c>
      <c r="EN12" s="25">
        <f t="shared" ref="EN12:EN39" si="135">EL12-DX12</f>
        <v>2800000</v>
      </c>
      <c r="EO12" s="25">
        <f t="shared" si="125"/>
        <v>900000</v>
      </c>
      <c r="EP12" s="25">
        <f t="shared" si="84"/>
        <v>0</v>
      </c>
      <c r="EQ12" s="37">
        <v>2000000</v>
      </c>
      <c r="ER12" s="25">
        <f t="shared" ref="ER12:ER39" si="136">EQ12-DW12</f>
        <v>104984</v>
      </c>
      <c r="ES12" s="25">
        <f t="shared" ref="ES12:ES39" si="137">EQ12-DX12</f>
        <v>2000000</v>
      </c>
      <c r="ET12" s="25">
        <f t="shared" si="85"/>
        <v>100000</v>
      </c>
      <c r="EU12" s="25">
        <f t="shared" si="86"/>
        <v>-800000</v>
      </c>
      <c r="EV12" s="37">
        <v>2000000</v>
      </c>
      <c r="EW12" s="25">
        <f t="shared" ref="EW12:EW39" si="138">EV12-DW12</f>
        <v>104984</v>
      </c>
      <c r="EX12" s="25">
        <f t="shared" si="87"/>
        <v>0</v>
      </c>
      <c r="EY12" s="25">
        <f t="shared" si="8"/>
        <v>0</v>
      </c>
      <c r="EZ12" s="37">
        <v>2000000</v>
      </c>
      <c r="FA12" s="25">
        <f t="shared" ref="FA12:FA39" si="139">EZ12-DW12</f>
        <v>104984</v>
      </c>
      <c r="FB12" s="25"/>
      <c r="FC12" s="25">
        <f t="shared" si="88"/>
        <v>2000000</v>
      </c>
      <c r="FD12" s="25"/>
      <c r="FE12" s="25"/>
      <c r="FF12" s="25">
        <f t="shared" si="89"/>
        <v>2000000</v>
      </c>
      <c r="FG12" s="37">
        <v>0</v>
      </c>
      <c r="FH12" s="25">
        <f t="shared" si="90"/>
        <v>-2000000</v>
      </c>
      <c r="FI12" s="25"/>
      <c r="FJ12" s="37">
        <v>1789671</v>
      </c>
      <c r="FK12" s="37">
        <f t="shared" si="91"/>
        <v>-210329</v>
      </c>
      <c r="FL12" s="37">
        <f t="shared" si="92"/>
        <v>1789671</v>
      </c>
      <c r="FM12" s="37">
        <v>1789671</v>
      </c>
      <c r="FN12" s="37">
        <f t="shared" si="93"/>
        <v>-210329</v>
      </c>
      <c r="FO12" s="37">
        <f t="shared" si="94"/>
        <v>1789671</v>
      </c>
      <c r="FP12" s="37">
        <f t="shared" si="95"/>
        <v>0</v>
      </c>
      <c r="FQ12" s="37" t="s">
        <v>315</v>
      </c>
      <c r="FR12" s="37">
        <v>2400000</v>
      </c>
      <c r="FS12" s="37">
        <f t="shared" si="96"/>
        <v>400000</v>
      </c>
      <c r="FT12" s="37">
        <f t="shared" si="97"/>
        <v>2400000</v>
      </c>
      <c r="FU12" s="37">
        <f t="shared" si="98"/>
        <v>610329</v>
      </c>
      <c r="FV12" s="101" t="s">
        <v>323</v>
      </c>
      <c r="FW12" s="37">
        <v>2600000</v>
      </c>
      <c r="FX12" s="37">
        <f t="shared" si="99"/>
        <v>600000</v>
      </c>
      <c r="FY12" s="37">
        <f t="shared" si="100"/>
        <v>2600000</v>
      </c>
      <c r="FZ12" s="37">
        <f t="shared" si="101"/>
        <v>810329</v>
      </c>
      <c r="GA12" s="37">
        <f t="shared" si="102"/>
        <v>200000</v>
      </c>
      <c r="GB12" s="107" t="s">
        <v>343</v>
      </c>
      <c r="GC12" s="37">
        <v>2200000</v>
      </c>
      <c r="GD12" s="26">
        <v>-600000</v>
      </c>
      <c r="GE12" s="37">
        <f t="shared" si="103"/>
        <v>1600000</v>
      </c>
      <c r="GF12" s="38">
        <v>600000</v>
      </c>
      <c r="GG12" s="37">
        <f t="shared" si="104"/>
        <v>2200000</v>
      </c>
      <c r="GH12" s="26">
        <f t="shared" si="9"/>
        <v>200000</v>
      </c>
      <c r="GI12" s="37">
        <f t="shared" si="10"/>
        <v>2200000</v>
      </c>
      <c r="GJ12" s="37">
        <f t="shared" si="11"/>
        <v>410329</v>
      </c>
      <c r="GK12" s="37">
        <f t="shared" si="12"/>
        <v>-400000</v>
      </c>
      <c r="GL12" s="37">
        <f t="shared" si="13"/>
        <v>0</v>
      </c>
      <c r="GM12" s="107" t="s">
        <v>351</v>
      </c>
      <c r="GN12" s="115"/>
      <c r="GO12" s="113">
        <f t="shared" si="105"/>
        <v>2200000</v>
      </c>
      <c r="GP12" s="113"/>
      <c r="GQ12" s="113">
        <f t="shared" si="106"/>
        <v>2200000</v>
      </c>
      <c r="GR12" s="113">
        <v>-580000</v>
      </c>
      <c r="GS12" s="128">
        <v>1620000</v>
      </c>
      <c r="GT12" s="128">
        <v>0</v>
      </c>
      <c r="GU12" s="123">
        <f t="shared" ref="GU12:GU18" si="140">GT12-GS12</f>
        <v>-1620000</v>
      </c>
      <c r="GV12" s="115" t="s">
        <v>378</v>
      </c>
      <c r="GW12" s="99">
        <v>1549389</v>
      </c>
      <c r="GX12" s="128">
        <f t="shared" si="108"/>
        <v>-70611</v>
      </c>
      <c r="GY12" s="128">
        <f t="shared" si="109"/>
        <v>1549389</v>
      </c>
      <c r="GZ12" s="115" t="s">
        <v>401</v>
      </c>
      <c r="HA12" s="99">
        <f>1549389+200000</f>
        <v>1749389</v>
      </c>
      <c r="HB12" s="128">
        <f t="shared" si="110"/>
        <v>129389</v>
      </c>
      <c r="HC12" s="128">
        <f t="shared" si="111"/>
        <v>1749389</v>
      </c>
      <c r="HD12" s="128">
        <f t="shared" si="112"/>
        <v>200000</v>
      </c>
      <c r="HE12" s="115" t="s">
        <v>441</v>
      </c>
      <c r="HF12" s="99">
        <v>2100000</v>
      </c>
      <c r="HG12" s="128">
        <f t="shared" si="126"/>
        <v>480000</v>
      </c>
      <c r="HH12" s="128">
        <f t="shared" si="113"/>
        <v>2100000</v>
      </c>
      <c r="HI12" s="128">
        <f t="shared" si="114"/>
        <v>350611</v>
      </c>
      <c r="HJ12" s="115" t="s">
        <v>459</v>
      </c>
      <c r="HK12" s="99">
        <f>2100000+100000</f>
        <v>2200000</v>
      </c>
      <c r="HL12" s="128">
        <f t="shared" si="115"/>
        <v>580000</v>
      </c>
      <c r="HM12" s="128">
        <f t="shared" si="116"/>
        <v>2200000</v>
      </c>
      <c r="HN12" s="128">
        <f t="shared" si="117"/>
        <v>450611</v>
      </c>
      <c r="HO12" s="128">
        <f t="shared" si="118"/>
        <v>100000</v>
      </c>
      <c r="HP12" s="115" t="s">
        <v>467</v>
      </c>
      <c r="HQ12" s="99">
        <v>1696907</v>
      </c>
      <c r="HR12" s="128">
        <f t="shared" si="14"/>
        <v>76907</v>
      </c>
      <c r="HS12" s="128">
        <f t="shared" si="15"/>
        <v>1696907</v>
      </c>
      <c r="HT12" s="128">
        <f t="shared" si="16"/>
        <v>-52482</v>
      </c>
      <c r="HU12" s="128">
        <f t="shared" si="17"/>
        <v>-503093</v>
      </c>
      <c r="HV12" s="160" t="s">
        <v>500</v>
      </c>
      <c r="HW12" s="99">
        <v>1396907</v>
      </c>
      <c r="HX12" s="128">
        <f t="shared" si="18"/>
        <v>-223093</v>
      </c>
      <c r="HY12" s="128">
        <f t="shared" si="19"/>
        <v>1396907</v>
      </c>
      <c r="HZ12" s="128">
        <f t="shared" si="119"/>
        <v>-300000</v>
      </c>
      <c r="IA12" s="160" t="s">
        <v>515</v>
      </c>
      <c r="IB12" s="99">
        <v>1696907</v>
      </c>
      <c r="IC12" s="166" t="s">
        <v>500</v>
      </c>
      <c r="ID12" s="128">
        <f t="shared" si="20"/>
        <v>1696907</v>
      </c>
      <c r="IE12" s="164">
        <f t="shared" si="21"/>
        <v>76907</v>
      </c>
      <c r="IF12" s="185">
        <v>3276228</v>
      </c>
      <c r="IG12" s="40">
        <f t="shared" si="120"/>
        <v>1579321</v>
      </c>
      <c r="IH12" s="115" t="s">
        <v>550</v>
      </c>
      <c r="II12" s="1"/>
    </row>
    <row r="13" spans="1:247" ht="12.75" hidden="1" x14ac:dyDescent="0.2">
      <c r="A13" s="39" t="s">
        <v>218</v>
      </c>
      <c r="B13" s="18"/>
      <c r="C13" s="51" t="s">
        <v>219</v>
      </c>
      <c r="D13" s="20"/>
      <c r="E13" s="21"/>
      <c r="F13" s="21"/>
      <c r="G13" s="21"/>
      <c r="H13" s="21"/>
      <c r="I13" s="21"/>
      <c r="J13" s="22"/>
      <c r="K13" s="22"/>
      <c r="L13" s="22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  <c r="X13" s="24"/>
      <c r="Y13" s="24"/>
      <c r="Z13" s="25"/>
      <c r="AA13" s="25"/>
      <c r="AB13" s="25"/>
      <c r="AC13" s="25"/>
      <c r="AD13" s="26"/>
      <c r="AE13" s="25"/>
      <c r="AF13" s="25"/>
      <c r="AG13" s="25"/>
      <c r="AH13" s="26"/>
      <c r="AI13" s="26"/>
      <c r="AJ13" s="25"/>
      <c r="AK13" s="25"/>
      <c r="AL13" s="25"/>
      <c r="AM13" s="26"/>
      <c r="AN13" s="26"/>
      <c r="AO13" s="26"/>
      <c r="AP13" s="25"/>
      <c r="AQ13" s="25"/>
      <c r="AR13" s="25"/>
      <c r="AS13" s="25"/>
      <c r="AT13" s="25"/>
      <c r="AU13" s="25"/>
      <c r="AV13" s="25"/>
      <c r="AW13" s="25"/>
      <c r="AX13" s="25"/>
      <c r="AY13" s="26"/>
      <c r="AZ13" s="26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8"/>
      <c r="BL13" s="25"/>
      <c r="BM13" s="25"/>
      <c r="BN13" s="37"/>
      <c r="BO13" s="26"/>
      <c r="BP13" s="37"/>
      <c r="BQ13" s="8"/>
      <c r="BR13" s="8"/>
      <c r="BS13" s="37"/>
      <c r="BT13" s="40"/>
      <c r="BU13" s="40"/>
      <c r="BV13" s="40"/>
      <c r="BW13" s="38"/>
      <c r="BX13" s="8"/>
      <c r="BY13" s="8"/>
      <c r="BZ13" s="8"/>
      <c r="CA13" s="38"/>
      <c r="CB13" s="8"/>
      <c r="CC13" s="8"/>
      <c r="CD13" s="8"/>
      <c r="CE13" s="8"/>
      <c r="CF13" s="38"/>
      <c r="CG13" s="8"/>
      <c r="CH13" s="8"/>
      <c r="CI13" s="8"/>
      <c r="CJ13" s="8"/>
      <c r="CK13" s="38"/>
      <c r="CL13" s="8"/>
      <c r="CM13" s="8"/>
      <c r="CN13" s="8"/>
      <c r="CO13" s="38"/>
      <c r="CP13" s="38"/>
      <c r="CQ13" s="8"/>
      <c r="CR13" s="38"/>
      <c r="CS13" s="27"/>
      <c r="CT13" s="38"/>
      <c r="CU13" s="8"/>
      <c r="CV13" s="38"/>
      <c r="CW13" s="38"/>
      <c r="CX13" s="38">
        <v>500000</v>
      </c>
      <c r="CY13" s="8">
        <f t="shared" si="65"/>
        <v>500000</v>
      </c>
      <c r="CZ13" s="38">
        <f t="shared" si="66"/>
        <v>500000</v>
      </c>
      <c r="DA13" s="38">
        <f t="shared" si="67"/>
        <v>500000</v>
      </c>
      <c r="DB13" s="38">
        <v>500000</v>
      </c>
      <c r="DC13" s="8">
        <f t="shared" si="68"/>
        <v>500000</v>
      </c>
      <c r="DD13" s="38">
        <f t="shared" si="69"/>
        <v>500000</v>
      </c>
      <c r="DE13" s="38">
        <f t="shared" si="70"/>
        <v>500000</v>
      </c>
      <c r="DF13" s="38">
        <f t="shared" si="71"/>
        <v>0</v>
      </c>
      <c r="DG13" s="38">
        <v>500000</v>
      </c>
      <c r="DH13" s="40">
        <f t="shared" si="72"/>
        <v>500000</v>
      </c>
      <c r="DI13" s="38">
        <f t="shared" si="73"/>
        <v>500000</v>
      </c>
      <c r="DJ13" s="38">
        <f t="shared" si="74"/>
        <v>500000</v>
      </c>
      <c r="DK13" s="38">
        <f t="shared" si="75"/>
        <v>0</v>
      </c>
      <c r="DL13" s="38">
        <v>-500000</v>
      </c>
      <c r="DM13" s="38">
        <f t="shared" si="76"/>
        <v>0</v>
      </c>
      <c r="DN13" s="38">
        <v>500000</v>
      </c>
      <c r="DO13" s="38">
        <f t="shared" si="77"/>
        <v>500000</v>
      </c>
      <c r="DP13" s="38"/>
      <c r="DQ13" s="38">
        <v>-500000</v>
      </c>
      <c r="DR13" s="38">
        <f t="shared" si="78"/>
        <v>0</v>
      </c>
      <c r="DS13" s="38">
        <f t="shared" si="79"/>
        <v>0</v>
      </c>
      <c r="DT13" s="38"/>
      <c r="DU13" s="38">
        <f t="shared" si="80"/>
        <v>0</v>
      </c>
      <c r="DV13" s="38">
        <f t="shared" si="81"/>
        <v>0</v>
      </c>
      <c r="DW13" s="38">
        <v>0</v>
      </c>
      <c r="DX13" s="38">
        <v>0</v>
      </c>
      <c r="DY13" s="8">
        <f t="shared" si="127"/>
        <v>0</v>
      </c>
      <c r="DZ13" s="40">
        <v>0</v>
      </c>
      <c r="EA13" s="8">
        <f t="shared" si="128"/>
        <v>0</v>
      </c>
      <c r="EB13" s="8">
        <f t="shared" si="129"/>
        <v>0</v>
      </c>
      <c r="EC13" s="60"/>
      <c r="ED13" s="37"/>
      <c r="EE13" s="25">
        <f t="shared" si="130"/>
        <v>0</v>
      </c>
      <c r="EF13" s="25">
        <f t="shared" si="131"/>
        <v>0</v>
      </c>
      <c r="EG13" s="25">
        <f t="shared" si="82"/>
        <v>0</v>
      </c>
      <c r="EH13" s="37">
        <v>300000</v>
      </c>
      <c r="EI13" s="25">
        <f t="shared" si="132"/>
        <v>300000</v>
      </c>
      <c r="EJ13" s="25">
        <f t="shared" si="133"/>
        <v>300000</v>
      </c>
      <c r="EK13" s="25">
        <f t="shared" si="83"/>
        <v>300000</v>
      </c>
      <c r="EL13" s="37">
        <v>300000</v>
      </c>
      <c r="EM13" s="25">
        <f t="shared" si="134"/>
        <v>300000</v>
      </c>
      <c r="EN13" s="25">
        <f t="shared" si="135"/>
        <v>300000</v>
      </c>
      <c r="EO13" s="25">
        <f t="shared" si="125"/>
        <v>300000</v>
      </c>
      <c r="EP13" s="25">
        <f t="shared" si="84"/>
        <v>0</v>
      </c>
      <c r="EQ13" s="37">
        <v>300000</v>
      </c>
      <c r="ER13" s="25">
        <f t="shared" si="136"/>
        <v>300000</v>
      </c>
      <c r="ES13" s="25">
        <f t="shared" si="137"/>
        <v>300000</v>
      </c>
      <c r="ET13" s="25">
        <f t="shared" si="85"/>
        <v>300000</v>
      </c>
      <c r="EU13" s="25">
        <f t="shared" si="86"/>
        <v>0</v>
      </c>
      <c r="EV13" s="37">
        <v>300000</v>
      </c>
      <c r="EW13" s="25">
        <f t="shared" si="138"/>
        <v>300000</v>
      </c>
      <c r="EX13" s="25">
        <f t="shared" si="87"/>
        <v>0</v>
      </c>
      <c r="EY13" s="25">
        <f t="shared" si="8"/>
        <v>0</v>
      </c>
      <c r="EZ13" s="37">
        <v>300000</v>
      </c>
      <c r="FA13" s="25">
        <f t="shared" si="139"/>
        <v>300000</v>
      </c>
      <c r="FB13" s="25"/>
      <c r="FC13" s="25">
        <f t="shared" si="88"/>
        <v>300000</v>
      </c>
      <c r="FD13" s="25"/>
      <c r="FE13" s="25"/>
      <c r="FF13" s="25">
        <f t="shared" si="89"/>
        <v>300000</v>
      </c>
      <c r="FG13" s="37">
        <v>0</v>
      </c>
      <c r="FH13" s="25">
        <f t="shared" si="90"/>
        <v>-300000</v>
      </c>
      <c r="FI13" s="25"/>
      <c r="FJ13" s="37">
        <v>0</v>
      </c>
      <c r="FK13" s="37">
        <f t="shared" si="91"/>
        <v>-300000</v>
      </c>
      <c r="FL13" s="37">
        <f t="shared" si="92"/>
        <v>0</v>
      </c>
      <c r="FM13" s="37">
        <v>0</v>
      </c>
      <c r="FN13" s="37">
        <f t="shared" si="93"/>
        <v>-300000</v>
      </c>
      <c r="FO13" s="37">
        <f t="shared" si="94"/>
        <v>0</v>
      </c>
      <c r="FP13" s="37">
        <f t="shared" si="95"/>
        <v>0</v>
      </c>
      <c r="FQ13" s="37"/>
      <c r="FR13" s="37">
        <v>0</v>
      </c>
      <c r="FS13" s="37">
        <f t="shared" si="96"/>
        <v>-300000</v>
      </c>
      <c r="FT13" s="37">
        <f t="shared" si="97"/>
        <v>0</v>
      </c>
      <c r="FU13" s="37">
        <f t="shared" si="98"/>
        <v>0</v>
      </c>
      <c r="FV13" s="100"/>
      <c r="FW13" s="37">
        <v>0</v>
      </c>
      <c r="FX13" s="37">
        <f t="shared" si="99"/>
        <v>-300000</v>
      </c>
      <c r="FY13" s="37">
        <f t="shared" si="100"/>
        <v>0</v>
      </c>
      <c r="FZ13" s="37">
        <f t="shared" si="101"/>
        <v>0</v>
      </c>
      <c r="GA13" s="37">
        <f t="shared" si="102"/>
        <v>0</v>
      </c>
      <c r="GB13" s="60"/>
      <c r="GC13" s="37">
        <v>0</v>
      </c>
      <c r="GD13" s="26"/>
      <c r="GE13" s="37">
        <f t="shared" si="103"/>
        <v>0</v>
      </c>
      <c r="GF13" s="38"/>
      <c r="GG13" s="37">
        <f t="shared" si="104"/>
        <v>0</v>
      </c>
      <c r="GH13" s="26">
        <f t="shared" si="9"/>
        <v>-300000</v>
      </c>
      <c r="GI13" s="37">
        <f t="shared" si="10"/>
        <v>0</v>
      </c>
      <c r="GJ13" s="37">
        <f t="shared" si="11"/>
        <v>0</v>
      </c>
      <c r="GK13" s="37">
        <f t="shared" si="12"/>
        <v>0</v>
      </c>
      <c r="GL13" s="37">
        <f t="shared" si="13"/>
        <v>0</v>
      </c>
      <c r="GM13" s="60"/>
      <c r="GN13" s="60"/>
      <c r="GO13" s="113">
        <f t="shared" si="105"/>
        <v>0</v>
      </c>
      <c r="GP13" s="113"/>
      <c r="GQ13" s="113">
        <f t="shared" si="106"/>
        <v>0</v>
      </c>
      <c r="GR13" s="113"/>
      <c r="GS13" s="128">
        <v>0</v>
      </c>
      <c r="GT13" s="128">
        <v>0</v>
      </c>
      <c r="GU13" s="123">
        <f t="shared" si="140"/>
        <v>0</v>
      </c>
      <c r="GV13" s="60"/>
      <c r="GW13" s="99">
        <v>0</v>
      </c>
      <c r="GX13" s="128">
        <f t="shared" si="108"/>
        <v>0</v>
      </c>
      <c r="GY13" s="128">
        <f t="shared" si="109"/>
        <v>0</v>
      </c>
      <c r="GZ13" s="60"/>
      <c r="HA13" s="99">
        <v>0</v>
      </c>
      <c r="HB13" s="128">
        <f t="shared" si="110"/>
        <v>0</v>
      </c>
      <c r="HC13" s="128">
        <f t="shared" si="111"/>
        <v>0</v>
      </c>
      <c r="HD13" s="128">
        <f t="shared" si="112"/>
        <v>0</v>
      </c>
      <c r="HE13" s="60"/>
      <c r="HF13" s="99"/>
      <c r="HG13" s="128">
        <f t="shared" si="126"/>
        <v>0</v>
      </c>
      <c r="HH13" s="128">
        <f t="shared" si="113"/>
        <v>0</v>
      </c>
      <c r="HI13" s="128">
        <f t="shared" si="114"/>
        <v>0</v>
      </c>
      <c r="HJ13" s="60"/>
      <c r="HK13" s="99"/>
      <c r="HL13" s="128">
        <f t="shared" si="115"/>
        <v>0</v>
      </c>
      <c r="HM13" s="128">
        <f t="shared" si="116"/>
        <v>0</v>
      </c>
      <c r="HN13" s="128">
        <f t="shared" si="117"/>
        <v>0</v>
      </c>
      <c r="HO13" s="128">
        <f t="shared" si="118"/>
        <v>0</v>
      </c>
      <c r="HP13" s="60"/>
      <c r="HQ13" s="99"/>
      <c r="HR13" s="128">
        <f t="shared" si="14"/>
        <v>0</v>
      </c>
      <c r="HS13" s="128">
        <f t="shared" si="15"/>
        <v>0</v>
      </c>
      <c r="HT13" s="128">
        <f t="shared" si="16"/>
        <v>0</v>
      </c>
      <c r="HU13" s="128">
        <f t="shared" si="17"/>
        <v>0</v>
      </c>
      <c r="HV13" s="60"/>
      <c r="HW13" s="99"/>
      <c r="HX13" s="128">
        <f t="shared" si="18"/>
        <v>0</v>
      </c>
      <c r="HY13" s="128">
        <f t="shared" si="19"/>
        <v>0</v>
      </c>
      <c r="HZ13" s="128">
        <f t="shared" si="119"/>
        <v>0</v>
      </c>
      <c r="IA13" s="60"/>
      <c r="IB13" s="99"/>
      <c r="IC13" s="58"/>
      <c r="ID13" s="128">
        <f t="shared" si="20"/>
        <v>0</v>
      </c>
      <c r="IE13" s="164">
        <f t="shared" si="21"/>
        <v>0</v>
      </c>
      <c r="IF13" s="185">
        <v>0</v>
      </c>
      <c r="IG13" s="40">
        <f t="shared" si="120"/>
        <v>0</v>
      </c>
      <c r="IH13" s="58"/>
      <c r="II13" s="1"/>
    </row>
    <row r="14" spans="1:247" ht="25.5" hidden="1" x14ac:dyDescent="0.2">
      <c r="A14" s="39" t="s">
        <v>220</v>
      </c>
      <c r="B14" s="18"/>
      <c r="C14" s="52" t="s">
        <v>221</v>
      </c>
      <c r="D14" s="20"/>
      <c r="E14" s="21"/>
      <c r="F14" s="21"/>
      <c r="G14" s="21"/>
      <c r="H14" s="21"/>
      <c r="I14" s="21"/>
      <c r="J14" s="22"/>
      <c r="K14" s="22"/>
      <c r="L14" s="22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4"/>
      <c r="X14" s="24"/>
      <c r="Y14" s="24"/>
      <c r="Z14" s="25"/>
      <c r="AA14" s="25"/>
      <c r="AB14" s="25"/>
      <c r="AC14" s="25"/>
      <c r="AD14" s="26"/>
      <c r="AE14" s="25"/>
      <c r="AF14" s="25"/>
      <c r="AG14" s="25"/>
      <c r="AH14" s="26"/>
      <c r="AI14" s="26"/>
      <c r="AJ14" s="25"/>
      <c r="AK14" s="25"/>
      <c r="AL14" s="25"/>
      <c r="AM14" s="26"/>
      <c r="AN14" s="26"/>
      <c r="AO14" s="26"/>
      <c r="AP14" s="25"/>
      <c r="AQ14" s="25"/>
      <c r="AR14" s="25"/>
      <c r="AS14" s="25"/>
      <c r="AT14" s="25"/>
      <c r="AU14" s="25"/>
      <c r="AV14" s="25"/>
      <c r="AW14" s="25"/>
      <c r="AX14" s="25"/>
      <c r="AY14" s="26"/>
      <c r="AZ14" s="26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8"/>
      <c r="BL14" s="25"/>
      <c r="BM14" s="25"/>
      <c r="BN14" s="37"/>
      <c r="BO14" s="26"/>
      <c r="BP14" s="37"/>
      <c r="BQ14" s="8"/>
      <c r="BR14" s="8"/>
      <c r="BS14" s="37"/>
      <c r="BT14" s="40"/>
      <c r="BU14" s="40"/>
      <c r="BV14" s="40"/>
      <c r="BW14" s="38"/>
      <c r="BX14" s="8"/>
      <c r="BY14" s="8"/>
      <c r="BZ14" s="8"/>
      <c r="CA14" s="38"/>
      <c r="CB14" s="8"/>
      <c r="CC14" s="8"/>
      <c r="CD14" s="8"/>
      <c r="CE14" s="8"/>
      <c r="CF14" s="38"/>
      <c r="CG14" s="8"/>
      <c r="CH14" s="8"/>
      <c r="CI14" s="8"/>
      <c r="CJ14" s="8"/>
      <c r="CK14" s="38"/>
      <c r="CL14" s="8"/>
      <c r="CM14" s="8"/>
      <c r="CN14" s="8"/>
      <c r="CO14" s="38"/>
      <c r="CP14" s="38"/>
      <c r="CQ14" s="8"/>
      <c r="CR14" s="38"/>
      <c r="CS14" s="27"/>
      <c r="CT14" s="38"/>
      <c r="CU14" s="8"/>
      <c r="CV14" s="38"/>
      <c r="CW14" s="38"/>
      <c r="CX14" s="38">
        <v>5000000</v>
      </c>
      <c r="CY14" s="8">
        <f t="shared" si="65"/>
        <v>5000000</v>
      </c>
      <c r="CZ14" s="38">
        <f t="shared" si="66"/>
        <v>5000000</v>
      </c>
      <c r="DA14" s="38">
        <f t="shared" si="67"/>
        <v>5000000</v>
      </c>
      <c r="DB14" s="38">
        <v>5000000</v>
      </c>
      <c r="DC14" s="8">
        <f t="shared" si="68"/>
        <v>5000000</v>
      </c>
      <c r="DD14" s="38">
        <f t="shared" si="69"/>
        <v>5000000</v>
      </c>
      <c r="DE14" s="38">
        <f t="shared" si="70"/>
        <v>5000000</v>
      </c>
      <c r="DF14" s="38">
        <f t="shared" si="71"/>
        <v>0</v>
      </c>
      <c r="DG14" s="38">
        <v>5000000</v>
      </c>
      <c r="DH14" s="40">
        <f t="shared" si="72"/>
        <v>5000000</v>
      </c>
      <c r="DI14" s="38">
        <f t="shared" si="73"/>
        <v>5000000</v>
      </c>
      <c r="DJ14" s="38">
        <f t="shared" si="74"/>
        <v>5000000</v>
      </c>
      <c r="DK14" s="38">
        <f t="shared" si="75"/>
        <v>0</v>
      </c>
      <c r="DL14" s="38"/>
      <c r="DM14" s="38">
        <f t="shared" si="76"/>
        <v>5000000</v>
      </c>
      <c r="DN14" s="38">
        <v>5000000</v>
      </c>
      <c r="DO14" s="38">
        <f t="shared" si="77"/>
        <v>5000000</v>
      </c>
      <c r="DP14" s="38"/>
      <c r="DQ14" s="38">
        <v>0</v>
      </c>
      <c r="DR14" s="38">
        <f t="shared" si="78"/>
        <v>5000000</v>
      </c>
      <c r="DS14" s="38">
        <f t="shared" si="79"/>
        <v>5000000</v>
      </c>
      <c r="DT14" s="38">
        <v>-5000000</v>
      </c>
      <c r="DU14" s="38">
        <f t="shared" si="80"/>
        <v>0</v>
      </c>
      <c r="DV14" s="38">
        <f t="shared" si="81"/>
        <v>0</v>
      </c>
      <c r="DW14" s="38">
        <v>0</v>
      </c>
      <c r="DX14" s="38">
        <v>0</v>
      </c>
      <c r="DY14" s="8">
        <f t="shared" si="127"/>
        <v>0</v>
      </c>
      <c r="DZ14" s="40">
        <v>0</v>
      </c>
      <c r="EA14" s="8">
        <f t="shared" si="128"/>
        <v>0</v>
      </c>
      <c r="EB14" s="8">
        <f t="shared" si="129"/>
        <v>0</v>
      </c>
      <c r="EC14" s="60"/>
      <c r="ED14" s="37"/>
      <c r="EE14" s="25">
        <f t="shared" si="130"/>
        <v>0</v>
      </c>
      <c r="EF14" s="25">
        <f t="shared" si="131"/>
        <v>0</v>
      </c>
      <c r="EG14" s="25">
        <f t="shared" si="82"/>
        <v>0</v>
      </c>
      <c r="EH14" s="37">
        <v>1500000</v>
      </c>
      <c r="EI14" s="25">
        <f t="shared" si="132"/>
        <v>1500000</v>
      </c>
      <c r="EJ14" s="25">
        <f t="shared" si="133"/>
        <v>1500000</v>
      </c>
      <c r="EK14" s="25">
        <f t="shared" si="83"/>
        <v>1500000</v>
      </c>
      <c r="EL14" s="37">
        <v>1500000</v>
      </c>
      <c r="EM14" s="25">
        <f t="shared" si="134"/>
        <v>1500000</v>
      </c>
      <c r="EN14" s="25">
        <f t="shared" si="135"/>
        <v>1500000</v>
      </c>
      <c r="EO14" s="25">
        <f t="shared" si="125"/>
        <v>1500000</v>
      </c>
      <c r="EP14" s="25">
        <f t="shared" si="84"/>
        <v>0</v>
      </c>
      <c r="EQ14" s="37">
        <v>500000</v>
      </c>
      <c r="ER14" s="25">
        <f t="shared" si="136"/>
        <v>500000</v>
      </c>
      <c r="ES14" s="25">
        <f t="shared" si="137"/>
        <v>500000</v>
      </c>
      <c r="ET14" s="25">
        <f t="shared" si="85"/>
        <v>500000</v>
      </c>
      <c r="EU14" s="25">
        <f t="shared" si="86"/>
        <v>-1000000</v>
      </c>
      <c r="EV14" s="37">
        <v>500000</v>
      </c>
      <c r="EW14" s="25">
        <f t="shared" si="138"/>
        <v>500000</v>
      </c>
      <c r="EX14" s="25">
        <f t="shared" si="87"/>
        <v>0</v>
      </c>
      <c r="EY14" s="25">
        <f t="shared" si="8"/>
        <v>0</v>
      </c>
      <c r="EZ14" s="37">
        <v>500000</v>
      </c>
      <c r="FA14" s="25">
        <f t="shared" si="139"/>
        <v>500000</v>
      </c>
      <c r="FB14" s="25">
        <v>3800000</v>
      </c>
      <c r="FC14" s="25">
        <f t="shared" si="88"/>
        <v>4300000</v>
      </c>
      <c r="FD14" s="25"/>
      <c r="FE14" s="25"/>
      <c r="FF14" s="25">
        <f t="shared" si="89"/>
        <v>4300000</v>
      </c>
      <c r="FG14" s="37">
        <v>0</v>
      </c>
      <c r="FH14" s="25">
        <f t="shared" si="90"/>
        <v>-4300000</v>
      </c>
      <c r="FI14" s="25"/>
      <c r="FJ14" s="37">
        <v>0</v>
      </c>
      <c r="FK14" s="37">
        <f t="shared" si="91"/>
        <v>-4300000</v>
      </c>
      <c r="FL14" s="37">
        <f t="shared" si="92"/>
        <v>0</v>
      </c>
      <c r="FM14" s="37">
        <v>0</v>
      </c>
      <c r="FN14" s="37">
        <f t="shared" si="93"/>
        <v>-4300000</v>
      </c>
      <c r="FO14" s="37">
        <f t="shared" si="94"/>
        <v>0</v>
      </c>
      <c r="FP14" s="37">
        <f t="shared" si="95"/>
        <v>0</v>
      </c>
      <c r="FQ14" s="37"/>
      <c r="FR14" s="37">
        <v>0</v>
      </c>
      <c r="FS14" s="37">
        <f t="shared" si="96"/>
        <v>-4300000</v>
      </c>
      <c r="FT14" s="37">
        <f t="shared" si="97"/>
        <v>0</v>
      </c>
      <c r="FU14" s="37">
        <f t="shared" si="98"/>
        <v>0</v>
      </c>
      <c r="FV14" s="100"/>
      <c r="FW14" s="37">
        <v>0</v>
      </c>
      <c r="FX14" s="37">
        <f t="shared" si="99"/>
        <v>-4300000</v>
      </c>
      <c r="FY14" s="37">
        <f t="shared" si="100"/>
        <v>0</v>
      </c>
      <c r="FZ14" s="37">
        <f t="shared" si="101"/>
        <v>0</v>
      </c>
      <c r="GA14" s="37">
        <f t="shared" si="102"/>
        <v>0</v>
      </c>
      <c r="GB14" s="60"/>
      <c r="GC14" s="37">
        <v>0</v>
      </c>
      <c r="GD14" s="26"/>
      <c r="GE14" s="37">
        <f t="shared" si="103"/>
        <v>0</v>
      </c>
      <c r="GF14" s="38"/>
      <c r="GG14" s="37">
        <f t="shared" si="104"/>
        <v>0</v>
      </c>
      <c r="GH14" s="26">
        <f t="shared" si="9"/>
        <v>-4300000</v>
      </c>
      <c r="GI14" s="37">
        <f t="shared" si="10"/>
        <v>0</v>
      </c>
      <c r="GJ14" s="37">
        <f t="shared" si="11"/>
        <v>0</v>
      </c>
      <c r="GK14" s="37">
        <f t="shared" si="12"/>
        <v>0</v>
      </c>
      <c r="GL14" s="37">
        <f t="shared" si="13"/>
        <v>0</v>
      </c>
      <c r="GM14" s="60"/>
      <c r="GN14" s="60"/>
      <c r="GO14" s="113">
        <f t="shared" si="105"/>
        <v>0</v>
      </c>
      <c r="GP14" s="113"/>
      <c r="GQ14" s="113">
        <f t="shared" si="106"/>
        <v>0</v>
      </c>
      <c r="GR14" s="113"/>
      <c r="GS14" s="128">
        <v>0</v>
      </c>
      <c r="GT14" s="128">
        <v>0</v>
      </c>
      <c r="GU14" s="123">
        <f t="shared" si="140"/>
        <v>0</v>
      </c>
      <c r="GV14" s="60"/>
      <c r="GW14" s="99">
        <v>0</v>
      </c>
      <c r="GX14" s="128">
        <f t="shared" si="108"/>
        <v>0</v>
      </c>
      <c r="GY14" s="128">
        <f t="shared" si="109"/>
        <v>0</v>
      </c>
      <c r="GZ14" s="60"/>
      <c r="HA14" s="99">
        <v>0</v>
      </c>
      <c r="HB14" s="128">
        <f t="shared" si="110"/>
        <v>0</v>
      </c>
      <c r="HC14" s="128">
        <f t="shared" si="111"/>
        <v>0</v>
      </c>
      <c r="HD14" s="128">
        <f t="shared" si="112"/>
        <v>0</v>
      </c>
      <c r="HE14" s="60"/>
      <c r="HF14" s="99"/>
      <c r="HG14" s="128">
        <f t="shared" si="126"/>
        <v>0</v>
      </c>
      <c r="HH14" s="128">
        <f t="shared" si="113"/>
        <v>0</v>
      </c>
      <c r="HI14" s="128">
        <f t="shared" si="114"/>
        <v>0</v>
      </c>
      <c r="HJ14" s="60"/>
      <c r="HK14" s="99"/>
      <c r="HL14" s="128">
        <f t="shared" si="115"/>
        <v>0</v>
      </c>
      <c r="HM14" s="128">
        <f t="shared" si="116"/>
        <v>0</v>
      </c>
      <c r="HN14" s="128">
        <f t="shared" si="117"/>
        <v>0</v>
      </c>
      <c r="HO14" s="128">
        <f t="shared" si="118"/>
        <v>0</v>
      </c>
      <c r="HP14" s="60"/>
      <c r="HQ14" s="99"/>
      <c r="HR14" s="128">
        <f t="shared" si="14"/>
        <v>0</v>
      </c>
      <c r="HS14" s="128">
        <f t="shared" si="15"/>
        <v>0</v>
      </c>
      <c r="HT14" s="128">
        <f t="shared" si="16"/>
        <v>0</v>
      </c>
      <c r="HU14" s="128">
        <f t="shared" si="17"/>
        <v>0</v>
      </c>
      <c r="HV14" s="60"/>
      <c r="HW14" s="99"/>
      <c r="HX14" s="128">
        <f t="shared" si="18"/>
        <v>0</v>
      </c>
      <c r="HY14" s="128">
        <f t="shared" si="19"/>
        <v>0</v>
      </c>
      <c r="HZ14" s="128">
        <f t="shared" si="119"/>
        <v>0</v>
      </c>
      <c r="IA14" s="60"/>
      <c r="IB14" s="99"/>
      <c r="IC14" s="58"/>
      <c r="ID14" s="128">
        <f t="shared" si="20"/>
        <v>0</v>
      </c>
      <c r="IE14" s="164">
        <f t="shared" si="21"/>
        <v>0</v>
      </c>
      <c r="IF14" s="185">
        <v>0</v>
      </c>
      <c r="IG14" s="40">
        <f t="shared" si="120"/>
        <v>0</v>
      </c>
      <c r="IH14" s="58"/>
      <c r="II14" s="1"/>
    </row>
    <row r="15" spans="1:247" ht="36" x14ac:dyDescent="0.2">
      <c r="A15" s="17" t="s">
        <v>15</v>
      </c>
      <c r="B15" s="18"/>
      <c r="C15" s="52" t="s">
        <v>137</v>
      </c>
      <c r="D15" s="20">
        <v>4129687</v>
      </c>
      <c r="E15" s="21">
        <v>4129687</v>
      </c>
      <c r="F15" s="21">
        <v>4092372</v>
      </c>
      <c r="G15" s="21">
        <v>2000000</v>
      </c>
      <c r="H15" s="21"/>
      <c r="I15" s="21">
        <f t="shared" si="0"/>
        <v>2000000</v>
      </c>
      <c r="J15" s="22"/>
      <c r="K15" s="22"/>
      <c r="L15" s="22">
        <f t="shared" si="1"/>
        <v>0</v>
      </c>
      <c r="M15" s="23">
        <f t="shared" si="22"/>
        <v>2000000</v>
      </c>
      <c r="N15" s="23">
        <f>M15+J15</f>
        <v>2000000</v>
      </c>
      <c r="O15" s="23">
        <v>2000000</v>
      </c>
      <c r="P15" s="23">
        <v>2000000</v>
      </c>
      <c r="Q15" s="23">
        <v>2100000</v>
      </c>
      <c r="R15" s="23">
        <v>2050000</v>
      </c>
      <c r="S15" s="23">
        <v>2.4389999999999998E-2</v>
      </c>
      <c r="T15" s="23">
        <v>-50000</v>
      </c>
      <c r="U15" s="23">
        <f t="shared" si="122"/>
        <v>2000000</v>
      </c>
      <c r="V15" s="23">
        <f t="shared" si="2"/>
        <v>0</v>
      </c>
      <c r="W15" s="24">
        <v>2000000</v>
      </c>
      <c r="X15" s="24">
        <v>2000000</v>
      </c>
      <c r="Y15" s="24">
        <f t="shared" si="23"/>
        <v>4000000</v>
      </c>
      <c r="Z15" s="25">
        <v>2000000</v>
      </c>
      <c r="AA15" s="25">
        <f t="shared" si="24"/>
        <v>0</v>
      </c>
      <c r="AB15" s="25">
        <v>0</v>
      </c>
      <c r="AC15" s="25">
        <v>0</v>
      </c>
      <c r="AD15" s="26">
        <v>1200000</v>
      </c>
      <c r="AE15" s="25"/>
      <c r="AF15" s="25">
        <f>AC15-SUM(W15:X15)</f>
        <v>-4000000</v>
      </c>
      <c r="AG15" s="25">
        <f>AC15-Z15</f>
        <v>-2000000</v>
      </c>
      <c r="AH15" s="26">
        <v>1200000</v>
      </c>
      <c r="AI15" s="26">
        <v>750000</v>
      </c>
      <c r="AJ15" s="25">
        <f>AD15-W15-X15</f>
        <v>-2800000</v>
      </c>
      <c r="AK15" s="25">
        <f>AD15-Z15</f>
        <v>-800000</v>
      </c>
      <c r="AL15" s="25">
        <f>AD15-AC15</f>
        <v>1200000</v>
      </c>
      <c r="AM15" s="26">
        <f>AH15-W15-X15</f>
        <v>-2800000</v>
      </c>
      <c r="AN15" s="26">
        <f t="shared" si="28"/>
        <v>-800000</v>
      </c>
      <c r="AO15" s="26">
        <f t="shared" si="4"/>
        <v>1200000</v>
      </c>
      <c r="AP15" s="25">
        <v>750000</v>
      </c>
      <c r="AQ15" s="25">
        <f t="shared" si="5"/>
        <v>-3250000</v>
      </c>
      <c r="AR15" s="25">
        <f t="shared" si="29"/>
        <v>-1250000</v>
      </c>
      <c r="AS15" s="25">
        <f t="shared" si="30"/>
        <v>-3250000</v>
      </c>
      <c r="AT15" s="25"/>
      <c r="AU15" s="25">
        <f t="shared" si="31"/>
        <v>750000</v>
      </c>
      <c r="AV15" s="25">
        <v>2770000</v>
      </c>
      <c r="AW15" s="25">
        <f t="shared" si="32"/>
        <v>2020000</v>
      </c>
      <c r="AX15" s="25">
        <v>2000000</v>
      </c>
      <c r="AY15" s="26">
        <f t="shared" si="123"/>
        <v>1250000</v>
      </c>
      <c r="AZ15" s="26">
        <f t="shared" si="124"/>
        <v>-770000</v>
      </c>
      <c r="BA15" s="25">
        <v>2770000</v>
      </c>
      <c r="BB15" s="25">
        <f t="shared" si="33"/>
        <v>2020000</v>
      </c>
      <c r="BC15" s="25">
        <f t="shared" si="34"/>
        <v>0</v>
      </c>
      <c r="BD15" s="25">
        <f t="shared" si="35"/>
        <v>770000</v>
      </c>
      <c r="BE15" s="25">
        <f>2750000+450000</f>
        <v>3200000</v>
      </c>
      <c r="BF15" s="25">
        <v>2870000</v>
      </c>
      <c r="BG15" s="25">
        <v>2870000</v>
      </c>
      <c r="BH15" s="25">
        <f t="shared" si="36"/>
        <v>2120000</v>
      </c>
      <c r="BI15" s="25">
        <f t="shared" si="37"/>
        <v>100000</v>
      </c>
      <c r="BJ15" s="25">
        <f t="shared" si="38"/>
        <v>100000</v>
      </c>
      <c r="BK15" s="8">
        <f t="shared" si="39"/>
        <v>-330000</v>
      </c>
      <c r="BL15" s="25"/>
      <c r="BM15" s="25">
        <f t="shared" si="40"/>
        <v>2870000</v>
      </c>
      <c r="BN15" s="38">
        <v>2871370</v>
      </c>
      <c r="BO15" s="26">
        <f t="shared" si="41"/>
        <v>1370</v>
      </c>
      <c r="BP15" s="37">
        <v>1000000</v>
      </c>
      <c r="BQ15" s="8">
        <f t="shared" si="42"/>
        <v>-1870000</v>
      </c>
      <c r="BR15" s="8">
        <f t="shared" si="43"/>
        <v>-1871370</v>
      </c>
      <c r="BS15" s="37">
        <v>2000000</v>
      </c>
      <c r="BT15" s="40">
        <f t="shared" si="44"/>
        <v>-870000</v>
      </c>
      <c r="BU15" s="40">
        <f t="shared" si="45"/>
        <v>-871370</v>
      </c>
      <c r="BV15" s="40">
        <f t="shared" si="46"/>
        <v>1000000</v>
      </c>
      <c r="BW15" s="38">
        <v>2870000</v>
      </c>
      <c r="BX15" s="8">
        <f t="shared" si="47"/>
        <v>0</v>
      </c>
      <c r="BY15" s="8">
        <f t="shared" si="48"/>
        <v>-1370</v>
      </c>
      <c r="BZ15" s="8">
        <f t="shared" si="49"/>
        <v>870000</v>
      </c>
      <c r="CA15" s="38">
        <f>2870000+500000</f>
        <v>3370000</v>
      </c>
      <c r="CB15" s="8">
        <f t="shared" si="50"/>
        <v>500000</v>
      </c>
      <c r="CC15" s="8">
        <f t="shared" si="51"/>
        <v>498630</v>
      </c>
      <c r="CD15" s="8">
        <f t="shared" si="6"/>
        <v>1370000</v>
      </c>
      <c r="CE15" s="8">
        <f t="shared" si="52"/>
        <v>500000</v>
      </c>
      <c r="CF15" s="38">
        <v>2750000</v>
      </c>
      <c r="CG15" s="8">
        <f t="shared" si="53"/>
        <v>-120000</v>
      </c>
      <c r="CH15" s="8">
        <f t="shared" si="54"/>
        <v>-121370</v>
      </c>
      <c r="CI15" s="8">
        <f t="shared" si="55"/>
        <v>750000</v>
      </c>
      <c r="CJ15" s="8">
        <f t="shared" si="56"/>
        <v>-620000</v>
      </c>
      <c r="CK15" s="38">
        <v>2750000</v>
      </c>
      <c r="CL15" s="8">
        <f t="shared" si="7"/>
        <v>-120000</v>
      </c>
      <c r="CM15" s="8">
        <f t="shared" si="57"/>
        <v>-121370</v>
      </c>
      <c r="CN15" s="8">
        <f t="shared" si="58"/>
        <v>0</v>
      </c>
      <c r="CO15" s="38">
        <v>2750000</v>
      </c>
      <c r="CP15" s="38">
        <f t="shared" si="59"/>
        <v>-121370</v>
      </c>
      <c r="CQ15" s="8">
        <f t="shared" si="60"/>
        <v>0</v>
      </c>
      <c r="CR15" s="38">
        <v>1000000</v>
      </c>
      <c r="CS15" s="27">
        <v>1750000</v>
      </c>
      <c r="CT15" s="38">
        <f t="shared" si="61"/>
        <v>2750000</v>
      </c>
      <c r="CU15" s="8">
        <f t="shared" si="62"/>
        <v>0</v>
      </c>
      <c r="CV15" s="38">
        <f t="shared" si="63"/>
        <v>0</v>
      </c>
      <c r="CW15" s="38">
        <f t="shared" si="64"/>
        <v>1750000</v>
      </c>
      <c r="CX15" s="38">
        <v>2500000</v>
      </c>
      <c r="CY15" s="8">
        <f t="shared" si="65"/>
        <v>-250000</v>
      </c>
      <c r="CZ15" s="38">
        <f t="shared" si="66"/>
        <v>-250000</v>
      </c>
      <c r="DA15" s="38">
        <f t="shared" si="67"/>
        <v>-250000</v>
      </c>
      <c r="DB15" s="38">
        <v>2500000</v>
      </c>
      <c r="DC15" s="8">
        <f t="shared" si="68"/>
        <v>-250000</v>
      </c>
      <c r="DD15" s="38">
        <f t="shared" si="69"/>
        <v>-250000</v>
      </c>
      <c r="DE15" s="38">
        <f t="shared" si="70"/>
        <v>-250000</v>
      </c>
      <c r="DF15" s="38">
        <f t="shared" si="71"/>
        <v>0</v>
      </c>
      <c r="DG15" s="38">
        <v>2750000</v>
      </c>
      <c r="DH15" s="40">
        <f t="shared" si="72"/>
        <v>0</v>
      </c>
      <c r="DI15" s="38">
        <f t="shared" si="73"/>
        <v>0</v>
      </c>
      <c r="DJ15" s="38">
        <f t="shared" si="74"/>
        <v>0</v>
      </c>
      <c r="DK15" s="38">
        <f t="shared" si="75"/>
        <v>250000</v>
      </c>
      <c r="DL15" s="38"/>
      <c r="DM15" s="38">
        <f t="shared" si="76"/>
        <v>2750000</v>
      </c>
      <c r="DN15" s="38">
        <v>2750000</v>
      </c>
      <c r="DO15" s="38">
        <f t="shared" si="77"/>
        <v>0</v>
      </c>
      <c r="DP15" s="38"/>
      <c r="DQ15" s="38">
        <v>-41250</v>
      </c>
      <c r="DR15" s="38">
        <f t="shared" si="78"/>
        <v>2708750</v>
      </c>
      <c r="DS15" s="38">
        <f t="shared" si="79"/>
        <v>-41250</v>
      </c>
      <c r="DT15" s="38"/>
      <c r="DU15" s="38">
        <f t="shared" si="80"/>
        <v>2708750</v>
      </c>
      <c r="DV15" s="38">
        <f t="shared" si="81"/>
        <v>-41250</v>
      </c>
      <c r="DW15" s="38">
        <v>2708750</v>
      </c>
      <c r="DX15" s="38">
        <v>2708750</v>
      </c>
      <c r="DY15" s="8">
        <f t="shared" si="127"/>
        <v>0</v>
      </c>
      <c r="DZ15" s="40">
        <v>1000000</v>
      </c>
      <c r="EA15" s="8">
        <f t="shared" si="128"/>
        <v>-1708750</v>
      </c>
      <c r="EB15" s="8">
        <f t="shared" si="129"/>
        <v>-1708750</v>
      </c>
      <c r="EC15" s="58" t="s">
        <v>258</v>
      </c>
      <c r="ED15" s="37">
        <v>2758750</v>
      </c>
      <c r="EE15" s="25">
        <f t="shared" si="130"/>
        <v>50000</v>
      </c>
      <c r="EF15" s="25">
        <f t="shared" si="131"/>
        <v>50000</v>
      </c>
      <c r="EG15" s="25">
        <f t="shared" si="82"/>
        <v>1758750</v>
      </c>
      <c r="EH15" s="37">
        <v>2800000</v>
      </c>
      <c r="EI15" s="25">
        <f t="shared" si="132"/>
        <v>91250</v>
      </c>
      <c r="EJ15" s="25">
        <f t="shared" si="133"/>
        <v>91250</v>
      </c>
      <c r="EK15" s="25">
        <f t="shared" si="83"/>
        <v>41250</v>
      </c>
      <c r="EL15" s="37">
        <f>2800000+75000+150000</f>
        <v>3025000</v>
      </c>
      <c r="EM15" s="25">
        <f t="shared" si="134"/>
        <v>316250</v>
      </c>
      <c r="EN15" s="25">
        <f t="shared" si="135"/>
        <v>316250</v>
      </c>
      <c r="EO15" s="25">
        <f t="shared" si="125"/>
        <v>266250</v>
      </c>
      <c r="EP15" s="25">
        <f t="shared" si="84"/>
        <v>225000</v>
      </c>
      <c r="EQ15" s="37">
        <f>2800000+75000+150000</f>
        <v>3025000</v>
      </c>
      <c r="ER15" s="25">
        <f t="shared" si="136"/>
        <v>316250</v>
      </c>
      <c r="ES15" s="25">
        <f t="shared" si="137"/>
        <v>316250</v>
      </c>
      <c r="ET15" s="25">
        <f t="shared" si="85"/>
        <v>266250</v>
      </c>
      <c r="EU15" s="25">
        <f t="shared" si="86"/>
        <v>0</v>
      </c>
      <c r="EV15" s="37">
        <f>2800000+75000+150000</f>
        <v>3025000</v>
      </c>
      <c r="EW15" s="25">
        <f t="shared" si="138"/>
        <v>316250</v>
      </c>
      <c r="EX15" s="25">
        <f t="shared" si="87"/>
        <v>0</v>
      </c>
      <c r="EY15" s="25">
        <f t="shared" si="8"/>
        <v>0</v>
      </c>
      <c r="EZ15" s="37">
        <f>2800000+75000+150000</f>
        <v>3025000</v>
      </c>
      <c r="FA15" s="25">
        <f t="shared" si="139"/>
        <v>316250</v>
      </c>
      <c r="FB15" s="25"/>
      <c r="FC15" s="25">
        <f t="shared" si="88"/>
        <v>3025000</v>
      </c>
      <c r="FD15" s="25"/>
      <c r="FE15" s="25"/>
      <c r="FF15" s="25">
        <f t="shared" si="89"/>
        <v>3025000</v>
      </c>
      <c r="FG15" s="37">
        <v>5450138</v>
      </c>
      <c r="FH15" s="25">
        <f t="shared" si="90"/>
        <v>2425138</v>
      </c>
      <c r="FI15" s="37" t="s">
        <v>293</v>
      </c>
      <c r="FJ15" s="37">
        <v>1000000</v>
      </c>
      <c r="FK15" s="37">
        <f t="shared" si="91"/>
        <v>-2025000</v>
      </c>
      <c r="FL15" s="37">
        <f t="shared" si="92"/>
        <v>-4450138</v>
      </c>
      <c r="FM15" s="37">
        <v>2998750</v>
      </c>
      <c r="FN15" s="37">
        <f t="shared" si="93"/>
        <v>-26250</v>
      </c>
      <c r="FO15" s="37">
        <f t="shared" si="94"/>
        <v>-2451388</v>
      </c>
      <c r="FP15" s="37">
        <f t="shared" si="95"/>
        <v>1998750</v>
      </c>
      <c r="FQ15" s="37" t="s">
        <v>308</v>
      </c>
      <c r="FR15" s="37">
        <v>2800000</v>
      </c>
      <c r="FS15" s="37">
        <f t="shared" si="96"/>
        <v>-225000</v>
      </c>
      <c r="FT15" s="37">
        <f t="shared" si="97"/>
        <v>-2650138</v>
      </c>
      <c r="FU15" s="37">
        <f t="shared" si="98"/>
        <v>-198750</v>
      </c>
      <c r="FV15" s="100" t="s">
        <v>331</v>
      </c>
      <c r="FW15" s="37">
        <v>3550000</v>
      </c>
      <c r="FX15" s="37">
        <f t="shared" si="99"/>
        <v>525000</v>
      </c>
      <c r="FY15" s="37">
        <f t="shared" si="100"/>
        <v>-1900138</v>
      </c>
      <c r="FZ15" s="37">
        <f t="shared" si="101"/>
        <v>551250</v>
      </c>
      <c r="GA15" s="37">
        <f t="shared" si="102"/>
        <v>750000</v>
      </c>
      <c r="GB15" s="107" t="s">
        <v>338</v>
      </c>
      <c r="GC15" s="37">
        <v>3398750</v>
      </c>
      <c r="GD15" s="26">
        <v>-400000</v>
      </c>
      <c r="GE15" s="37">
        <f t="shared" si="103"/>
        <v>2998750</v>
      </c>
      <c r="GF15" s="38">
        <v>400000</v>
      </c>
      <c r="GG15" s="37">
        <f t="shared" si="104"/>
        <v>3398750</v>
      </c>
      <c r="GH15" s="26">
        <f t="shared" si="9"/>
        <v>373750</v>
      </c>
      <c r="GI15" s="37">
        <f t="shared" si="10"/>
        <v>-2051388</v>
      </c>
      <c r="GJ15" s="37">
        <f t="shared" si="11"/>
        <v>400000</v>
      </c>
      <c r="GK15" s="37">
        <f t="shared" si="12"/>
        <v>-151250</v>
      </c>
      <c r="GL15" s="37">
        <f t="shared" si="13"/>
        <v>0</v>
      </c>
      <c r="GM15" s="107" t="s">
        <v>362</v>
      </c>
      <c r="GN15" s="115"/>
      <c r="GO15" s="113">
        <f t="shared" si="105"/>
        <v>3398750</v>
      </c>
      <c r="GP15" s="113"/>
      <c r="GQ15" s="113">
        <f t="shared" si="106"/>
        <v>3398750</v>
      </c>
      <c r="GR15" s="113">
        <v>-400000</v>
      </c>
      <c r="GS15" s="128">
        <v>2998750</v>
      </c>
      <c r="GT15" s="128">
        <v>3468763</v>
      </c>
      <c r="GU15" s="123">
        <f t="shared" si="140"/>
        <v>470013</v>
      </c>
      <c r="GV15" s="115"/>
      <c r="GW15" s="99">
        <v>1000000</v>
      </c>
      <c r="GX15" s="128">
        <f t="shared" si="108"/>
        <v>-1998750</v>
      </c>
      <c r="GY15" s="128">
        <f t="shared" si="109"/>
        <v>-2468763</v>
      </c>
      <c r="GZ15" s="115" t="s">
        <v>396</v>
      </c>
      <c r="HA15" s="99">
        <f>1000000+250000+1700000</f>
        <v>2950000</v>
      </c>
      <c r="HB15" s="128">
        <f t="shared" si="110"/>
        <v>-48750</v>
      </c>
      <c r="HC15" s="128">
        <f t="shared" si="111"/>
        <v>-518763</v>
      </c>
      <c r="HD15" s="128">
        <f t="shared" si="112"/>
        <v>1950000</v>
      </c>
      <c r="HE15" s="115" t="s">
        <v>411</v>
      </c>
      <c r="HF15" s="99">
        <v>2600000</v>
      </c>
      <c r="HG15" s="128">
        <f t="shared" si="126"/>
        <v>-398750</v>
      </c>
      <c r="HH15" s="128">
        <f t="shared" si="113"/>
        <v>-868763</v>
      </c>
      <c r="HI15" s="128">
        <f t="shared" si="114"/>
        <v>-350000</v>
      </c>
      <c r="HJ15" s="115" t="s">
        <v>460</v>
      </c>
      <c r="HK15" s="99">
        <f>2600000+685000</f>
        <v>3285000</v>
      </c>
      <c r="HL15" s="128">
        <f t="shared" si="115"/>
        <v>286250</v>
      </c>
      <c r="HM15" s="128">
        <f t="shared" si="116"/>
        <v>-183763</v>
      </c>
      <c r="HN15" s="128">
        <f t="shared" si="117"/>
        <v>335000</v>
      </c>
      <c r="HO15" s="128">
        <f t="shared" si="118"/>
        <v>685000</v>
      </c>
      <c r="HP15" s="115" t="s">
        <v>482</v>
      </c>
      <c r="HQ15" s="99">
        <v>3554000</v>
      </c>
      <c r="HR15" s="128">
        <f t="shared" si="14"/>
        <v>555250</v>
      </c>
      <c r="HS15" s="128">
        <f t="shared" si="15"/>
        <v>85237</v>
      </c>
      <c r="HT15" s="128">
        <f t="shared" si="16"/>
        <v>604000</v>
      </c>
      <c r="HU15" s="128">
        <f t="shared" si="17"/>
        <v>269000</v>
      </c>
      <c r="HV15" s="115" t="s">
        <v>505</v>
      </c>
      <c r="HW15" s="99">
        <v>3150000</v>
      </c>
      <c r="HX15" s="128">
        <f t="shared" si="18"/>
        <v>151250</v>
      </c>
      <c r="HY15" s="128">
        <f t="shared" si="19"/>
        <v>-318763</v>
      </c>
      <c r="HZ15" s="128">
        <f t="shared" si="119"/>
        <v>-404000</v>
      </c>
      <c r="IA15" s="115" t="s">
        <v>516</v>
      </c>
      <c r="IB15" s="99">
        <v>3554000</v>
      </c>
      <c r="IC15" s="166" t="s">
        <v>505</v>
      </c>
      <c r="ID15" s="128">
        <f t="shared" si="20"/>
        <v>3554000</v>
      </c>
      <c r="IE15" s="164">
        <f t="shared" si="21"/>
        <v>555250</v>
      </c>
      <c r="IF15" s="185">
        <v>3918499</v>
      </c>
      <c r="IG15" s="40">
        <f t="shared" si="120"/>
        <v>364499</v>
      </c>
      <c r="IH15" s="115" t="s">
        <v>540</v>
      </c>
      <c r="II15" s="1"/>
    </row>
    <row r="16" spans="1:247" ht="29.25" customHeight="1" x14ac:dyDescent="0.2">
      <c r="A16" s="17" t="s">
        <v>29</v>
      </c>
      <c r="B16" s="18"/>
      <c r="C16" s="51" t="s">
        <v>281</v>
      </c>
      <c r="D16" s="20">
        <v>470987</v>
      </c>
      <c r="E16" s="21">
        <v>470987</v>
      </c>
      <c r="F16" s="21">
        <v>447603</v>
      </c>
      <c r="G16" s="21">
        <v>397937</v>
      </c>
      <c r="H16" s="21"/>
      <c r="I16" s="21">
        <f t="shared" si="0"/>
        <v>397937</v>
      </c>
      <c r="J16" s="22"/>
      <c r="K16" s="22"/>
      <c r="L16" s="22">
        <f t="shared" si="1"/>
        <v>0</v>
      </c>
      <c r="M16" s="23">
        <f t="shared" si="22"/>
        <v>397937</v>
      </c>
      <c r="N16" s="23">
        <f>M16+J16</f>
        <v>397937</v>
      </c>
      <c r="O16" s="23">
        <v>361000</v>
      </c>
      <c r="P16" s="23">
        <v>397937</v>
      </c>
      <c r="Q16" s="23">
        <v>397937</v>
      </c>
      <c r="R16" s="23">
        <v>397937</v>
      </c>
      <c r="S16" s="23">
        <v>8.2930000000000004E-2</v>
      </c>
      <c r="T16" s="23">
        <f t="shared" si="121"/>
        <v>-33000.915410000001</v>
      </c>
      <c r="U16" s="23">
        <f t="shared" si="122"/>
        <v>364936.08458999998</v>
      </c>
      <c r="V16" s="23">
        <f t="shared" si="2"/>
        <v>-33000.915410000016</v>
      </c>
      <c r="W16" s="24">
        <v>364937</v>
      </c>
      <c r="X16" s="24"/>
      <c r="Y16" s="24">
        <f t="shared" si="23"/>
        <v>364937</v>
      </c>
      <c r="Z16" s="25">
        <v>364937</v>
      </c>
      <c r="AA16" s="25">
        <f t="shared" si="24"/>
        <v>0</v>
      </c>
      <c r="AB16" s="25">
        <v>364937</v>
      </c>
      <c r="AC16" s="25">
        <v>364937</v>
      </c>
      <c r="AD16" s="26">
        <v>357638</v>
      </c>
      <c r="AE16" s="25"/>
      <c r="AF16" s="25"/>
      <c r="AG16" s="25"/>
      <c r="AH16" s="26">
        <v>357638</v>
      </c>
      <c r="AI16" s="26">
        <v>364937</v>
      </c>
      <c r="AJ16" s="25">
        <f t="shared" ref="AJ16:AJ57" si="141">AD16-W16</f>
        <v>-7299</v>
      </c>
      <c r="AK16" s="25">
        <f t="shared" si="25"/>
        <v>-7299</v>
      </c>
      <c r="AL16" s="25">
        <f t="shared" si="26"/>
        <v>-7299</v>
      </c>
      <c r="AM16" s="26">
        <f t="shared" si="27"/>
        <v>-7299</v>
      </c>
      <c r="AN16" s="26">
        <f t="shared" si="28"/>
        <v>-7299</v>
      </c>
      <c r="AO16" s="26">
        <f t="shared" si="4"/>
        <v>-7299</v>
      </c>
      <c r="AP16" s="25">
        <v>364937</v>
      </c>
      <c r="AQ16" s="25">
        <f t="shared" si="5"/>
        <v>0</v>
      </c>
      <c r="AR16" s="25">
        <f t="shared" si="29"/>
        <v>0</v>
      </c>
      <c r="AS16" s="25">
        <f t="shared" si="30"/>
        <v>0</v>
      </c>
      <c r="AT16" s="25"/>
      <c r="AU16" s="25">
        <f t="shared" si="31"/>
        <v>364937</v>
      </c>
      <c r="AV16" s="25">
        <v>364937</v>
      </c>
      <c r="AW16" s="25">
        <f t="shared" si="32"/>
        <v>0</v>
      </c>
      <c r="AX16" s="25">
        <v>364937</v>
      </c>
      <c r="AY16" s="26">
        <f t="shared" si="123"/>
        <v>0</v>
      </c>
      <c r="AZ16" s="26">
        <f t="shared" si="124"/>
        <v>0</v>
      </c>
      <c r="BA16" s="25">
        <v>364937</v>
      </c>
      <c r="BB16" s="25">
        <f t="shared" si="33"/>
        <v>0</v>
      </c>
      <c r="BC16" s="25">
        <f t="shared" si="34"/>
        <v>0</v>
      </c>
      <c r="BD16" s="25">
        <f t="shared" si="35"/>
        <v>0</v>
      </c>
      <c r="BE16" s="25">
        <f>514937+700000</f>
        <v>1214937</v>
      </c>
      <c r="BF16" s="25">
        <f>514937+700000</f>
        <v>1214937</v>
      </c>
      <c r="BG16" s="25">
        <f>514937+700000</f>
        <v>1214937</v>
      </c>
      <c r="BH16" s="25">
        <f t="shared" si="36"/>
        <v>850000</v>
      </c>
      <c r="BI16" s="25">
        <f t="shared" si="37"/>
        <v>850000</v>
      </c>
      <c r="BJ16" s="25">
        <f t="shared" si="38"/>
        <v>850000</v>
      </c>
      <c r="BK16" s="8">
        <f t="shared" si="39"/>
        <v>0</v>
      </c>
      <c r="BL16" s="25"/>
      <c r="BM16" s="25">
        <f t="shared" si="40"/>
        <v>1214937</v>
      </c>
      <c r="BN16" s="37">
        <v>3345312</v>
      </c>
      <c r="BO16" s="26">
        <f t="shared" si="41"/>
        <v>2130375</v>
      </c>
      <c r="BP16" s="37">
        <v>1805319</v>
      </c>
      <c r="BQ16" s="8">
        <f t="shared" si="42"/>
        <v>590382</v>
      </c>
      <c r="BR16" s="8">
        <f t="shared" si="43"/>
        <v>-1539993</v>
      </c>
      <c r="BS16" s="37">
        <f>BP16</f>
        <v>1805319</v>
      </c>
      <c r="BT16" s="40">
        <f t="shared" si="44"/>
        <v>590382</v>
      </c>
      <c r="BU16" s="40">
        <f t="shared" si="45"/>
        <v>-1539993</v>
      </c>
      <c r="BV16" s="40">
        <f t="shared" si="46"/>
        <v>0</v>
      </c>
      <c r="BW16" s="38">
        <v>1805319</v>
      </c>
      <c r="BX16" s="8">
        <f t="shared" si="47"/>
        <v>590382</v>
      </c>
      <c r="BY16" s="8">
        <f t="shared" si="48"/>
        <v>-1539993</v>
      </c>
      <c r="BZ16" s="8">
        <f t="shared" si="49"/>
        <v>0</v>
      </c>
      <c r="CA16" s="38">
        <f>1805319+1194681</f>
        <v>3000000</v>
      </c>
      <c r="CB16" s="8">
        <f t="shared" si="50"/>
        <v>1785063</v>
      </c>
      <c r="CC16" s="8">
        <f t="shared" si="51"/>
        <v>-345312</v>
      </c>
      <c r="CD16" s="8">
        <f t="shared" si="6"/>
        <v>1194681</v>
      </c>
      <c r="CE16" s="8">
        <f t="shared" si="52"/>
        <v>1194681</v>
      </c>
      <c r="CF16" s="38">
        <v>2805319</v>
      </c>
      <c r="CG16" s="8">
        <f t="shared" si="53"/>
        <v>1590382</v>
      </c>
      <c r="CH16" s="8">
        <f t="shared" si="54"/>
        <v>-539993</v>
      </c>
      <c r="CI16" s="8">
        <f t="shared" si="55"/>
        <v>1000000</v>
      </c>
      <c r="CJ16" s="8">
        <f t="shared" si="56"/>
        <v>-194681</v>
      </c>
      <c r="CK16" s="38">
        <f>2805319+540000</f>
        <v>3345319</v>
      </c>
      <c r="CL16" s="8">
        <f t="shared" si="7"/>
        <v>2130382</v>
      </c>
      <c r="CM16" s="8">
        <f t="shared" si="57"/>
        <v>7</v>
      </c>
      <c r="CN16" s="8">
        <f t="shared" si="58"/>
        <v>540000</v>
      </c>
      <c r="CO16" s="38">
        <v>3372030</v>
      </c>
      <c r="CP16" s="38">
        <f t="shared" si="59"/>
        <v>26718</v>
      </c>
      <c r="CQ16" s="8">
        <f t="shared" si="60"/>
        <v>26711</v>
      </c>
      <c r="CR16" s="38">
        <v>2805319</v>
      </c>
      <c r="CS16" s="27"/>
      <c r="CT16" s="38">
        <f t="shared" si="61"/>
        <v>2805319</v>
      </c>
      <c r="CU16" s="8">
        <f t="shared" si="62"/>
        <v>-540000</v>
      </c>
      <c r="CV16" s="38">
        <f t="shared" si="63"/>
        <v>-566711</v>
      </c>
      <c r="CW16" s="38">
        <f t="shared" si="64"/>
        <v>0</v>
      </c>
      <c r="CX16" s="38">
        <v>3354919</v>
      </c>
      <c r="CY16" s="8">
        <f t="shared" si="65"/>
        <v>9600</v>
      </c>
      <c r="CZ16" s="38">
        <f t="shared" si="66"/>
        <v>-17111</v>
      </c>
      <c r="DA16" s="38">
        <f t="shared" si="67"/>
        <v>549600</v>
      </c>
      <c r="DB16" s="38">
        <v>3354919</v>
      </c>
      <c r="DC16" s="8">
        <f t="shared" si="68"/>
        <v>9600</v>
      </c>
      <c r="DD16" s="38">
        <f t="shared" si="69"/>
        <v>-17111</v>
      </c>
      <c r="DE16" s="38">
        <f t="shared" si="70"/>
        <v>549600</v>
      </c>
      <c r="DF16" s="38">
        <f t="shared" si="71"/>
        <v>0</v>
      </c>
      <c r="DG16" s="38">
        <v>2805319</v>
      </c>
      <c r="DH16" s="40">
        <f t="shared" si="72"/>
        <v>-540000</v>
      </c>
      <c r="DI16" s="38">
        <f t="shared" si="73"/>
        <v>-566711</v>
      </c>
      <c r="DJ16" s="38">
        <f t="shared" si="74"/>
        <v>0</v>
      </c>
      <c r="DK16" s="38">
        <f t="shared" si="75"/>
        <v>-549600</v>
      </c>
      <c r="DL16" s="38"/>
      <c r="DM16" s="38">
        <f t="shared" si="76"/>
        <v>2805319</v>
      </c>
      <c r="DN16" s="38">
        <v>2805319</v>
      </c>
      <c r="DO16" s="38">
        <f t="shared" si="77"/>
        <v>-540000</v>
      </c>
      <c r="DP16" s="38"/>
      <c r="DQ16" s="38">
        <v>0</v>
      </c>
      <c r="DR16" s="38">
        <f t="shared" si="78"/>
        <v>2805319</v>
      </c>
      <c r="DS16" s="38">
        <f t="shared" si="79"/>
        <v>-540000</v>
      </c>
      <c r="DT16" s="38"/>
      <c r="DU16" s="38">
        <f t="shared" si="80"/>
        <v>2805319</v>
      </c>
      <c r="DV16" s="38">
        <f t="shared" si="81"/>
        <v>-540000</v>
      </c>
      <c r="DW16" s="38">
        <v>2805319</v>
      </c>
      <c r="DX16" s="38">
        <v>2805319</v>
      </c>
      <c r="DY16" s="8">
        <f t="shared" si="127"/>
        <v>0</v>
      </c>
      <c r="DZ16" s="40">
        <v>2805319</v>
      </c>
      <c r="EA16" s="8">
        <f t="shared" si="128"/>
        <v>0</v>
      </c>
      <c r="EB16" s="8">
        <f t="shared" si="129"/>
        <v>0</v>
      </c>
      <c r="EC16" s="60"/>
      <c r="ED16" s="37">
        <v>2805319</v>
      </c>
      <c r="EE16" s="25">
        <f t="shared" si="130"/>
        <v>0</v>
      </c>
      <c r="EF16" s="25">
        <f t="shared" si="131"/>
        <v>0</v>
      </c>
      <c r="EG16" s="25">
        <f t="shared" si="82"/>
        <v>0</v>
      </c>
      <c r="EH16" s="37">
        <v>2805319</v>
      </c>
      <c r="EI16" s="25">
        <f t="shared" si="132"/>
        <v>0</v>
      </c>
      <c r="EJ16" s="25">
        <f t="shared" si="133"/>
        <v>0</v>
      </c>
      <c r="EK16" s="25">
        <f t="shared" si="83"/>
        <v>0</v>
      </c>
      <c r="EL16" s="37">
        <v>2805319</v>
      </c>
      <c r="EM16" s="25">
        <f t="shared" si="134"/>
        <v>0</v>
      </c>
      <c r="EN16" s="25">
        <f t="shared" si="135"/>
        <v>0</v>
      </c>
      <c r="EO16" s="25">
        <f t="shared" si="125"/>
        <v>0</v>
      </c>
      <c r="EP16" s="25">
        <f t="shared" si="84"/>
        <v>0</v>
      </c>
      <c r="EQ16" s="37">
        <v>2805319</v>
      </c>
      <c r="ER16" s="25">
        <f t="shared" si="136"/>
        <v>0</v>
      </c>
      <c r="ES16" s="25">
        <f t="shared" si="137"/>
        <v>0</v>
      </c>
      <c r="ET16" s="25">
        <f t="shared" si="85"/>
        <v>0</v>
      </c>
      <c r="EU16" s="25">
        <f t="shared" si="86"/>
        <v>0</v>
      </c>
      <c r="EV16" s="37">
        <v>2805319</v>
      </c>
      <c r="EW16" s="25">
        <f t="shared" si="138"/>
        <v>0</v>
      </c>
      <c r="EX16" s="25">
        <f t="shared" si="87"/>
        <v>0</v>
      </c>
      <c r="EY16" s="25">
        <f t="shared" si="8"/>
        <v>0</v>
      </c>
      <c r="EZ16" s="37">
        <v>2805319</v>
      </c>
      <c r="FA16" s="25">
        <f t="shared" si="139"/>
        <v>0</v>
      </c>
      <c r="FB16" s="25"/>
      <c r="FC16" s="25">
        <f t="shared" si="88"/>
        <v>2805319</v>
      </c>
      <c r="FD16" s="25"/>
      <c r="FE16" s="25"/>
      <c r="FF16" s="25">
        <f t="shared" si="89"/>
        <v>2805319</v>
      </c>
      <c r="FG16" s="37">
        <v>1900500</v>
      </c>
      <c r="FH16" s="25">
        <f t="shared" si="90"/>
        <v>-904819</v>
      </c>
      <c r="FI16" s="25"/>
      <c r="FJ16" s="37">
        <v>1743981</v>
      </c>
      <c r="FK16" s="37">
        <f t="shared" si="91"/>
        <v>-1061338</v>
      </c>
      <c r="FL16" s="37">
        <f t="shared" si="92"/>
        <v>-156519</v>
      </c>
      <c r="FM16" s="37">
        <v>1743981</v>
      </c>
      <c r="FN16" s="37">
        <f t="shared" si="93"/>
        <v>-1061338</v>
      </c>
      <c r="FO16" s="37">
        <f t="shared" si="94"/>
        <v>-156519</v>
      </c>
      <c r="FP16" s="37">
        <f t="shared" si="95"/>
        <v>0</v>
      </c>
      <c r="FQ16" s="37"/>
      <c r="FR16" s="37">
        <v>1856058</v>
      </c>
      <c r="FS16" s="37">
        <f t="shared" si="96"/>
        <v>-949261</v>
      </c>
      <c r="FT16" s="37">
        <f t="shared" si="97"/>
        <v>-44442</v>
      </c>
      <c r="FU16" s="37">
        <f t="shared" si="98"/>
        <v>112077</v>
      </c>
      <c r="FV16" s="100"/>
      <c r="FW16" s="37">
        <v>1856058</v>
      </c>
      <c r="FX16" s="37">
        <f t="shared" si="99"/>
        <v>-949261</v>
      </c>
      <c r="FY16" s="37">
        <f t="shared" si="100"/>
        <v>-44442</v>
      </c>
      <c r="FZ16" s="37">
        <f t="shared" si="101"/>
        <v>112077</v>
      </c>
      <c r="GA16" s="37">
        <f t="shared" si="102"/>
        <v>0</v>
      </c>
      <c r="GB16" s="107"/>
      <c r="GC16" s="37">
        <v>1743981</v>
      </c>
      <c r="GD16" s="26"/>
      <c r="GE16" s="37">
        <f t="shared" si="103"/>
        <v>1743981</v>
      </c>
      <c r="GF16" s="38"/>
      <c r="GG16" s="37">
        <f t="shared" si="104"/>
        <v>1743981</v>
      </c>
      <c r="GH16" s="26">
        <f t="shared" si="9"/>
        <v>-1061338</v>
      </c>
      <c r="GI16" s="37">
        <f t="shared" si="10"/>
        <v>-156519</v>
      </c>
      <c r="GJ16" s="37">
        <f t="shared" si="11"/>
        <v>0</v>
      </c>
      <c r="GK16" s="37">
        <f t="shared" si="12"/>
        <v>-112077</v>
      </c>
      <c r="GL16" s="37">
        <f t="shared" si="13"/>
        <v>0</v>
      </c>
      <c r="GM16" s="107"/>
      <c r="GN16" s="115"/>
      <c r="GO16" s="113">
        <f t="shared" si="105"/>
        <v>1743981</v>
      </c>
      <c r="GP16" s="113">
        <v>-17440</v>
      </c>
      <c r="GQ16" s="113">
        <f t="shared" si="106"/>
        <v>1726541</v>
      </c>
      <c r="GR16" s="113"/>
      <c r="GS16" s="128">
        <v>1726541</v>
      </c>
      <c r="GT16" s="128">
        <v>0</v>
      </c>
      <c r="GU16" s="123">
        <f t="shared" si="140"/>
        <v>-1726541</v>
      </c>
      <c r="GV16" s="115" t="s">
        <v>378</v>
      </c>
      <c r="GW16" s="99">
        <v>881953</v>
      </c>
      <c r="GX16" s="128">
        <f t="shared" si="108"/>
        <v>-844588</v>
      </c>
      <c r="GY16" s="128">
        <f t="shared" si="109"/>
        <v>881953</v>
      </c>
      <c r="GZ16" s="115" t="s">
        <v>392</v>
      </c>
      <c r="HA16" s="99">
        <v>881953</v>
      </c>
      <c r="HB16" s="128">
        <f t="shared" si="110"/>
        <v>-844588</v>
      </c>
      <c r="HC16" s="128">
        <f t="shared" si="111"/>
        <v>881953</v>
      </c>
      <c r="HD16" s="128">
        <f t="shared" si="112"/>
        <v>0</v>
      </c>
      <c r="HE16" s="115" t="s">
        <v>392</v>
      </c>
      <c r="HF16" s="99">
        <v>881954</v>
      </c>
      <c r="HG16" s="128">
        <f t="shared" si="126"/>
        <v>-844587</v>
      </c>
      <c r="HH16" s="128">
        <f t="shared" si="113"/>
        <v>881954</v>
      </c>
      <c r="HI16" s="128">
        <f t="shared" si="114"/>
        <v>1</v>
      </c>
      <c r="HJ16" s="115"/>
      <c r="HK16" s="99">
        <v>881954</v>
      </c>
      <c r="HL16" s="128">
        <f t="shared" si="115"/>
        <v>-844587</v>
      </c>
      <c r="HM16" s="128">
        <f t="shared" si="116"/>
        <v>881954</v>
      </c>
      <c r="HN16" s="128">
        <f t="shared" si="117"/>
        <v>1</v>
      </c>
      <c r="HO16" s="128">
        <f t="shared" si="118"/>
        <v>0</v>
      </c>
      <c r="HP16" s="115"/>
      <c r="HQ16" s="99">
        <v>855494</v>
      </c>
      <c r="HR16" s="128">
        <f t="shared" si="14"/>
        <v>-871047</v>
      </c>
      <c r="HS16" s="128">
        <f t="shared" si="15"/>
        <v>855494</v>
      </c>
      <c r="HT16" s="128">
        <f t="shared" si="16"/>
        <v>-26459</v>
      </c>
      <c r="HU16" s="128">
        <f t="shared" si="17"/>
        <v>-26460</v>
      </c>
      <c r="HV16" s="160" t="s">
        <v>499</v>
      </c>
      <c r="HW16" s="99">
        <v>855494</v>
      </c>
      <c r="HX16" s="128">
        <f t="shared" si="18"/>
        <v>-871047</v>
      </c>
      <c r="HY16" s="128">
        <f t="shared" si="19"/>
        <v>855494</v>
      </c>
      <c r="HZ16" s="128">
        <f t="shared" si="119"/>
        <v>0</v>
      </c>
      <c r="IA16" s="160" t="s">
        <v>499</v>
      </c>
      <c r="IB16" s="99">
        <v>855494</v>
      </c>
      <c r="IC16" s="166" t="s">
        <v>499</v>
      </c>
      <c r="ID16" s="128">
        <f t="shared" si="20"/>
        <v>855494</v>
      </c>
      <c r="IE16" s="164">
        <f t="shared" si="21"/>
        <v>-871047</v>
      </c>
      <c r="IF16" s="185">
        <v>0</v>
      </c>
      <c r="IG16" s="40">
        <f t="shared" si="120"/>
        <v>-855494</v>
      </c>
      <c r="IH16" s="115" t="s">
        <v>541</v>
      </c>
    </row>
    <row r="17" spans="1:244" ht="25.5" x14ac:dyDescent="0.2">
      <c r="A17" s="17" t="s">
        <v>3</v>
      </c>
      <c r="B17" s="18"/>
      <c r="C17" s="51" t="s">
        <v>152</v>
      </c>
      <c r="D17" s="20">
        <v>7645700</v>
      </c>
      <c r="E17" s="21">
        <v>7726719</v>
      </c>
      <c r="F17" s="21">
        <v>7681009</v>
      </c>
      <c r="G17" s="21">
        <v>7685712</v>
      </c>
      <c r="H17" s="21"/>
      <c r="I17" s="21">
        <f t="shared" si="0"/>
        <v>7685712</v>
      </c>
      <c r="J17" s="22">
        <v>-99326</v>
      </c>
      <c r="K17" s="22"/>
      <c r="L17" s="22">
        <f t="shared" si="1"/>
        <v>-99326</v>
      </c>
      <c r="M17" s="23">
        <f t="shared" si="22"/>
        <v>7586386</v>
      </c>
      <c r="N17" s="23">
        <v>8158206</v>
      </c>
      <c r="O17" s="23">
        <v>7475804</v>
      </c>
      <c r="P17" s="23">
        <v>7475804</v>
      </c>
      <c r="Q17" s="23">
        <v>7586386</v>
      </c>
      <c r="R17" s="23">
        <v>7586386</v>
      </c>
      <c r="S17" s="23">
        <v>1.4579999999999999E-2</v>
      </c>
      <c r="T17" s="23">
        <f t="shared" si="121"/>
        <v>-110609.50787999999</v>
      </c>
      <c r="U17" s="23">
        <f t="shared" si="122"/>
        <v>7475776.4921199996</v>
      </c>
      <c r="V17" s="23">
        <f t="shared" si="2"/>
        <v>-110609.5078800004</v>
      </c>
      <c r="W17" s="24">
        <v>7475804</v>
      </c>
      <c r="X17" s="24"/>
      <c r="Y17" s="24">
        <f t="shared" si="23"/>
        <v>7475804</v>
      </c>
      <c r="Z17" s="25">
        <v>7507038</v>
      </c>
      <c r="AA17" s="25">
        <f t="shared" si="24"/>
        <v>31234</v>
      </c>
      <c r="AB17" s="25">
        <v>7345373</v>
      </c>
      <c r="AC17" s="25">
        <v>7345373</v>
      </c>
      <c r="AD17" s="26">
        <v>7256897</v>
      </c>
      <c r="AE17" s="25"/>
      <c r="AF17" s="25">
        <f>AC17-SUM(W17:X17)</f>
        <v>-130431</v>
      </c>
      <c r="AG17" s="25">
        <f>AC17-Z17</f>
        <v>-161665</v>
      </c>
      <c r="AH17" s="26">
        <v>7256897</v>
      </c>
      <c r="AI17" s="26">
        <v>7345373</v>
      </c>
      <c r="AJ17" s="25">
        <f t="shared" si="141"/>
        <v>-218907</v>
      </c>
      <c r="AK17" s="25">
        <f t="shared" si="25"/>
        <v>-250141</v>
      </c>
      <c r="AL17" s="25">
        <f t="shared" si="26"/>
        <v>-88476</v>
      </c>
      <c r="AM17" s="26">
        <f t="shared" si="27"/>
        <v>-218907</v>
      </c>
      <c r="AN17" s="26">
        <f t="shared" si="28"/>
        <v>-250141</v>
      </c>
      <c r="AO17" s="26">
        <f t="shared" si="4"/>
        <v>-88476</v>
      </c>
      <c r="AP17" s="25">
        <v>7345373</v>
      </c>
      <c r="AQ17" s="25">
        <f t="shared" si="5"/>
        <v>-130431</v>
      </c>
      <c r="AR17" s="25">
        <f t="shared" si="29"/>
        <v>-161665</v>
      </c>
      <c r="AS17" s="25">
        <f t="shared" si="30"/>
        <v>-130431</v>
      </c>
      <c r="AT17" s="25"/>
      <c r="AU17" s="25">
        <f t="shared" si="31"/>
        <v>7345373</v>
      </c>
      <c r="AV17" s="25">
        <v>7432061</v>
      </c>
      <c r="AW17" s="25">
        <f t="shared" si="32"/>
        <v>86688</v>
      </c>
      <c r="AX17" s="25">
        <v>7412903</v>
      </c>
      <c r="AY17" s="26">
        <f t="shared" si="123"/>
        <v>67530</v>
      </c>
      <c r="AZ17" s="26">
        <f t="shared" si="124"/>
        <v>-19158</v>
      </c>
      <c r="BA17" s="25">
        <v>7412903</v>
      </c>
      <c r="BB17" s="25">
        <f t="shared" si="33"/>
        <v>67530</v>
      </c>
      <c r="BC17" s="25">
        <f t="shared" si="34"/>
        <v>-19158</v>
      </c>
      <c r="BD17" s="25">
        <f t="shared" si="35"/>
        <v>0</v>
      </c>
      <c r="BE17" s="25">
        <v>7478770</v>
      </c>
      <c r="BF17" s="25">
        <v>7448153</v>
      </c>
      <c r="BG17" s="25">
        <v>7448153</v>
      </c>
      <c r="BH17" s="25">
        <f t="shared" si="36"/>
        <v>102780</v>
      </c>
      <c r="BI17" s="25">
        <f t="shared" si="37"/>
        <v>16092</v>
      </c>
      <c r="BJ17" s="25">
        <f t="shared" si="38"/>
        <v>35250</v>
      </c>
      <c r="BK17" s="8">
        <f t="shared" si="39"/>
        <v>-30617</v>
      </c>
      <c r="BL17" s="25">
        <f>50000+72639</f>
        <v>122639</v>
      </c>
      <c r="BM17" s="25">
        <f t="shared" si="40"/>
        <v>7325514</v>
      </c>
      <c r="BN17" s="37">
        <v>7792343</v>
      </c>
      <c r="BO17" s="26">
        <f t="shared" si="41"/>
        <v>466829</v>
      </c>
      <c r="BP17" s="37">
        <v>7761517</v>
      </c>
      <c r="BQ17" s="8">
        <f t="shared" si="42"/>
        <v>436003</v>
      </c>
      <c r="BR17" s="8">
        <f t="shared" si="43"/>
        <v>-30826</v>
      </c>
      <c r="BS17" s="37">
        <f t="shared" ref="BS17:BS19" si="142">BP17</f>
        <v>7761517</v>
      </c>
      <c r="BT17" s="40">
        <f t="shared" si="44"/>
        <v>436003</v>
      </c>
      <c r="BU17" s="40">
        <f t="shared" si="45"/>
        <v>-30826</v>
      </c>
      <c r="BV17" s="40">
        <f t="shared" si="46"/>
        <v>0</v>
      </c>
      <c r="BW17" s="38">
        <v>7761517</v>
      </c>
      <c r="BX17" s="8">
        <f t="shared" si="47"/>
        <v>436003</v>
      </c>
      <c r="BY17" s="8">
        <f t="shared" si="48"/>
        <v>-30826</v>
      </c>
      <c r="BZ17" s="8">
        <f t="shared" si="49"/>
        <v>0</v>
      </c>
      <c r="CA17" s="38">
        <v>7761517</v>
      </c>
      <c r="CB17" s="8">
        <f t="shared" si="50"/>
        <v>436003</v>
      </c>
      <c r="CC17" s="8">
        <f t="shared" si="51"/>
        <v>-30826</v>
      </c>
      <c r="CD17" s="8">
        <f t="shared" si="6"/>
        <v>0</v>
      </c>
      <c r="CE17" s="8">
        <f t="shared" si="52"/>
        <v>0</v>
      </c>
      <c r="CF17" s="38">
        <v>7761517</v>
      </c>
      <c r="CG17" s="8">
        <f t="shared" si="53"/>
        <v>436003</v>
      </c>
      <c r="CH17" s="8">
        <f t="shared" si="54"/>
        <v>-30826</v>
      </c>
      <c r="CI17" s="8">
        <f t="shared" si="55"/>
        <v>0</v>
      </c>
      <c r="CJ17" s="8">
        <f t="shared" si="56"/>
        <v>0</v>
      </c>
      <c r="CK17" s="38">
        <v>7761517</v>
      </c>
      <c r="CL17" s="8">
        <f t="shared" si="7"/>
        <v>436003</v>
      </c>
      <c r="CM17" s="8">
        <f t="shared" si="57"/>
        <v>-30826</v>
      </c>
      <c r="CN17" s="8">
        <f t="shared" si="58"/>
        <v>0</v>
      </c>
      <c r="CO17" s="38">
        <v>8019607</v>
      </c>
      <c r="CP17" s="38">
        <f t="shared" si="59"/>
        <v>227264</v>
      </c>
      <c r="CQ17" s="8">
        <f t="shared" si="60"/>
        <v>258090</v>
      </c>
      <c r="CR17" s="38">
        <v>7967142</v>
      </c>
      <c r="CS17" s="27"/>
      <c r="CT17" s="38">
        <f t="shared" si="61"/>
        <v>7967142</v>
      </c>
      <c r="CU17" s="8">
        <f t="shared" si="62"/>
        <v>205625</v>
      </c>
      <c r="CV17" s="38">
        <f t="shared" si="63"/>
        <v>-52465</v>
      </c>
      <c r="CW17" s="38">
        <f t="shared" si="64"/>
        <v>0</v>
      </c>
      <c r="CX17" s="38">
        <v>7874567</v>
      </c>
      <c r="CY17" s="8">
        <f t="shared" si="65"/>
        <v>113050</v>
      </c>
      <c r="CZ17" s="38">
        <f t="shared" si="66"/>
        <v>-145040</v>
      </c>
      <c r="DA17" s="38">
        <f t="shared" si="67"/>
        <v>-92575</v>
      </c>
      <c r="DB17" s="38">
        <v>7874567</v>
      </c>
      <c r="DC17" s="8">
        <f t="shared" si="68"/>
        <v>113050</v>
      </c>
      <c r="DD17" s="38">
        <f t="shared" si="69"/>
        <v>-145040</v>
      </c>
      <c r="DE17" s="38">
        <f t="shared" si="70"/>
        <v>-92575</v>
      </c>
      <c r="DF17" s="38">
        <f t="shared" si="71"/>
        <v>0</v>
      </c>
      <c r="DG17" s="38">
        <v>7967142</v>
      </c>
      <c r="DH17" s="40">
        <f t="shared" si="72"/>
        <v>205625</v>
      </c>
      <c r="DI17" s="38">
        <f t="shared" si="73"/>
        <v>-52465</v>
      </c>
      <c r="DJ17" s="38">
        <f t="shared" si="74"/>
        <v>0</v>
      </c>
      <c r="DK17" s="38">
        <f t="shared" si="75"/>
        <v>92575</v>
      </c>
      <c r="DL17" s="38"/>
      <c r="DM17" s="38">
        <f t="shared" si="76"/>
        <v>7967142</v>
      </c>
      <c r="DN17" s="38">
        <v>7967142</v>
      </c>
      <c r="DO17" s="38">
        <f t="shared" si="77"/>
        <v>205625</v>
      </c>
      <c r="DP17" s="38"/>
      <c r="DQ17" s="38">
        <v>0</v>
      </c>
      <c r="DR17" s="38">
        <f t="shared" si="78"/>
        <v>7967142</v>
      </c>
      <c r="DS17" s="38">
        <f t="shared" si="79"/>
        <v>205625</v>
      </c>
      <c r="DT17" s="38"/>
      <c r="DU17" s="38">
        <f t="shared" si="80"/>
        <v>7967142</v>
      </c>
      <c r="DV17" s="38">
        <f t="shared" si="81"/>
        <v>205625</v>
      </c>
      <c r="DW17" s="38">
        <v>7967142</v>
      </c>
      <c r="DX17" s="38">
        <v>8281698</v>
      </c>
      <c r="DY17" s="8">
        <f t="shared" si="127"/>
        <v>314556</v>
      </c>
      <c r="DZ17" s="40">
        <v>8281697</v>
      </c>
      <c r="EA17" s="8">
        <f t="shared" si="128"/>
        <v>314555</v>
      </c>
      <c r="EB17" s="8">
        <f t="shared" si="129"/>
        <v>-1</v>
      </c>
      <c r="EC17" s="60"/>
      <c r="ED17" s="37">
        <v>8281697</v>
      </c>
      <c r="EE17" s="25">
        <f t="shared" si="130"/>
        <v>314555</v>
      </c>
      <c r="EF17" s="25">
        <f t="shared" si="131"/>
        <v>-1</v>
      </c>
      <c r="EG17" s="25">
        <f t="shared" si="82"/>
        <v>0</v>
      </c>
      <c r="EH17" s="37">
        <v>8281698</v>
      </c>
      <c r="EI17" s="25">
        <f t="shared" si="132"/>
        <v>314556</v>
      </c>
      <c r="EJ17" s="25">
        <f t="shared" si="133"/>
        <v>0</v>
      </c>
      <c r="EK17" s="25">
        <f t="shared" si="83"/>
        <v>1</v>
      </c>
      <c r="EL17" s="37">
        <v>8281698</v>
      </c>
      <c r="EM17" s="25">
        <f t="shared" si="134"/>
        <v>314556</v>
      </c>
      <c r="EN17" s="25">
        <f t="shared" si="135"/>
        <v>0</v>
      </c>
      <c r="EO17" s="25">
        <f t="shared" si="125"/>
        <v>1</v>
      </c>
      <c r="EP17" s="25">
        <f t="shared" si="84"/>
        <v>0</v>
      </c>
      <c r="EQ17" s="37">
        <v>8281698</v>
      </c>
      <c r="ER17" s="25">
        <f t="shared" si="136"/>
        <v>314556</v>
      </c>
      <c r="ES17" s="25">
        <f t="shared" si="137"/>
        <v>0</v>
      </c>
      <c r="ET17" s="25">
        <f t="shared" si="85"/>
        <v>1</v>
      </c>
      <c r="EU17" s="25">
        <f t="shared" si="86"/>
        <v>0</v>
      </c>
      <c r="EV17" s="37">
        <v>8281698</v>
      </c>
      <c r="EW17" s="25">
        <f t="shared" si="138"/>
        <v>314556</v>
      </c>
      <c r="EX17" s="25">
        <f t="shared" si="87"/>
        <v>0</v>
      </c>
      <c r="EY17" s="25">
        <f t="shared" si="8"/>
        <v>0</v>
      </c>
      <c r="EZ17" s="37">
        <v>8281698</v>
      </c>
      <c r="FA17" s="25">
        <f t="shared" si="139"/>
        <v>314556</v>
      </c>
      <c r="FB17" s="25"/>
      <c r="FC17" s="25">
        <f t="shared" si="88"/>
        <v>8281698</v>
      </c>
      <c r="FD17" s="25">
        <f>8094937-8281698</f>
        <v>-186761</v>
      </c>
      <c r="FE17" s="25"/>
      <c r="FF17" s="25">
        <f t="shared" si="89"/>
        <v>8094937</v>
      </c>
      <c r="FG17" s="37">
        <v>8144423</v>
      </c>
      <c r="FH17" s="25">
        <f t="shared" si="90"/>
        <v>49486</v>
      </c>
      <c r="FI17" s="25"/>
      <c r="FJ17" s="37">
        <v>8126495</v>
      </c>
      <c r="FK17" s="37">
        <f t="shared" si="91"/>
        <v>31558</v>
      </c>
      <c r="FL17" s="37">
        <f t="shared" si="92"/>
        <v>-17928</v>
      </c>
      <c r="FM17" s="37">
        <v>8126495</v>
      </c>
      <c r="FN17" s="37">
        <f t="shared" si="93"/>
        <v>31558</v>
      </c>
      <c r="FO17" s="37">
        <f t="shared" si="94"/>
        <v>-17928</v>
      </c>
      <c r="FP17" s="37">
        <f t="shared" si="95"/>
        <v>0</v>
      </c>
      <c r="FQ17" s="37"/>
      <c r="FR17" s="37">
        <v>8144423</v>
      </c>
      <c r="FS17" s="37">
        <f t="shared" si="96"/>
        <v>49486</v>
      </c>
      <c r="FT17" s="37">
        <f t="shared" si="97"/>
        <v>0</v>
      </c>
      <c r="FU17" s="37">
        <f t="shared" si="98"/>
        <v>17928</v>
      </c>
      <c r="FV17" s="100"/>
      <c r="FW17" s="37">
        <v>8144423</v>
      </c>
      <c r="FX17" s="37">
        <f t="shared" si="99"/>
        <v>49486</v>
      </c>
      <c r="FY17" s="37">
        <f t="shared" si="100"/>
        <v>0</v>
      </c>
      <c r="FZ17" s="37">
        <f t="shared" si="101"/>
        <v>17928</v>
      </c>
      <c r="GA17" s="37">
        <f t="shared" si="102"/>
        <v>0</v>
      </c>
      <c r="GB17" s="107"/>
      <c r="GC17" s="37">
        <v>8126495</v>
      </c>
      <c r="GD17" s="26"/>
      <c r="GE17" s="37">
        <f t="shared" si="103"/>
        <v>8126495</v>
      </c>
      <c r="GF17" s="38"/>
      <c r="GG17" s="37">
        <f t="shared" si="104"/>
        <v>8126495</v>
      </c>
      <c r="GH17" s="26">
        <f t="shared" si="9"/>
        <v>31558</v>
      </c>
      <c r="GI17" s="37">
        <f t="shared" si="10"/>
        <v>-17928</v>
      </c>
      <c r="GJ17" s="37">
        <f t="shared" si="11"/>
        <v>0</v>
      </c>
      <c r="GK17" s="37">
        <f t="shared" si="12"/>
        <v>-17928</v>
      </c>
      <c r="GL17" s="37">
        <f t="shared" si="13"/>
        <v>0</v>
      </c>
      <c r="GM17" s="107"/>
      <c r="GN17" s="115"/>
      <c r="GO17" s="113">
        <f t="shared" si="105"/>
        <v>8126495</v>
      </c>
      <c r="GP17" s="113">
        <v>-81265</v>
      </c>
      <c r="GQ17" s="113">
        <f t="shared" si="106"/>
        <v>8045230</v>
      </c>
      <c r="GR17" s="113"/>
      <c r="GS17" s="128">
        <v>8045230</v>
      </c>
      <c r="GT17" s="128">
        <v>7777420</v>
      </c>
      <c r="GU17" s="123">
        <f t="shared" si="140"/>
        <v>-267810</v>
      </c>
      <c r="GV17" s="115" t="s">
        <v>385</v>
      </c>
      <c r="GW17" s="99">
        <v>7768688</v>
      </c>
      <c r="GX17" s="128">
        <f t="shared" si="108"/>
        <v>-276542</v>
      </c>
      <c r="GY17" s="128">
        <f t="shared" si="109"/>
        <v>-8732</v>
      </c>
      <c r="GZ17" s="115" t="s">
        <v>385</v>
      </c>
      <c r="HA17" s="99">
        <v>7768688</v>
      </c>
      <c r="HB17" s="128">
        <f t="shared" si="110"/>
        <v>-276542</v>
      </c>
      <c r="HC17" s="128">
        <f t="shared" si="111"/>
        <v>-8732</v>
      </c>
      <c r="HD17" s="128">
        <f t="shared" si="112"/>
        <v>0</v>
      </c>
      <c r="HE17" s="115" t="s">
        <v>385</v>
      </c>
      <c r="HF17" s="99">
        <v>7768688</v>
      </c>
      <c r="HG17" s="128">
        <f t="shared" si="126"/>
        <v>-276542</v>
      </c>
      <c r="HH17" s="128">
        <f t="shared" si="113"/>
        <v>-8732</v>
      </c>
      <c r="HI17" s="128">
        <f t="shared" si="114"/>
        <v>0</v>
      </c>
      <c r="HJ17" s="115"/>
      <c r="HK17" s="99">
        <v>7768688</v>
      </c>
      <c r="HL17" s="128">
        <f t="shared" si="115"/>
        <v>-276542</v>
      </c>
      <c r="HM17" s="128">
        <f t="shared" si="116"/>
        <v>-8732</v>
      </c>
      <c r="HN17" s="128">
        <f t="shared" si="117"/>
        <v>0</v>
      </c>
      <c r="HO17" s="128">
        <f t="shared" si="118"/>
        <v>0</v>
      </c>
      <c r="HP17" s="115"/>
      <c r="HQ17" s="99">
        <v>7535627</v>
      </c>
      <c r="HR17" s="128">
        <f t="shared" si="14"/>
        <v>-509603</v>
      </c>
      <c r="HS17" s="128">
        <f t="shared" si="15"/>
        <v>-241793</v>
      </c>
      <c r="HT17" s="128">
        <f t="shared" si="16"/>
        <v>-233061</v>
      </c>
      <c r="HU17" s="128">
        <f t="shared" si="17"/>
        <v>-233061</v>
      </c>
      <c r="HV17" s="160" t="s">
        <v>501</v>
      </c>
      <c r="HW17" s="99">
        <v>7535627</v>
      </c>
      <c r="HX17" s="128">
        <f t="shared" si="18"/>
        <v>-509603</v>
      </c>
      <c r="HY17" s="128">
        <f t="shared" si="19"/>
        <v>-241793</v>
      </c>
      <c r="HZ17" s="128">
        <f t="shared" si="119"/>
        <v>0</v>
      </c>
      <c r="IA17" s="160" t="s">
        <v>501</v>
      </c>
      <c r="IB17" s="99">
        <v>7535627</v>
      </c>
      <c r="IC17" s="166" t="s">
        <v>501</v>
      </c>
      <c r="ID17" s="128">
        <f t="shared" si="20"/>
        <v>7535627</v>
      </c>
      <c r="IE17" s="164">
        <f t="shared" si="21"/>
        <v>-509603</v>
      </c>
      <c r="IF17" s="185">
        <v>7498285</v>
      </c>
      <c r="IG17" s="40">
        <f t="shared" si="120"/>
        <v>-37342</v>
      </c>
      <c r="IH17" s="115"/>
    </row>
    <row r="18" spans="1:244" ht="25.5" hidden="1" x14ac:dyDescent="0.2">
      <c r="A18" s="17" t="s">
        <v>16</v>
      </c>
      <c r="B18" s="18"/>
      <c r="C18" s="51" t="s">
        <v>298</v>
      </c>
      <c r="D18" s="20">
        <v>33802216</v>
      </c>
      <c r="E18" s="21">
        <v>33802216</v>
      </c>
      <c r="F18" s="21">
        <v>30802216</v>
      </c>
      <c r="G18" s="21">
        <f>25748947+200000</f>
        <v>25948947</v>
      </c>
      <c r="H18" s="21"/>
      <c r="I18" s="21">
        <f t="shared" si="0"/>
        <v>25948947</v>
      </c>
      <c r="J18" s="22"/>
      <c r="K18" s="22"/>
      <c r="L18" s="22">
        <f t="shared" si="1"/>
        <v>0</v>
      </c>
      <c r="M18" s="23">
        <f t="shared" si="22"/>
        <v>25948947</v>
      </c>
      <c r="N18" s="23">
        <f>M18+J18</f>
        <v>25948947</v>
      </c>
      <c r="O18" s="23">
        <v>25972317</v>
      </c>
      <c r="P18" s="23">
        <v>25972317</v>
      </c>
      <c r="Q18" s="23">
        <v>19273317</v>
      </c>
      <c r="R18" s="23">
        <v>25948947</v>
      </c>
      <c r="S18" s="23">
        <v>0.11561</v>
      </c>
      <c r="T18" s="23">
        <f t="shared" si="121"/>
        <v>-2999957.7626700001</v>
      </c>
      <c r="U18" s="23">
        <f t="shared" si="122"/>
        <v>22948989.237330001</v>
      </c>
      <c r="V18" s="23">
        <f t="shared" si="2"/>
        <v>-2999957.7626699992</v>
      </c>
      <c r="W18" s="24">
        <v>22948947</v>
      </c>
      <c r="X18" s="24"/>
      <c r="Y18" s="24">
        <f t="shared" si="23"/>
        <v>22948947</v>
      </c>
      <c r="Z18" s="25">
        <v>22948947</v>
      </c>
      <c r="AA18" s="25">
        <f t="shared" si="24"/>
        <v>0</v>
      </c>
      <c r="AB18" s="25">
        <v>22948947</v>
      </c>
      <c r="AC18" s="25">
        <v>22948947</v>
      </c>
      <c r="AD18" s="26">
        <v>20948947</v>
      </c>
      <c r="AE18" s="25"/>
      <c r="AF18" s="25"/>
      <c r="AG18" s="25"/>
      <c r="AH18" s="26">
        <v>20948947</v>
      </c>
      <c r="AI18" s="26">
        <v>22948947</v>
      </c>
      <c r="AJ18" s="25">
        <f t="shared" si="141"/>
        <v>-2000000</v>
      </c>
      <c r="AK18" s="25">
        <f t="shared" si="25"/>
        <v>-2000000</v>
      </c>
      <c r="AL18" s="25">
        <f t="shared" si="26"/>
        <v>-2000000</v>
      </c>
      <c r="AM18" s="26">
        <f t="shared" si="27"/>
        <v>-2000000</v>
      </c>
      <c r="AN18" s="26">
        <f t="shared" si="28"/>
        <v>-2000000</v>
      </c>
      <c r="AO18" s="26">
        <f t="shared" si="4"/>
        <v>-2000000</v>
      </c>
      <c r="AP18" s="25">
        <v>22948947</v>
      </c>
      <c r="AQ18" s="25">
        <f t="shared" si="5"/>
        <v>0</v>
      </c>
      <c r="AR18" s="25">
        <f t="shared" si="29"/>
        <v>0</v>
      </c>
      <c r="AS18" s="25">
        <f t="shared" si="30"/>
        <v>0</v>
      </c>
      <c r="AT18" s="25"/>
      <c r="AU18" s="25">
        <f t="shared" si="31"/>
        <v>22948947</v>
      </c>
      <c r="AV18" s="25">
        <v>25948947</v>
      </c>
      <c r="AW18" s="25">
        <f t="shared" si="32"/>
        <v>3000000</v>
      </c>
      <c r="AX18" s="25">
        <v>24948947</v>
      </c>
      <c r="AY18" s="26">
        <f t="shared" si="123"/>
        <v>2000000</v>
      </c>
      <c r="AZ18" s="26">
        <f t="shared" si="124"/>
        <v>-1000000</v>
      </c>
      <c r="BA18" s="25">
        <v>24948947</v>
      </c>
      <c r="BB18" s="25">
        <f t="shared" si="33"/>
        <v>2000000</v>
      </c>
      <c r="BC18" s="25">
        <f t="shared" si="34"/>
        <v>-1000000</v>
      </c>
      <c r="BD18" s="25">
        <f t="shared" si="35"/>
        <v>0</v>
      </c>
      <c r="BE18" s="25">
        <v>20948947</v>
      </c>
      <c r="BF18" s="25">
        <v>23948947</v>
      </c>
      <c r="BG18" s="25">
        <v>23948947</v>
      </c>
      <c r="BH18" s="25">
        <f t="shared" si="36"/>
        <v>1000000</v>
      </c>
      <c r="BI18" s="25">
        <f t="shared" si="37"/>
        <v>-2000000</v>
      </c>
      <c r="BJ18" s="25">
        <f t="shared" si="38"/>
        <v>-1000000</v>
      </c>
      <c r="BK18" s="8">
        <f t="shared" si="39"/>
        <v>3000000</v>
      </c>
      <c r="BL18" s="25"/>
      <c r="BM18" s="25">
        <f t="shared" si="40"/>
        <v>23948947</v>
      </c>
      <c r="BN18" s="37">
        <v>23948947</v>
      </c>
      <c r="BO18" s="26">
        <f t="shared" si="41"/>
        <v>0</v>
      </c>
      <c r="BP18" s="37">
        <v>23948947</v>
      </c>
      <c r="BQ18" s="8">
        <f t="shared" si="42"/>
        <v>0</v>
      </c>
      <c r="BR18" s="8">
        <f t="shared" si="43"/>
        <v>0</v>
      </c>
      <c r="BS18" s="37">
        <f t="shared" si="142"/>
        <v>23948947</v>
      </c>
      <c r="BT18" s="40">
        <f t="shared" si="44"/>
        <v>0</v>
      </c>
      <c r="BU18" s="40">
        <f t="shared" si="45"/>
        <v>0</v>
      </c>
      <c r="BV18" s="40">
        <f t="shared" si="46"/>
        <v>0</v>
      </c>
      <c r="BW18" s="38">
        <v>20000000</v>
      </c>
      <c r="BX18" s="8">
        <f t="shared" si="47"/>
        <v>-3948947</v>
      </c>
      <c r="BY18" s="8">
        <f t="shared" si="48"/>
        <v>-3948947</v>
      </c>
      <c r="BZ18" s="8">
        <f t="shared" si="49"/>
        <v>-3948947</v>
      </c>
      <c r="CA18" s="38">
        <v>20000000</v>
      </c>
      <c r="CB18" s="8">
        <f t="shared" si="50"/>
        <v>-3948947</v>
      </c>
      <c r="CC18" s="8">
        <f t="shared" si="51"/>
        <v>-3948947</v>
      </c>
      <c r="CD18" s="8">
        <f t="shared" si="6"/>
        <v>-3948947</v>
      </c>
      <c r="CE18" s="8">
        <f t="shared" si="52"/>
        <v>0</v>
      </c>
      <c r="CF18" s="38">
        <v>23948947</v>
      </c>
      <c r="CG18" s="8">
        <f t="shared" si="53"/>
        <v>0</v>
      </c>
      <c r="CH18" s="8">
        <f t="shared" si="54"/>
        <v>0</v>
      </c>
      <c r="CI18" s="8">
        <f t="shared" si="55"/>
        <v>0</v>
      </c>
      <c r="CJ18" s="8">
        <f t="shared" si="56"/>
        <v>3948947</v>
      </c>
      <c r="CK18" s="38">
        <v>23948947</v>
      </c>
      <c r="CL18" s="8">
        <f t="shared" si="7"/>
        <v>0</v>
      </c>
      <c r="CM18" s="8">
        <f t="shared" si="57"/>
        <v>0</v>
      </c>
      <c r="CN18" s="8">
        <f t="shared" si="58"/>
        <v>0</v>
      </c>
      <c r="CO18" s="38">
        <v>27048947</v>
      </c>
      <c r="CP18" s="38">
        <f t="shared" si="59"/>
        <v>3100000</v>
      </c>
      <c r="CQ18" s="8">
        <f t="shared" si="60"/>
        <v>3100000</v>
      </c>
      <c r="CR18" s="38">
        <v>23948947</v>
      </c>
      <c r="CS18" s="25"/>
      <c r="CT18" s="38">
        <f t="shared" si="61"/>
        <v>23948947</v>
      </c>
      <c r="CU18" s="8">
        <f t="shared" si="62"/>
        <v>0</v>
      </c>
      <c r="CV18" s="38">
        <f t="shared" si="63"/>
        <v>-3100000</v>
      </c>
      <c r="CW18" s="38">
        <f t="shared" si="64"/>
        <v>0</v>
      </c>
      <c r="CX18" s="38">
        <v>20000000</v>
      </c>
      <c r="CY18" s="8">
        <f t="shared" si="65"/>
        <v>-3948947</v>
      </c>
      <c r="CZ18" s="38">
        <f t="shared" si="66"/>
        <v>-7048947</v>
      </c>
      <c r="DA18" s="38">
        <f t="shared" si="67"/>
        <v>-3948947</v>
      </c>
      <c r="DB18" s="38">
        <v>20000000</v>
      </c>
      <c r="DC18" s="8">
        <f t="shared" si="68"/>
        <v>-3948947</v>
      </c>
      <c r="DD18" s="38">
        <f t="shared" si="69"/>
        <v>-7048947</v>
      </c>
      <c r="DE18" s="38">
        <f t="shared" si="70"/>
        <v>-3948947</v>
      </c>
      <c r="DF18" s="38">
        <f t="shared" si="71"/>
        <v>0</v>
      </c>
      <c r="DG18" s="38">
        <v>23948947</v>
      </c>
      <c r="DH18" s="40">
        <f t="shared" si="72"/>
        <v>0</v>
      </c>
      <c r="DI18" s="38">
        <f t="shared" si="73"/>
        <v>-3100000</v>
      </c>
      <c r="DJ18" s="38">
        <f t="shared" si="74"/>
        <v>0</v>
      </c>
      <c r="DK18" s="38">
        <f t="shared" si="75"/>
        <v>3948947</v>
      </c>
      <c r="DL18" s="38"/>
      <c r="DM18" s="38">
        <f t="shared" si="76"/>
        <v>23948947</v>
      </c>
      <c r="DN18" s="38">
        <v>23948947</v>
      </c>
      <c r="DO18" s="38">
        <f t="shared" si="77"/>
        <v>0</v>
      </c>
      <c r="DP18" s="38"/>
      <c r="DQ18" s="38">
        <v>-359234</v>
      </c>
      <c r="DR18" s="38">
        <f t="shared" si="78"/>
        <v>23589713</v>
      </c>
      <c r="DS18" s="38">
        <f t="shared" si="79"/>
        <v>-359234</v>
      </c>
      <c r="DT18" s="38">
        <v>-5000000</v>
      </c>
      <c r="DU18" s="38">
        <f t="shared" si="80"/>
        <v>18589713</v>
      </c>
      <c r="DV18" s="38">
        <f t="shared" si="81"/>
        <v>-5359234</v>
      </c>
      <c r="DW18" s="38">
        <v>18589713</v>
      </c>
      <c r="DX18" s="38">
        <v>0</v>
      </c>
      <c r="DY18" s="8">
        <f t="shared" si="127"/>
        <v>-18589713</v>
      </c>
      <c r="DZ18" s="40">
        <v>18589713</v>
      </c>
      <c r="EA18" s="8">
        <f t="shared" si="128"/>
        <v>0</v>
      </c>
      <c r="EB18" s="8">
        <f t="shared" si="129"/>
        <v>18589713</v>
      </c>
      <c r="EC18" s="60"/>
      <c r="ED18" s="37">
        <v>18589713</v>
      </c>
      <c r="EE18" s="25">
        <f t="shared" si="130"/>
        <v>0</v>
      </c>
      <c r="EF18" s="25">
        <f t="shared" si="131"/>
        <v>18589713</v>
      </c>
      <c r="EG18" s="25">
        <f t="shared" si="82"/>
        <v>0</v>
      </c>
      <c r="EH18" s="37">
        <v>1000000</v>
      </c>
      <c r="EI18" s="25">
        <f t="shared" si="132"/>
        <v>-17589713</v>
      </c>
      <c r="EJ18" s="25">
        <f t="shared" si="133"/>
        <v>1000000</v>
      </c>
      <c r="EK18" s="25">
        <f t="shared" si="83"/>
        <v>-17589713</v>
      </c>
      <c r="EL18" s="37">
        <v>1000000</v>
      </c>
      <c r="EM18" s="25">
        <f t="shared" si="134"/>
        <v>-17589713</v>
      </c>
      <c r="EN18" s="25">
        <f t="shared" si="135"/>
        <v>1000000</v>
      </c>
      <c r="EO18" s="25">
        <f t="shared" si="125"/>
        <v>-17589713</v>
      </c>
      <c r="EP18" s="25">
        <f t="shared" si="84"/>
        <v>0</v>
      </c>
      <c r="EQ18" s="37">
        <v>18589713</v>
      </c>
      <c r="ER18" s="25">
        <f t="shared" si="136"/>
        <v>0</v>
      </c>
      <c r="ES18" s="25">
        <f t="shared" si="137"/>
        <v>18589713</v>
      </c>
      <c r="ET18" s="25">
        <f t="shared" si="85"/>
        <v>0</v>
      </c>
      <c r="EU18" s="25">
        <f t="shared" si="86"/>
        <v>17589713</v>
      </c>
      <c r="EV18" s="37">
        <f>18589713-17589713</f>
        <v>1000000</v>
      </c>
      <c r="EW18" s="25">
        <f t="shared" si="138"/>
        <v>-17589713</v>
      </c>
      <c r="EX18" s="25">
        <f t="shared" si="87"/>
        <v>-17589713</v>
      </c>
      <c r="EY18" s="25">
        <f t="shared" si="8"/>
        <v>17589713</v>
      </c>
      <c r="EZ18" s="37">
        <f>18589713</f>
        <v>18589713</v>
      </c>
      <c r="FA18" s="25">
        <f t="shared" si="139"/>
        <v>0</v>
      </c>
      <c r="FB18" s="25"/>
      <c r="FC18" s="25">
        <f t="shared" si="88"/>
        <v>18589713</v>
      </c>
      <c r="FD18" s="25"/>
      <c r="FE18" s="25"/>
      <c r="FF18" s="25">
        <f t="shared" si="89"/>
        <v>18589713</v>
      </c>
      <c r="FG18" s="37">
        <v>18589713</v>
      </c>
      <c r="FH18" s="25">
        <f t="shared" si="90"/>
        <v>0</v>
      </c>
      <c r="FI18" s="25"/>
      <c r="FJ18" s="37">
        <v>18589713</v>
      </c>
      <c r="FK18" s="37">
        <f t="shared" si="91"/>
        <v>0</v>
      </c>
      <c r="FL18" s="37">
        <f t="shared" si="92"/>
        <v>0</v>
      </c>
      <c r="FM18" s="37">
        <v>18589713</v>
      </c>
      <c r="FN18" s="37">
        <f t="shared" si="93"/>
        <v>0</v>
      </c>
      <c r="FO18" s="37">
        <f t="shared" si="94"/>
        <v>0</v>
      </c>
      <c r="FP18" s="37">
        <f t="shared" si="95"/>
        <v>0</v>
      </c>
      <c r="FQ18" s="37"/>
      <c r="FR18" s="37">
        <v>2000000</v>
      </c>
      <c r="FS18" s="37">
        <f t="shared" si="96"/>
        <v>-16589713</v>
      </c>
      <c r="FT18" s="37">
        <f t="shared" si="97"/>
        <v>-16589713</v>
      </c>
      <c r="FU18" s="37">
        <f t="shared" si="98"/>
        <v>-16589713</v>
      </c>
      <c r="FV18" s="100" t="s">
        <v>327</v>
      </c>
      <c r="FW18" s="37">
        <v>2000000</v>
      </c>
      <c r="FX18" s="37">
        <f t="shared" si="99"/>
        <v>-16589713</v>
      </c>
      <c r="FY18" s="37">
        <f t="shared" si="100"/>
        <v>-16589713</v>
      </c>
      <c r="FZ18" s="37">
        <f t="shared" si="101"/>
        <v>-16589713</v>
      </c>
      <c r="GA18" s="37">
        <f t="shared" si="102"/>
        <v>0</v>
      </c>
      <c r="GB18" s="101" t="s">
        <v>327</v>
      </c>
      <c r="GC18" s="37">
        <v>0</v>
      </c>
      <c r="GD18" s="26"/>
      <c r="GE18" s="37">
        <f t="shared" si="103"/>
        <v>0</v>
      </c>
      <c r="GF18" s="38"/>
      <c r="GG18" s="37">
        <f t="shared" si="104"/>
        <v>0</v>
      </c>
      <c r="GH18" s="26">
        <f t="shared" si="9"/>
        <v>-18589713</v>
      </c>
      <c r="GI18" s="37">
        <f t="shared" si="10"/>
        <v>-18589713</v>
      </c>
      <c r="GJ18" s="37">
        <f t="shared" si="11"/>
        <v>-18589713</v>
      </c>
      <c r="GK18" s="37">
        <f t="shared" si="12"/>
        <v>-2000000</v>
      </c>
      <c r="GL18" s="37">
        <f t="shared" si="13"/>
        <v>0</v>
      </c>
      <c r="GM18" s="101"/>
      <c r="GN18" s="101"/>
      <c r="GO18" s="113">
        <f t="shared" si="105"/>
        <v>0</v>
      </c>
      <c r="GP18" s="113"/>
      <c r="GQ18" s="113">
        <f t="shared" si="106"/>
        <v>0</v>
      </c>
      <c r="GR18" s="113"/>
      <c r="GS18" s="128">
        <v>0</v>
      </c>
      <c r="GT18" s="128">
        <v>0</v>
      </c>
      <c r="GU18" s="123">
        <f t="shared" si="140"/>
        <v>0</v>
      </c>
      <c r="GV18" s="101"/>
      <c r="GW18" s="99">
        <v>0</v>
      </c>
      <c r="GX18" s="128">
        <f t="shared" si="108"/>
        <v>0</v>
      </c>
      <c r="GY18" s="128">
        <f t="shared" si="109"/>
        <v>0</v>
      </c>
      <c r="GZ18" s="101"/>
      <c r="HA18" s="99">
        <v>0</v>
      </c>
      <c r="HB18" s="128">
        <f t="shared" si="110"/>
        <v>0</v>
      </c>
      <c r="HC18" s="128">
        <f t="shared" si="111"/>
        <v>0</v>
      </c>
      <c r="HD18" s="128">
        <f t="shared" si="112"/>
        <v>0</v>
      </c>
      <c r="HE18" s="132"/>
      <c r="HF18" s="99"/>
      <c r="HG18" s="128">
        <f t="shared" si="126"/>
        <v>0</v>
      </c>
      <c r="HH18" s="128">
        <f t="shared" si="113"/>
        <v>0</v>
      </c>
      <c r="HI18" s="128">
        <f t="shared" si="114"/>
        <v>0</v>
      </c>
      <c r="HJ18" s="132"/>
      <c r="HK18" s="99"/>
      <c r="HL18" s="128">
        <f t="shared" si="115"/>
        <v>0</v>
      </c>
      <c r="HM18" s="128">
        <f t="shared" si="116"/>
        <v>0</v>
      </c>
      <c r="HN18" s="128">
        <f t="shared" si="117"/>
        <v>0</v>
      </c>
      <c r="HO18" s="128">
        <f t="shared" si="118"/>
        <v>0</v>
      </c>
      <c r="HP18" s="132"/>
      <c r="HQ18" s="99"/>
      <c r="HR18" s="128">
        <f t="shared" si="14"/>
        <v>0</v>
      </c>
      <c r="HS18" s="128">
        <f t="shared" si="15"/>
        <v>0</v>
      </c>
      <c r="HT18" s="128">
        <f t="shared" si="16"/>
        <v>0</v>
      </c>
      <c r="HU18" s="128">
        <f t="shared" si="17"/>
        <v>0</v>
      </c>
      <c r="HV18" s="132"/>
      <c r="HW18" s="99"/>
      <c r="HX18" s="128">
        <f t="shared" si="18"/>
        <v>0</v>
      </c>
      <c r="HY18" s="128">
        <f t="shared" si="19"/>
        <v>0</v>
      </c>
      <c r="HZ18" s="128">
        <f t="shared" si="119"/>
        <v>0</v>
      </c>
      <c r="IA18" s="132"/>
      <c r="IB18" s="99"/>
      <c r="IC18" s="132"/>
      <c r="ID18" s="128">
        <f t="shared" si="20"/>
        <v>0</v>
      </c>
      <c r="IE18" s="164">
        <f t="shared" si="21"/>
        <v>0</v>
      </c>
      <c r="IF18" s="185">
        <v>0</v>
      </c>
      <c r="IG18" s="40">
        <f t="shared" si="120"/>
        <v>0</v>
      </c>
      <c r="IH18" s="132"/>
    </row>
    <row r="19" spans="1:244" ht="12.75" hidden="1" customHeight="1" x14ac:dyDescent="0.2">
      <c r="A19" s="17" t="s">
        <v>17</v>
      </c>
      <c r="B19" s="18"/>
      <c r="C19" s="52" t="s">
        <v>101</v>
      </c>
      <c r="D19" s="20">
        <v>2900000</v>
      </c>
      <c r="E19" s="21">
        <v>2900000</v>
      </c>
      <c r="F19" s="21">
        <v>2235705</v>
      </c>
      <c r="G19" s="21">
        <v>0</v>
      </c>
      <c r="H19" s="21"/>
      <c r="I19" s="21">
        <f t="shared" si="0"/>
        <v>0</v>
      </c>
      <c r="J19" s="28"/>
      <c r="K19" s="22"/>
      <c r="L19" s="22">
        <f t="shared" si="1"/>
        <v>0</v>
      </c>
      <c r="M19" s="23">
        <f t="shared" si="22"/>
        <v>0</v>
      </c>
      <c r="N19" s="23">
        <v>0</v>
      </c>
      <c r="O19" s="23">
        <v>0</v>
      </c>
      <c r="P19" s="23">
        <v>750000</v>
      </c>
      <c r="Q19" s="23">
        <v>0</v>
      </c>
      <c r="R19" s="23">
        <v>750000</v>
      </c>
      <c r="S19" s="23">
        <v>0.46666999999999997</v>
      </c>
      <c r="T19" s="23">
        <f t="shared" si="121"/>
        <v>-350002.5</v>
      </c>
      <c r="U19" s="23">
        <f t="shared" si="122"/>
        <v>399997.5</v>
      </c>
      <c r="V19" s="23">
        <f t="shared" si="2"/>
        <v>399997.5</v>
      </c>
      <c r="W19" s="24">
        <v>400000</v>
      </c>
      <c r="X19" s="24"/>
      <c r="Y19" s="24">
        <f t="shared" si="23"/>
        <v>400000</v>
      </c>
      <c r="Z19" s="25">
        <v>0</v>
      </c>
      <c r="AA19" s="25">
        <f t="shared" si="24"/>
        <v>-400000</v>
      </c>
      <c r="AB19" s="25">
        <v>400000</v>
      </c>
      <c r="AC19" s="25">
        <v>400000</v>
      </c>
      <c r="AD19" s="26">
        <v>392000</v>
      </c>
      <c r="AE19" s="25"/>
      <c r="AF19" s="25"/>
      <c r="AG19" s="25">
        <f>AC19-Z19</f>
        <v>400000</v>
      </c>
      <c r="AH19" s="26">
        <v>392000</v>
      </c>
      <c r="AI19" s="26">
        <v>400000</v>
      </c>
      <c r="AJ19" s="25">
        <f t="shared" si="141"/>
        <v>-8000</v>
      </c>
      <c r="AK19" s="25">
        <f t="shared" si="25"/>
        <v>392000</v>
      </c>
      <c r="AL19" s="25">
        <f t="shared" si="26"/>
        <v>-8000</v>
      </c>
      <c r="AM19" s="26">
        <f t="shared" si="27"/>
        <v>-8000</v>
      </c>
      <c r="AN19" s="26">
        <f t="shared" si="28"/>
        <v>392000</v>
      </c>
      <c r="AO19" s="26">
        <f t="shared" si="4"/>
        <v>-8000</v>
      </c>
      <c r="AP19" s="25">
        <v>400000</v>
      </c>
      <c r="AQ19" s="25">
        <f t="shared" si="5"/>
        <v>0</v>
      </c>
      <c r="AR19" s="25">
        <f t="shared" si="29"/>
        <v>400000</v>
      </c>
      <c r="AS19" s="25">
        <f t="shared" si="30"/>
        <v>0</v>
      </c>
      <c r="AT19" s="25"/>
      <c r="AU19" s="25">
        <f t="shared" si="31"/>
        <v>400000</v>
      </c>
      <c r="AV19" s="25">
        <v>400000</v>
      </c>
      <c r="AW19" s="25">
        <f t="shared" si="32"/>
        <v>0</v>
      </c>
      <c r="AX19" s="25">
        <v>400000</v>
      </c>
      <c r="AY19" s="26">
        <f t="shared" si="123"/>
        <v>0</v>
      </c>
      <c r="AZ19" s="26">
        <f t="shared" si="124"/>
        <v>0</v>
      </c>
      <c r="BA19" s="25">
        <v>400000</v>
      </c>
      <c r="BB19" s="25">
        <f t="shared" si="33"/>
        <v>0</v>
      </c>
      <c r="BC19" s="25">
        <f t="shared" si="34"/>
        <v>0</v>
      </c>
      <c r="BD19" s="25">
        <f t="shared" si="35"/>
        <v>0</v>
      </c>
      <c r="BE19" s="25">
        <v>400000</v>
      </c>
      <c r="BF19" s="25">
        <v>400000</v>
      </c>
      <c r="BG19" s="25">
        <v>400000</v>
      </c>
      <c r="BH19" s="25">
        <f t="shared" si="36"/>
        <v>0</v>
      </c>
      <c r="BI19" s="25">
        <f t="shared" si="37"/>
        <v>0</v>
      </c>
      <c r="BJ19" s="25">
        <f t="shared" si="38"/>
        <v>0</v>
      </c>
      <c r="BK19" s="8">
        <f t="shared" si="39"/>
        <v>0</v>
      </c>
      <c r="BL19" s="25"/>
      <c r="BM19" s="25">
        <f t="shared" si="40"/>
        <v>400000</v>
      </c>
      <c r="BN19" s="37">
        <v>400000</v>
      </c>
      <c r="BO19" s="26">
        <f t="shared" si="41"/>
        <v>0</v>
      </c>
      <c r="BP19" s="37">
        <v>100000</v>
      </c>
      <c r="BQ19" s="8">
        <f t="shared" si="42"/>
        <v>-300000</v>
      </c>
      <c r="BR19" s="8">
        <f t="shared" si="43"/>
        <v>-300000</v>
      </c>
      <c r="BS19" s="37">
        <f t="shared" si="142"/>
        <v>100000</v>
      </c>
      <c r="BT19" s="40">
        <f t="shared" si="44"/>
        <v>-300000</v>
      </c>
      <c r="BU19" s="40">
        <f t="shared" si="45"/>
        <v>-300000</v>
      </c>
      <c r="BV19" s="40">
        <f t="shared" si="46"/>
        <v>0</v>
      </c>
      <c r="BW19" s="38">
        <v>400000</v>
      </c>
      <c r="BX19" s="8">
        <f t="shared" si="47"/>
        <v>0</v>
      </c>
      <c r="BY19" s="8">
        <f t="shared" si="48"/>
        <v>0</v>
      </c>
      <c r="BZ19" s="8">
        <f t="shared" si="49"/>
        <v>300000</v>
      </c>
      <c r="CA19" s="38">
        <v>400000</v>
      </c>
      <c r="CB19" s="8">
        <f t="shared" si="50"/>
        <v>0</v>
      </c>
      <c r="CC19" s="8">
        <f t="shared" si="51"/>
        <v>0</v>
      </c>
      <c r="CD19" s="8">
        <f t="shared" si="6"/>
        <v>300000</v>
      </c>
      <c r="CE19" s="8">
        <f t="shared" si="52"/>
        <v>0</v>
      </c>
      <c r="CF19" s="38">
        <v>350000</v>
      </c>
      <c r="CG19" s="8">
        <f t="shared" si="53"/>
        <v>-50000</v>
      </c>
      <c r="CH19" s="8">
        <f t="shared" si="54"/>
        <v>-50000</v>
      </c>
      <c r="CI19" s="8">
        <f t="shared" si="55"/>
        <v>250000</v>
      </c>
      <c r="CJ19" s="8">
        <f t="shared" si="56"/>
        <v>-50000</v>
      </c>
      <c r="CK19" s="38">
        <v>350000</v>
      </c>
      <c r="CL19" s="8">
        <f t="shared" si="7"/>
        <v>-50000</v>
      </c>
      <c r="CM19" s="8">
        <f t="shared" si="57"/>
        <v>-50000</v>
      </c>
      <c r="CN19" s="8">
        <f t="shared" si="58"/>
        <v>0</v>
      </c>
      <c r="CO19" s="38">
        <v>0</v>
      </c>
      <c r="CP19" s="38">
        <f t="shared" si="59"/>
        <v>-400000</v>
      </c>
      <c r="CQ19" s="8">
        <f t="shared" si="60"/>
        <v>-350000</v>
      </c>
      <c r="CR19" s="38">
        <v>0</v>
      </c>
      <c r="CS19" s="27"/>
      <c r="CT19" s="38">
        <f t="shared" si="61"/>
        <v>0</v>
      </c>
      <c r="CU19" s="8">
        <f t="shared" si="62"/>
        <v>-350000</v>
      </c>
      <c r="CV19" s="38">
        <f t="shared" si="63"/>
        <v>0</v>
      </c>
      <c r="CW19" s="38">
        <f t="shared" si="64"/>
        <v>0</v>
      </c>
      <c r="CX19" s="38">
        <v>350000</v>
      </c>
      <c r="CY19" s="8">
        <f t="shared" si="65"/>
        <v>0</v>
      </c>
      <c r="CZ19" s="38">
        <f t="shared" si="66"/>
        <v>350000</v>
      </c>
      <c r="DA19" s="38">
        <f t="shared" si="67"/>
        <v>350000</v>
      </c>
      <c r="DB19" s="38">
        <v>350000</v>
      </c>
      <c r="DC19" s="8">
        <f t="shared" si="68"/>
        <v>0</v>
      </c>
      <c r="DD19" s="38">
        <f t="shared" si="69"/>
        <v>350000</v>
      </c>
      <c r="DE19" s="38">
        <f t="shared" si="70"/>
        <v>350000</v>
      </c>
      <c r="DF19" s="38">
        <f t="shared" si="71"/>
        <v>0</v>
      </c>
      <c r="DG19" s="38">
        <v>300000</v>
      </c>
      <c r="DH19" s="40">
        <f t="shared" si="72"/>
        <v>-50000</v>
      </c>
      <c r="DI19" s="38">
        <f t="shared" si="73"/>
        <v>300000</v>
      </c>
      <c r="DJ19" s="38">
        <f t="shared" si="74"/>
        <v>300000</v>
      </c>
      <c r="DK19" s="38">
        <f t="shared" si="75"/>
        <v>-50000</v>
      </c>
      <c r="DL19" s="38"/>
      <c r="DM19" s="38">
        <f t="shared" si="76"/>
        <v>300000</v>
      </c>
      <c r="DN19" s="38">
        <v>300000</v>
      </c>
      <c r="DO19" s="38">
        <f t="shared" si="77"/>
        <v>-50000</v>
      </c>
      <c r="DP19" s="38"/>
      <c r="DQ19" s="38">
        <v>-4500</v>
      </c>
      <c r="DR19" s="38">
        <f t="shared" si="78"/>
        <v>295500</v>
      </c>
      <c r="DS19" s="38">
        <f t="shared" si="79"/>
        <v>-54500</v>
      </c>
      <c r="DT19" s="38"/>
      <c r="DU19" s="38">
        <f t="shared" si="80"/>
        <v>295500</v>
      </c>
      <c r="DV19" s="38">
        <f t="shared" si="81"/>
        <v>-54500</v>
      </c>
      <c r="DW19" s="38">
        <v>295500</v>
      </c>
      <c r="DX19" s="38">
        <v>0</v>
      </c>
      <c r="DY19" s="8">
        <f t="shared" si="127"/>
        <v>-295500</v>
      </c>
      <c r="DZ19" s="40">
        <v>0</v>
      </c>
      <c r="EA19" s="8">
        <f t="shared" si="128"/>
        <v>-295500</v>
      </c>
      <c r="EB19" s="8">
        <f t="shared" si="129"/>
        <v>0</v>
      </c>
      <c r="EC19" s="58" t="s">
        <v>256</v>
      </c>
      <c r="ED19" s="37">
        <v>0</v>
      </c>
      <c r="EE19" s="25">
        <f t="shared" si="130"/>
        <v>-295500</v>
      </c>
      <c r="EF19" s="25">
        <f t="shared" si="131"/>
        <v>0</v>
      </c>
      <c r="EG19" s="25">
        <f t="shared" si="82"/>
        <v>0</v>
      </c>
      <c r="EH19" s="37">
        <v>0</v>
      </c>
      <c r="EI19" s="25">
        <f t="shared" si="132"/>
        <v>-295500</v>
      </c>
      <c r="EJ19" s="25">
        <f t="shared" si="133"/>
        <v>0</v>
      </c>
      <c r="EK19" s="25">
        <f t="shared" si="83"/>
        <v>0</v>
      </c>
      <c r="EL19" s="37">
        <v>0</v>
      </c>
      <c r="EM19" s="25">
        <f t="shared" si="134"/>
        <v>-295500</v>
      </c>
      <c r="EN19" s="25">
        <f t="shared" si="135"/>
        <v>0</v>
      </c>
      <c r="EO19" s="25">
        <f t="shared" si="125"/>
        <v>0</v>
      </c>
      <c r="EP19" s="25">
        <f t="shared" si="84"/>
        <v>0</v>
      </c>
      <c r="EQ19" s="37">
        <v>0</v>
      </c>
      <c r="ER19" s="25">
        <f t="shared" si="136"/>
        <v>-295500</v>
      </c>
      <c r="ES19" s="25">
        <f t="shared" si="137"/>
        <v>0</v>
      </c>
      <c r="ET19" s="25">
        <f t="shared" si="85"/>
        <v>0</v>
      </c>
      <c r="EU19" s="25">
        <f t="shared" si="86"/>
        <v>0</v>
      </c>
      <c r="EV19" s="37">
        <v>0</v>
      </c>
      <c r="EW19" s="25">
        <f t="shared" si="138"/>
        <v>-295500</v>
      </c>
      <c r="EX19" s="25">
        <f t="shared" si="87"/>
        <v>0</v>
      </c>
      <c r="EY19" s="25">
        <f t="shared" si="8"/>
        <v>0</v>
      </c>
      <c r="EZ19" s="37">
        <v>0</v>
      </c>
      <c r="FA19" s="25">
        <f t="shared" si="139"/>
        <v>-295500</v>
      </c>
      <c r="FB19" s="25"/>
      <c r="FC19" s="25">
        <f t="shared" si="88"/>
        <v>0</v>
      </c>
      <c r="FD19" s="25"/>
      <c r="FE19" s="25"/>
      <c r="FF19" s="25">
        <f t="shared" si="89"/>
        <v>0</v>
      </c>
      <c r="FG19" s="37">
        <v>0</v>
      </c>
      <c r="FH19" s="25">
        <f t="shared" si="90"/>
        <v>0</v>
      </c>
      <c r="FI19" s="25"/>
      <c r="FJ19" s="37">
        <v>0</v>
      </c>
      <c r="FK19" s="37">
        <f t="shared" si="91"/>
        <v>0</v>
      </c>
      <c r="FL19" s="37">
        <f t="shared" si="92"/>
        <v>0</v>
      </c>
      <c r="FM19" s="37">
        <v>0</v>
      </c>
      <c r="FN19" s="37">
        <f t="shared" si="93"/>
        <v>0</v>
      </c>
      <c r="FO19" s="37">
        <f t="shared" si="94"/>
        <v>0</v>
      </c>
      <c r="FP19" s="37">
        <f t="shared" si="95"/>
        <v>0</v>
      </c>
      <c r="FQ19" s="37"/>
      <c r="FR19" s="37">
        <v>0</v>
      </c>
      <c r="FS19" s="37">
        <f t="shared" si="96"/>
        <v>0</v>
      </c>
      <c r="FT19" s="37">
        <f t="shared" si="97"/>
        <v>0</v>
      </c>
      <c r="FU19" s="37">
        <f t="shared" si="98"/>
        <v>0</v>
      </c>
      <c r="FV19" s="100"/>
      <c r="FW19" s="37">
        <v>0</v>
      </c>
      <c r="FX19" s="37">
        <f t="shared" si="99"/>
        <v>0</v>
      </c>
      <c r="FY19" s="37">
        <f t="shared" si="100"/>
        <v>0</v>
      </c>
      <c r="FZ19" s="37">
        <f t="shared" si="101"/>
        <v>0</v>
      </c>
      <c r="GA19" s="37">
        <f t="shared" si="102"/>
        <v>0</v>
      </c>
      <c r="GB19" s="107"/>
      <c r="GC19" s="37"/>
      <c r="GD19" s="26"/>
      <c r="GE19" s="37">
        <f t="shared" si="103"/>
        <v>0</v>
      </c>
      <c r="GF19" s="38"/>
      <c r="GG19" s="37">
        <f t="shared" si="104"/>
        <v>0</v>
      </c>
      <c r="GH19" s="26">
        <f t="shared" si="9"/>
        <v>0</v>
      </c>
      <c r="GI19" s="37">
        <f t="shared" si="10"/>
        <v>0</v>
      </c>
      <c r="GJ19" s="37">
        <f t="shared" si="11"/>
        <v>0</v>
      </c>
      <c r="GK19" s="37">
        <f t="shared" si="12"/>
        <v>0</v>
      </c>
      <c r="GL19" s="37">
        <f t="shared" si="13"/>
        <v>0</v>
      </c>
      <c r="GM19" s="107"/>
      <c r="GN19" s="115"/>
      <c r="GO19" s="113">
        <f t="shared" si="105"/>
        <v>0</v>
      </c>
      <c r="GP19" s="113"/>
      <c r="GQ19" s="113">
        <f t="shared" si="106"/>
        <v>0</v>
      </c>
      <c r="GR19" s="113"/>
      <c r="GS19" s="128">
        <v>0</v>
      </c>
      <c r="GT19" s="128">
        <v>0</v>
      </c>
      <c r="GU19" s="123"/>
      <c r="GV19" s="115"/>
      <c r="GW19" s="99"/>
      <c r="GX19" s="128">
        <f t="shared" si="108"/>
        <v>0</v>
      </c>
      <c r="GY19" s="128">
        <f t="shared" si="109"/>
        <v>0</v>
      </c>
      <c r="GZ19" s="115"/>
      <c r="HA19" s="99"/>
      <c r="HB19" s="128">
        <f t="shared" si="110"/>
        <v>0</v>
      </c>
      <c r="HC19" s="128">
        <f t="shared" si="111"/>
        <v>0</v>
      </c>
      <c r="HD19" s="128">
        <f t="shared" si="112"/>
        <v>0</v>
      </c>
      <c r="HE19" s="115"/>
      <c r="HF19" s="99"/>
      <c r="HG19" s="128">
        <f t="shared" si="126"/>
        <v>0</v>
      </c>
      <c r="HH19" s="128">
        <f t="shared" si="113"/>
        <v>0</v>
      </c>
      <c r="HI19" s="128">
        <f t="shared" si="114"/>
        <v>0</v>
      </c>
      <c r="HJ19" s="115"/>
      <c r="HK19" s="99"/>
      <c r="HL19" s="128">
        <f t="shared" si="115"/>
        <v>0</v>
      </c>
      <c r="HM19" s="128">
        <f t="shared" si="116"/>
        <v>0</v>
      </c>
      <c r="HN19" s="128">
        <f t="shared" si="117"/>
        <v>0</v>
      </c>
      <c r="HO19" s="128">
        <f t="shared" si="118"/>
        <v>0</v>
      </c>
      <c r="HP19" s="115"/>
      <c r="HQ19" s="99"/>
      <c r="HR19" s="128">
        <f t="shared" si="14"/>
        <v>0</v>
      </c>
      <c r="HS19" s="128">
        <f t="shared" si="15"/>
        <v>0</v>
      </c>
      <c r="HT19" s="128">
        <f t="shared" si="16"/>
        <v>0</v>
      </c>
      <c r="HU19" s="128">
        <f t="shared" si="17"/>
        <v>0</v>
      </c>
      <c r="HV19" s="115"/>
      <c r="HW19" s="99"/>
      <c r="HX19" s="128">
        <f t="shared" si="18"/>
        <v>0</v>
      </c>
      <c r="HY19" s="128">
        <f t="shared" si="19"/>
        <v>0</v>
      </c>
      <c r="HZ19" s="128">
        <f t="shared" si="119"/>
        <v>0</v>
      </c>
      <c r="IA19" s="115"/>
      <c r="IB19" s="99"/>
      <c r="IC19" s="115"/>
      <c r="ID19" s="128">
        <f t="shared" si="20"/>
        <v>0</v>
      </c>
      <c r="IE19" s="164">
        <f t="shared" si="21"/>
        <v>0</v>
      </c>
      <c r="IF19" s="185">
        <v>0</v>
      </c>
      <c r="IG19" s="40">
        <f t="shared" si="120"/>
        <v>0</v>
      </c>
      <c r="IH19" s="115"/>
    </row>
    <row r="20" spans="1:244" ht="36.75" customHeight="1" x14ac:dyDescent="0.2">
      <c r="A20" s="17" t="s">
        <v>18</v>
      </c>
      <c r="B20" s="18"/>
      <c r="C20" s="51" t="s">
        <v>263</v>
      </c>
      <c r="D20" s="20">
        <v>30101348</v>
      </c>
      <c r="E20" s="21">
        <v>31176348</v>
      </c>
      <c r="F20" s="21">
        <v>29972208</v>
      </c>
      <c r="G20" s="21">
        <v>28085096</v>
      </c>
      <c r="H20" s="21"/>
      <c r="I20" s="21">
        <f t="shared" si="0"/>
        <v>28085096</v>
      </c>
      <c r="J20" s="22"/>
      <c r="K20" s="22"/>
      <c r="L20" s="22">
        <f t="shared" si="1"/>
        <v>0</v>
      </c>
      <c r="M20" s="23">
        <f t="shared" si="22"/>
        <v>28085096</v>
      </c>
      <c r="N20" s="23">
        <v>27957357</v>
      </c>
      <c r="O20" s="23">
        <v>27956636</v>
      </c>
      <c r="P20" s="23">
        <v>27956636</v>
      </c>
      <c r="Q20" s="23">
        <v>27957357</v>
      </c>
      <c r="R20" s="23">
        <v>27952108</v>
      </c>
      <c r="S20" s="23">
        <v>8.94E-3</v>
      </c>
      <c r="T20" s="23">
        <f t="shared" si="121"/>
        <v>-249891.84552</v>
      </c>
      <c r="U20" s="23">
        <f t="shared" si="122"/>
        <v>27702216.154479999</v>
      </c>
      <c r="V20" s="23">
        <f t="shared" si="2"/>
        <v>-382879.8455200009</v>
      </c>
      <c r="W20" s="24">
        <v>27702108</v>
      </c>
      <c r="X20" s="24"/>
      <c r="Y20" s="24">
        <f t="shared" si="23"/>
        <v>27702108</v>
      </c>
      <c r="Z20" s="25">
        <v>27702115</v>
      </c>
      <c r="AA20" s="25">
        <f t="shared" si="24"/>
        <v>7</v>
      </c>
      <c r="AB20" s="25">
        <v>27702108</v>
      </c>
      <c r="AC20" s="25">
        <v>27702108</v>
      </c>
      <c r="AD20" s="26">
        <v>27702108</v>
      </c>
      <c r="AE20" s="25"/>
      <c r="AF20" s="25"/>
      <c r="AG20" s="25">
        <f>AC20-Z20</f>
        <v>-7</v>
      </c>
      <c r="AH20" s="26">
        <v>27702108</v>
      </c>
      <c r="AI20" s="26">
        <v>27702108</v>
      </c>
      <c r="AJ20" s="25">
        <f t="shared" si="141"/>
        <v>0</v>
      </c>
      <c r="AK20" s="25">
        <f t="shared" si="25"/>
        <v>-7</v>
      </c>
      <c r="AL20" s="25">
        <f t="shared" si="26"/>
        <v>0</v>
      </c>
      <c r="AM20" s="26">
        <f t="shared" si="27"/>
        <v>0</v>
      </c>
      <c r="AN20" s="26">
        <f t="shared" si="28"/>
        <v>-7</v>
      </c>
      <c r="AO20" s="26">
        <f t="shared" si="4"/>
        <v>0</v>
      </c>
      <c r="AP20" s="25">
        <v>27702108</v>
      </c>
      <c r="AQ20" s="25">
        <f t="shared" si="5"/>
        <v>0</v>
      </c>
      <c r="AR20" s="25">
        <f t="shared" si="29"/>
        <v>-7</v>
      </c>
      <c r="AS20" s="25">
        <f t="shared" si="30"/>
        <v>0</v>
      </c>
      <c r="AT20" s="25">
        <v>3000000</v>
      </c>
      <c r="AU20" s="25">
        <f t="shared" si="31"/>
        <v>30702108</v>
      </c>
      <c r="AV20" s="25">
        <v>30707455</v>
      </c>
      <c r="AW20" s="25">
        <f t="shared" si="32"/>
        <v>5347</v>
      </c>
      <c r="AX20" s="25">
        <v>29173112</v>
      </c>
      <c r="AY20" s="26">
        <f t="shared" si="123"/>
        <v>-1528996</v>
      </c>
      <c r="AZ20" s="26">
        <f t="shared" si="124"/>
        <v>-1534343</v>
      </c>
      <c r="BA20" s="25">
        <v>29923112</v>
      </c>
      <c r="BB20" s="25">
        <f t="shared" si="33"/>
        <v>-778996</v>
      </c>
      <c r="BC20" s="25">
        <f t="shared" si="34"/>
        <v>-784343</v>
      </c>
      <c r="BD20" s="25">
        <f t="shared" si="35"/>
        <v>750000</v>
      </c>
      <c r="BE20" s="25">
        <v>30707455</v>
      </c>
      <c r="BF20" s="25">
        <v>30174160</v>
      </c>
      <c r="BG20" s="25">
        <v>30174160</v>
      </c>
      <c r="BH20" s="25">
        <f t="shared" si="36"/>
        <v>-527948</v>
      </c>
      <c r="BI20" s="25">
        <f t="shared" si="37"/>
        <v>-533295</v>
      </c>
      <c r="BJ20" s="25">
        <f t="shared" si="38"/>
        <v>251048</v>
      </c>
      <c r="BK20" s="8">
        <f t="shared" si="39"/>
        <v>-533295</v>
      </c>
      <c r="BL20" s="25"/>
      <c r="BM20" s="25">
        <f t="shared" si="40"/>
        <v>30174160</v>
      </c>
      <c r="BN20" s="37">
        <v>35178721</v>
      </c>
      <c r="BO20" s="26">
        <f t="shared" si="41"/>
        <v>5004561</v>
      </c>
      <c r="BP20" s="37">
        <v>29156340</v>
      </c>
      <c r="BQ20" s="8">
        <f t="shared" si="42"/>
        <v>-1017820</v>
      </c>
      <c r="BR20" s="8">
        <f t="shared" si="43"/>
        <v>-6022381</v>
      </c>
      <c r="BS20" s="37">
        <v>30174160</v>
      </c>
      <c r="BT20" s="40">
        <f t="shared" si="44"/>
        <v>0</v>
      </c>
      <c r="BU20" s="40">
        <f t="shared" si="45"/>
        <v>-5004561</v>
      </c>
      <c r="BV20" s="40">
        <f t="shared" si="46"/>
        <v>1017820</v>
      </c>
      <c r="BW20" s="38">
        <v>30024160</v>
      </c>
      <c r="BX20" s="8">
        <f t="shared" si="47"/>
        <v>-150000</v>
      </c>
      <c r="BY20" s="8">
        <f t="shared" si="48"/>
        <v>-5154561</v>
      </c>
      <c r="BZ20" s="8">
        <f t="shared" si="49"/>
        <v>-150000</v>
      </c>
      <c r="CA20" s="38">
        <f>30024160+150000</f>
        <v>30174160</v>
      </c>
      <c r="CB20" s="8">
        <f t="shared" si="50"/>
        <v>0</v>
      </c>
      <c r="CC20" s="8">
        <f t="shared" si="51"/>
        <v>-5004561</v>
      </c>
      <c r="CD20" s="8">
        <f t="shared" si="6"/>
        <v>0</v>
      </c>
      <c r="CE20" s="8">
        <f t="shared" si="52"/>
        <v>150000</v>
      </c>
      <c r="CF20" s="38">
        <v>30174160</v>
      </c>
      <c r="CG20" s="8">
        <f t="shared" si="53"/>
        <v>0</v>
      </c>
      <c r="CH20" s="8">
        <f t="shared" si="54"/>
        <v>-5004561</v>
      </c>
      <c r="CI20" s="8">
        <f t="shared" si="55"/>
        <v>0</v>
      </c>
      <c r="CJ20" s="8">
        <f t="shared" si="56"/>
        <v>0</v>
      </c>
      <c r="CK20" s="38">
        <v>30174160</v>
      </c>
      <c r="CL20" s="8">
        <f t="shared" si="7"/>
        <v>0</v>
      </c>
      <c r="CM20" s="8">
        <f t="shared" si="57"/>
        <v>-5004561</v>
      </c>
      <c r="CN20" s="8">
        <f t="shared" si="58"/>
        <v>0</v>
      </c>
      <c r="CO20" s="38">
        <v>30024160</v>
      </c>
      <c r="CP20" s="38">
        <f t="shared" si="59"/>
        <v>-5154561</v>
      </c>
      <c r="CQ20" s="8">
        <f t="shared" si="60"/>
        <v>-150000</v>
      </c>
      <c r="CR20" s="38">
        <v>29156340</v>
      </c>
      <c r="CS20" s="27">
        <v>1117820</v>
      </c>
      <c r="CT20" s="38">
        <f t="shared" si="61"/>
        <v>30274160</v>
      </c>
      <c r="CU20" s="8">
        <f t="shared" si="62"/>
        <v>100000</v>
      </c>
      <c r="CV20" s="38">
        <f t="shared" si="63"/>
        <v>250000</v>
      </c>
      <c r="CW20" s="38">
        <f t="shared" si="64"/>
        <v>1117820</v>
      </c>
      <c r="CX20" s="38">
        <v>29156340</v>
      </c>
      <c r="CY20" s="8">
        <f t="shared" si="65"/>
        <v>-1017820</v>
      </c>
      <c r="CZ20" s="38">
        <f t="shared" si="66"/>
        <v>-867820</v>
      </c>
      <c r="DA20" s="38">
        <f t="shared" si="67"/>
        <v>-1117820</v>
      </c>
      <c r="DB20" s="38">
        <f>29156340+250000</f>
        <v>29406340</v>
      </c>
      <c r="DC20" s="8">
        <f t="shared" si="68"/>
        <v>-767820</v>
      </c>
      <c r="DD20" s="38">
        <f t="shared" si="69"/>
        <v>-617820</v>
      </c>
      <c r="DE20" s="38">
        <f t="shared" si="70"/>
        <v>-867820</v>
      </c>
      <c r="DF20" s="38">
        <f t="shared" si="71"/>
        <v>250000</v>
      </c>
      <c r="DG20" s="38">
        <v>30374160</v>
      </c>
      <c r="DH20" s="40">
        <f t="shared" si="72"/>
        <v>200000</v>
      </c>
      <c r="DI20" s="38">
        <f t="shared" si="73"/>
        <v>350000</v>
      </c>
      <c r="DJ20" s="38">
        <f t="shared" si="74"/>
        <v>100000</v>
      </c>
      <c r="DK20" s="38">
        <f t="shared" si="75"/>
        <v>967820</v>
      </c>
      <c r="DL20" s="38"/>
      <c r="DM20" s="38">
        <f t="shared" si="76"/>
        <v>30374160</v>
      </c>
      <c r="DN20" s="38">
        <v>30374160</v>
      </c>
      <c r="DO20" s="38">
        <f t="shared" si="77"/>
        <v>200000</v>
      </c>
      <c r="DP20" s="38"/>
      <c r="DQ20" s="38">
        <v>-705513</v>
      </c>
      <c r="DR20" s="38">
        <f t="shared" si="78"/>
        <v>29668647</v>
      </c>
      <c r="DS20" s="38">
        <f t="shared" si="79"/>
        <v>-505513</v>
      </c>
      <c r="DT20" s="38"/>
      <c r="DU20" s="38">
        <f t="shared" si="80"/>
        <v>29668647</v>
      </c>
      <c r="DV20" s="38">
        <f t="shared" si="81"/>
        <v>-505513</v>
      </c>
      <c r="DW20" s="38">
        <v>29668647</v>
      </c>
      <c r="DX20" s="38">
        <v>30036166</v>
      </c>
      <c r="DY20" s="8">
        <f t="shared" si="127"/>
        <v>367519</v>
      </c>
      <c r="DZ20" s="40">
        <v>29156340</v>
      </c>
      <c r="EA20" s="8">
        <f t="shared" si="128"/>
        <v>-512307</v>
      </c>
      <c r="EB20" s="8">
        <f t="shared" si="129"/>
        <v>-879826</v>
      </c>
      <c r="EC20" s="60"/>
      <c r="ED20" s="37">
        <v>30431340</v>
      </c>
      <c r="EE20" s="25">
        <f t="shared" si="130"/>
        <v>762693</v>
      </c>
      <c r="EF20" s="25">
        <f t="shared" si="131"/>
        <v>395174</v>
      </c>
      <c r="EG20" s="25">
        <f t="shared" si="82"/>
        <v>1275000</v>
      </c>
      <c r="EH20" s="37">
        <v>30374160</v>
      </c>
      <c r="EI20" s="25">
        <f t="shared" si="132"/>
        <v>705513</v>
      </c>
      <c r="EJ20" s="25">
        <f t="shared" si="133"/>
        <v>337994</v>
      </c>
      <c r="EK20" s="25">
        <f t="shared" si="83"/>
        <v>-57180</v>
      </c>
      <c r="EL20" s="37">
        <f>30374160+100000+500000+250000</f>
        <v>31224160</v>
      </c>
      <c r="EM20" s="25">
        <f t="shared" si="134"/>
        <v>1555513</v>
      </c>
      <c r="EN20" s="25">
        <f t="shared" si="135"/>
        <v>1187994</v>
      </c>
      <c r="EO20" s="25">
        <f t="shared" si="125"/>
        <v>792820</v>
      </c>
      <c r="EP20" s="25">
        <f t="shared" si="84"/>
        <v>850000</v>
      </c>
      <c r="EQ20" s="37">
        <v>31249160</v>
      </c>
      <c r="ER20" s="25">
        <f t="shared" si="136"/>
        <v>1580513</v>
      </c>
      <c r="ES20" s="25">
        <f t="shared" si="137"/>
        <v>1212994</v>
      </c>
      <c r="ET20" s="25">
        <f t="shared" si="85"/>
        <v>817820</v>
      </c>
      <c r="EU20" s="25">
        <f t="shared" si="86"/>
        <v>25000</v>
      </c>
      <c r="EV20" s="37">
        <v>31249160</v>
      </c>
      <c r="EW20" s="25">
        <f t="shared" si="138"/>
        <v>1580513</v>
      </c>
      <c r="EX20" s="25">
        <f t="shared" si="87"/>
        <v>0</v>
      </c>
      <c r="EY20" s="25">
        <f t="shared" si="8"/>
        <v>0</v>
      </c>
      <c r="EZ20" s="37">
        <v>31249160</v>
      </c>
      <c r="FA20" s="25">
        <f t="shared" si="139"/>
        <v>1580513</v>
      </c>
      <c r="FB20" s="25"/>
      <c r="FC20" s="25">
        <f t="shared" si="88"/>
        <v>31249160</v>
      </c>
      <c r="FD20" s="25">
        <f>31160279-31249160</f>
        <v>-88881</v>
      </c>
      <c r="FE20" s="25">
        <v>-500000</v>
      </c>
      <c r="FF20" s="25">
        <v>30660279</v>
      </c>
      <c r="FG20" s="37">
        <v>30274866</v>
      </c>
      <c r="FH20" s="25">
        <f t="shared" si="90"/>
        <v>-385413</v>
      </c>
      <c r="FI20" s="37" t="s">
        <v>294</v>
      </c>
      <c r="FJ20" s="37">
        <v>29093517</v>
      </c>
      <c r="FK20" s="37">
        <f t="shared" si="91"/>
        <v>-1566762</v>
      </c>
      <c r="FL20" s="37">
        <f t="shared" si="92"/>
        <v>-1181349</v>
      </c>
      <c r="FM20" s="37">
        <v>29318517</v>
      </c>
      <c r="FN20" s="37">
        <f t="shared" si="93"/>
        <v>-1341762</v>
      </c>
      <c r="FO20" s="37">
        <f t="shared" si="94"/>
        <v>-956349</v>
      </c>
      <c r="FP20" s="37">
        <f t="shared" si="95"/>
        <v>225000</v>
      </c>
      <c r="FQ20" s="37" t="s">
        <v>309</v>
      </c>
      <c r="FR20" s="37">
        <v>30524866</v>
      </c>
      <c r="FS20" s="37">
        <f t="shared" si="96"/>
        <v>-135413</v>
      </c>
      <c r="FT20" s="37">
        <f t="shared" si="97"/>
        <v>250000</v>
      </c>
      <c r="FU20" s="37">
        <f t="shared" si="98"/>
        <v>1206349</v>
      </c>
      <c r="FV20" s="101" t="s">
        <v>332</v>
      </c>
      <c r="FW20" s="37">
        <f>30524866+500000+50000</f>
        <v>31074866</v>
      </c>
      <c r="FX20" s="37">
        <f t="shared" si="99"/>
        <v>414587</v>
      </c>
      <c r="FY20" s="37">
        <f t="shared" si="100"/>
        <v>800000</v>
      </c>
      <c r="FZ20" s="37">
        <f t="shared" si="101"/>
        <v>1756349</v>
      </c>
      <c r="GA20" s="37">
        <f t="shared" si="102"/>
        <v>550000</v>
      </c>
      <c r="GB20" s="107" t="s">
        <v>341</v>
      </c>
      <c r="GC20" s="37">
        <v>29468517</v>
      </c>
      <c r="GD20" s="26">
        <v>-375000</v>
      </c>
      <c r="GE20" s="37">
        <f t="shared" si="103"/>
        <v>29093517</v>
      </c>
      <c r="GF20" s="38">
        <v>375000</v>
      </c>
      <c r="GG20" s="37">
        <f t="shared" si="104"/>
        <v>29468517</v>
      </c>
      <c r="GH20" s="26">
        <f t="shared" si="9"/>
        <v>-1191762</v>
      </c>
      <c r="GI20" s="37">
        <f t="shared" si="10"/>
        <v>-806349</v>
      </c>
      <c r="GJ20" s="37">
        <f t="shared" si="11"/>
        <v>150000</v>
      </c>
      <c r="GK20" s="37">
        <f t="shared" si="12"/>
        <v>-1606349</v>
      </c>
      <c r="GL20" s="37">
        <f t="shared" si="13"/>
        <v>0</v>
      </c>
      <c r="GM20" s="107" t="s">
        <v>353</v>
      </c>
      <c r="GN20" s="115"/>
      <c r="GO20" s="113">
        <f t="shared" si="105"/>
        <v>29468517</v>
      </c>
      <c r="GP20" s="113">
        <v>-20984</v>
      </c>
      <c r="GQ20" s="113">
        <f t="shared" si="106"/>
        <v>29447533</v>
      </c>
      <c r="GR20" s="113">
        <v>-644444</v>
      </c>
      <c r="GS20" s="128">
        <v>28803089</v>
      </c>
      <c r="GT20" s="128">
        <v>28482377</v>
      </c>
      <c r="GU20" s="123">
        <f t="shared" ref="GU20:GU24" si="143">GT20-GS20</f>
        <v>-320712</v>
      </c>
      <c r="GV20" s="115" t="s">
        <v>380</v>
      </c>
      <c r="GW20" s="99">
        <v>28482378</v>
      </c>
      <c r="GX20" s="128">
        <f t="shared" si="108"/>
        <v>-320711</v>
      </c>
      <c r="GY20" s="128">
        <f t="shared" si="109"/>
        <v>1</v>
      </c>
      <c r="GZ20" s="115" t="s">
        <v>397</v>
      </c>
      <c r="HA20" s="99">
        <f>28482378+200000+300000</f>
        <v>28982378</v>
      </c>
      <c r="HB20" s="128">
        <f t="shared" si="110"/>
        <v>179289</v>
      </c>
      <c r="HC20" s="128">
        <f t="shared" si="111"/>
        <v>500001</v>
      </c>
      <c r="HD20" s="128">
        <f t="shared" si="112"/>
        <v>500000</v>
      </c>
      <c r="HE20" s="115" t="s">
        <v>415</v>
      </c>
      <c r="HF20" s="99">
        <v>30250000</v>
      </c>
      <c r="HG20" s="128">
        <f t="shared" si="126"/>
        <v>1446911</v>
      </c>
      <c r="HH20" s="128">
        <f t="shared" si="113"/>
        <v>1767623</v>
      </c>
      <c r="HI20" s="128">
        <f t="shared" si="114"/>
        <v>1267622</v>
      </c>
      <c r="HJ20" s="115" t="s">
        <v>462</v>
      </c>
      <c r="HK20" s="99">
        <f>30250000+500000+50000</f>
        <v>30800000</v>
      </c>
      <c r="HL20" s="128">
        <f t="shared" si="115"/>
        <v>1996911</v>
      </c>
      <c r="HM20" s="128">
        <f t="shared" si="116"/>
        <v>2317623</v>
      </c>
      <c r="HN20" s="128">
        <f t="shared" si="117"/>
        <v>1817622</v>
      </c>
      <c r="HO20" s="128">
        <f t="shared" si="118"/>
        <v>550000</v>
      </c>
      <c r="HP20" s="115" t="s">
        <v>484</v>
      </c>
      <c r="HQ20" s="99">
        <v>29632378</v>
      </c>
      <c r="HR20" s="128">
        <f t="shared" si="14"/>
        <v>829289</v>
      </c>
      <c r="HS20" s="128">
        <f t="shared" si="15"/>
        <v>1150001</v>
      </c>
      <c r="HT20" s="128">
        <f t="shared" si="16"/>
        <v>650000</v>
      </c>
      <c r="HU20" s="128">
        <f t="shared" si="17"/>
        <v>-1167622</v>
      </c>
      <c r="HV20" s="115" t="s">
        <v>506</v>
      </c>
      <c r="HW20" s="99">
        <v>28782377</v>
      </c>
      <c r="HX20" s="128">
        <f t="shared" si="18"/>
        <v>-20712</v>
      </c>
      <c r="HY20" s="128">
        <f t="shared" si="19"/>
        <v>300000</v>
      </c>
      <c r="HZ20" s="128">
        <f t="shared" si="119"/>
        <v>-850001</v>
      </c>
      <c r="IA20" s="115" t="s">
        <v>517</v>
      </c>
      <c r="IB20" s="99">
        <v>29632378</v>
      </c>
      <c r="IC20" s="166" t="s">
        <v>506</v>
      </c>
      <c r="ID20" s="128">
        <f t="shared" si="20"/>
        <v>29632378</v>
      </c>
      <c r="IE20" s="164">
        <f t="shared" si="21"/>
        <v>829289</v>
      </c>
      <c r="IF20" s="185">
        <v>28196421</v>
      </c>
      <c r="IG20" s="40">
        <f t="shared" si="120"/>
        <v>-1435957</v>
      </c>
      <c r="IH20" s="115" t="s">
        <v>542</v>
      </c>
      <c r="IJ20" s="3"/>
    </row>
    <row r="21" spans="1:244" ht="12.75" x14ac:dyDescent="0.2">
      <c r="A21" s="17" t="s">
        <v>4</v>
      </c>
      <c r="B21" s="18"/>
      <c r="C21" s="52" t="s">
        <v>46</v>
      </c>
      <c r="D21" s="20">
        <v>58300000</v>
      </c>
      <c r="E21" s="21">
        <v>61300000</v>
      </c>
      <c r="F21" s="21">
        <v>58357600</v>
      </c>
      <c r="G21" s="21">
        <v>40521840</v>
      </c>
      <c r="H21" s="21"/>
      <c r="I21" s="21">
        <f t="shared" si="0"/>
        <v>40521840</v>
      </c>
      <c r="J21" s="22"/>
      <c r="K21" s="22"/>
      <c r="L21" s="22">
        <f t="shared" si="1"/>
        <v>0</v>
      </c>
      <c r="M21" s="23">
        <f t="shared" si="22"/>
        <v>40521840</v>
      </c>
      <c r="N21" s="23">
        <f>M21+J21</f>
        <v>40521840</v>
      </c>
      <c r="O21" s="23">
        <v>42547932</v>
      </c>
      <c r="P21" s="23">
        <v>42547932</v>
      </c>
      <c r="Q21" s="23">
        <v>40521840</v>
      </c>
      <c r="R21" s="23">
        <v>44074024</v>
      </c>
      <c r="S21" s="23">
        <v>8.0610000000000001E-2</v>
      </c>
      <c r="T21" s="23">
        <f t="shared" si="121"/>
        <v>-3552807.0746400002</v>
      </c>
      <c r="U21" s="23">
        <f t="shared" si="122"/>
        <v>40521216.925360002</v>
      </c>
      <c r="V21" s="23">
        <f t="shared" si="2"/>
        <v>-623.07463999837637</v>
      </c>
      <c r="W21" s="24">
        <v>40521000</v>
      </c>
      <c r="X21" s="24"/>
      <c r="Y21" s="24">
        <f t="shared" si="23"/>
        <v>40521000</v>
      </c>
      <c r="Z21" s="25">
        <v>40521000</v>
      </c>
      <c r="AA21" s="25">
        <f t="shared" si="24"/>
        <v>0</v>
      </c>
      <c r="AB21" s="25">
        <v>40521000</v>
      </c>
      <c r="AC21" s="25">
        <v>40521000</v>
      </c>
      <c r="AD21" s="26">
        <v>40521000</v>
      </c>
      <c r="AE21" s="25"/>
      <c r="AF21" s="25"/>
      <c r="AG21" s="25"/>
      <c r="AH21" s="27">
        <v>43521000</v>
      </c>
      <c r="AI21" s="27">
        <v>43521000</v>
      </c>
      <c r="AJ21" s="25">
        <f t="shared" si="141"/>
        <v>0</v>
      </c>
      <c r="AK21" s="25">
        <f t="shared" si="25"/>
        <v>0</v>
      </c>
      <c r="AL21" s="25">
        <f t="shared" si="26"/>
        <v>0</v>
      </c>
      <c r="AM21" s="26">
        <f t="shared" si="27"/>
        <v>3000000</v>
      </c>
      <c r="AN21" s="26">
        <f t="shared" si="28"/>
        <v>3000000</v>
      </c>
      <c r="AO21" s="26">
        <f t="shared" si="4"/>
        <v>3000000</v>
      </c>
      <c r="AP21" s="25">
        <v>43521000</v>
      </c>
      <c r="AQ21" s="25">
        <f t="shared" si="5"/>
        <v>3000000</v>
      </c>
      <c r="AR21" s="25">
        <f t="shared" si="29"/>
        <v>3000000</v>
      </c>
      <c r="AS21" s="25">
        <f t="shared" si="30"/>
        <v>3000000</v>
      </c>
      <c r="AT21" s="25"/>
      <c r="AU21" s="25">
        <f t="shared" si="31"/>
        <v>43521000</v>
      </c>
      <c r="AV21" s="25">
        <v>43521000</v>
      </c>
      <c r="AW21" s="25">
        <f t="shared" si="32"/>
        <v>0</v>
      </c>
      <c r="AX21" s="25">
        <v>45442445</v>
      </c>
      <c r="AY21" s="26">
        <f t="shared" si="123"/>
        <v>1921445</v>
      </c>
      <c r="AZ21" s="26">
        <f t="shared" si="124"/>
        <v>1921445</v>
      </c>
      <c r="BA21" s="25">
        <v>45442445</v>
      </c>
      <c r="BB21" s="25">
        <f t="shared" si="33"/>
        <v>1921445</v>
      </c>
      <c r="BC21" s="25">
        <f t="shared" si="34"/>
        <v>1921445</v>
      </c>
      <c r="BD21" s="25">
        <f t="shared" si="35"/>
        <v>0</v>
      </c>
      <c r="BE21" s="25">
        <f>43521000+2000000</f>
        <v>45521000</v>
      </c>
      <c r="BF21" s="25">
        <f>43521000+2000000</f>
        <v>45521000</v>
      </c>
      <c r="BG21" s="25">
        <f>43521000+2000000</f>
        <v>45521000</v>
      </c>
      <c r="BH21" s="25">
        <f t="shared" si="36"/>
        <v>2000000</v>
      </c>
      <c r="BI21" s="25">
        <f t="shared" si="37"/>
        <v>2000000</v>
      </c>
      <c r="BJ21" s="25">
        <f t="shared" si="38"/>
        <v>78555</v>
      </c>
      <c r="BK21" s="8">
        <f t="shared" si="39"/>
        <v>0</v>
      </c>
      <c r="BL21" s="25">
        <v>1000000</v>
      </c>
      <c r="BM21" s="29">
        <f>BG21-BL21+1000000</f>
        <v>45521000</v>
      </c>
      <c r="BN21" s="38">
        <v>44521000</v>
      </c>
      <c r="BO21" s="27">
        <f t="shared" si="41"/>
        <v>-1000000</v>
      </c>
      <c r="BP21" s="38">
        <v>45521000</v>
      </c>
      <c r="BQ21" s="41">
        <f t="shared" si="42"/>
        <v>0</v>
      </c>
      <c r="BR21" s="41">
        <f t="shared" si="43"/>
        <v>1000000</v>
      </c>
      <c r="BS21" s="38">
        <v>46021000</v>
      </c>
      <c r="BT21" s="42">
        <f t="shared" si="44"/>
        <v>500000</v>
      </c>
      <c r="BU21" s="42">
        <f t="shared" si="45"/>
        <v>1500000</v>
      </c>
      <c r="BV21" s="42">
        <f t="shared" si="46"/>
        <v>500000</v>
      </c>
      <c r="BW21" s="38">
        <v>49521000</v>
      </c>
      <c r="BX21" s="41">
        <f t="shared" si="47"/>
        <v>4000000</v>
      </c>
      <c r="BY21" s="41">
        <f t="shared" si="48"/>
        <v>5000000</v>
      </c>
      <c r="BZ21" s="41">
        <f t="shared" si="49"/>
        <v>3500000</v>
      </c>
      <c r="CA21" s="38">
        <f>49521000+2000000</f>
        <v>51521000</v>
      </c>
      <c r="CB21" s="8">
        <f t="shared" si="50"/>
        <v>6000000</v>
      </c>
      <c r="CC21" s="8">
        <f t="shared" si="51"/>
        <v>7000000</v>
      </c>
      <c r="CD21" s="8">
        <f t="shared" si="6"/>
        <v>5500000</v>
      </c>
      <c r="CE21" s="8">
        <f t="shared" si="52"/>
        <v>2000000</v>
      </c>
      <c r="CF21" s="38">
        <v>51521000</v>
      </c>
      <c r="CG21" s="8">
        <f t="shared" si="53"/>
        <v>6000000</v>
      </c>
      <c r="CH21" s="8">
        <f t="shared" si="54"/>
        <v>7000000</v>
      </c>
      <c r="CI21" s="8">
        <f t="shared" si="55"/>
        <v>5500000</v>
      </c>
      <c r="CJ21" s="8">
        <f t="shared" si="56"/>
        <v>0</v>
      </c>
      <c r="CK21" s="38">
        <v>51521000</v>
      </c>
      <c r="CL21" s="8">
        <f t="shared" si="7"/>
        <v>6000000</v>
      </c>
      <c r="CM21" s="8">
        <f t="shared" si="57"/>
        <v>7000000</v>
      </c>
      <c r="CN21" s="8">
        <f t="shared" si="58"/>
        <v>0</v>
      </c>
      <c r="CO21" s="38">
        <v>51521000</v>
      </c>
      <c r="CP21" s="38">
        <f t="shared" si="59"/>
        <v>7000000</v>
      </c>
      <c r="CQ21" s="8">
        <f t="shared" si="60"/>
        <v>0</v>
      </c>
      <c r="CR21" s="38">
        <v>53521000</v>
      </c>
      <c r="CS21" s="27"/>
      <c r="CT21" s="38">
        <f t="shared" si="61"/>
        <v>53521000</v>
      </c>
      <c r="CU21" s="8">
        <f t="shared" si="62"/>
        <v>2000000</v>
      </c>
      <c r="CV21" s="38">
        <f t="shared" si="63"/>
        <v>2000000</v>
      </c>
      <c r="CW21" s="38">
        <f t="shared" si="64"/>
        <v>0</v>
      </c>
      <c r="CX21" s="38">
        <v>70251563</v>
      </c>
      <c r="CY21" s="8">
        <f t="shared" si="65"/>
        <v>18730563</v>
      </c>
      <c r="CZ21" s="38">
        <f t="shared" si="66"/>
        <v>18730563</v>
      </c>
      <c r="DA21" s="38">
        <f t="shared" si="67"/>
        <v>16730563</v>
      </c>
      <c r="DB21" s="38">
        <v>70251563</v>
      </c>
      <c r="DC21" s="8">
        <f t="shared" si="68"/>
        <v>18730563</v>
      </c>
      <c r="DD21" s="38">
        <f t="shared" si="69"/>
        <v>18730563</v>
      </c>
      <c r="DE21" s="38">
        <f t="shared" si="70"/>
        <v>16730563</v>
      </c>
      <c r="DF21" s="38">
        <f t="shared" si="71"/>
        <v>0</v>
      </c>
      <c r="DG21" s="38">
        <v>70251563</v>
      </c>
      <c r="DH21" s="40">
        <f t="shared" si="72"/>
        <v>18730563</v>
      </c>
      <c r="DI21" s="38">
        <f t="shared" si="73"/>
        <v>18730563</v>
      </c>
      <c r="DJ21" s="38">
        <f t="shared" si="74"/>
        <v>16730563</v>
      </c>
      <c r="DK21" s="38">
        <f t="shared" si="75"/>
        <v>0</v>
      </c>
      <c r="DL21" s="38"/>
      <c r="DM21" s="38">
        <f t="shared" si="76"/>
        <v>70251563</v>
      </c>
      <c r="DN21" s="38">
        <v>70251563</v>
      </c>
      <c r="DO21" s="38">
        <f t="shared" si="77"/>
        <v>18730563</v>
      </c>
      <c r="DP21" s="38"/>
      <c r="DQ21" s="38">
        <v>-18730563</v>
      </c>
      <c r="DR21" s="38">
        <f t="shared" si="78"/>
        <v>51521000</v>
      </c>
      <c r="DS21" s="38">
        <f t="shared" si="79"/>
        <v>0</v>
      </c>
      <c r="DT21" s="38"/>
      <c r="DU21" s="38">
        <f>DR21+DT21</f>
        <v>51521000</v>
      </c>
      <c r="DV21" s="38">
        <f t="shared" si="81"/>
        <v>0</v>
      </c>
      <c r="DW21" s="38">
        <f>51521000+5000000</f>
        <v>56521000</v>
      </c>
      <c r="DX21" s="38">
        <v>51521000</v>
      </c>
      <c r="DY21" s="8">
        <f t="shared" si="127"/>
        <v>0</v>
      </c>
      <c r="DZ21" s="40">
        <v>56521000</v>
      </c>
      <c r="EA21" s="8">
        <f t="shared" si="128"/>
        <v>5000000</v>
      </c>
      <c r="EB21" s="8">
        <f t="shared" si="129"/>
        <v>5000000</v>
      </c>
      <c r="EC21" s="60"/>
      <c r="ED21" s="37">
        <v>56521000</v>
      </c>
      <c r="EE21" s="25">
        <f t="shared" si="130"/>
        <v>5000000</v>
      </c>
      <c r="EF21" s="25">
        <f t="shared" si="131"/>
        <v>5000000</v>
      </c>
      <c r="EG21" s="25">
        <f t="shared" si="82"/>
        <v>0</v>
      </c>
      <c r="EH21" s="37">
        <v>56521000</v>
      </c>
      <c r="EI21" s="25">
        <f t="shared" si="132"/>
        <v>5000000</v>
      </c>
      <c r="EJ21" s="25">
        <f t="shared" si="133"/>
        <v>5000000</v>
      </c>
      <c r="EK21" s="25">
        <f t="shared" si="83"/>
        <v>0</v>
      </c>
      <c r="EL21" s="37">
        <f>56521000+3000000</f>
        <v>59521000</v>
      </c>
      <c r="EM21" s="25">
        <f t="shared" si="134"/>
        <v>8000000</v>
      </c>
      <c r="EN21" s="25">
        <f t="shared" si="135"/>
        <v>8000000</v>
      </c>
      <c r="EO21" s="25">
        <f t="shared" si="125"/>
        <v>3000000</v>
      </c>
      <c r="EP21" s="25">
        <f t="shared" si="84"/>
        <v>3000000</v>
      </c>
      <c r="EQ21" s="37">
        <v>59021000</v>
      </c>
      <c r="ER21" s="25">
        <f t="shared" si="136"/>
        <v>2500000</v>
      </c>
      <c r="ES21" s="25">
        <f t="shared" si="137"/>
        <v>7500000</v>
      </c>
      <c r="ET21" s="25">
        <f t="shared" si="85"/>
        <v>2500000</v>
      </c>
      <c r="EU21" s="25">
        <f t="shared" si="86"/>
        <v>-500000</v>
      </c>
      <c r="EV21" s="37">
        <v>59021000</v>
      </c>
      <c r="EW21" s="25">
        <f t="shared" si="138"/>
        <v>2500000</v>
      </c>
      <c r="EX21" s="25">
        <f t="shared" si="87"/>
        <v>0</v>
      </c>
      <c r="EY21" s="25">
        <f t="shared" si="8"/>
        <v>0</v>
      </c>
      <c r="EZ21" s="37">
        <v>59021000</v>
      </c>
      <c r="FA21" s="25">
        <f t="shared" si="139"/>
        <v>2500000</v>
      </c>
      <c r="FB21" s="25"/>
      <c r="FC21" s="25">
        <f t="shared" si="88"/>
        <v>59021000</v>
      </c>
      <c r="FD21" s="25"/>
      <c r="FE21" s="25"/>
      <c r="FF21" s="25">
        <f t="shared" si="89"/>
        <v>59021000</v>
      </c>
      <c r="FG21" s="37">
        <v>59021000</v>
      </c>
      <c r="FH21" s="25">
        <f t="shared" si="90"/>
        <v>0</v>
      </c>
      <c r="FI21" s="25"/>
      <c r="FJ21" s="37">
        <v>60021000</v>
      </c>
      <c r="FK21" s="37">
        <f t="shared" si="91"/>
        <v>1000000</v>
      </c>
      <c r="FL21" s="37">
        <f t="shared" si="92"/>
        <v>1000000</v>
      </c>
      <c r="FM21" s="37">
        <v>60021000</v>
      </c>
      <c r="FN21" s="37">
        <f t="shared" si="93"/>
        <v>1000000</v>
      </c>
      <c r="FO21" s="37">
        <f t="shared" si="94"/>
        <v>1000000</v>
      </c>
      <c r="FP21" s="37">
        <f t="shared" si="95"/>
        <v>0</v>
      </c>
      <c r="FQ21" s="37"/>
      <c r="FR21" s="37">
        <v>59021000</v>
      </c>
      <c r="FS21" s="37">
        <f t="shared" si="96"/>
        <v>0</v>
      </c>
      <c r="FT21" s="37">
        <f t="shared" si="97"/>
        <v>0</v>
      </c>
      <c r="FU21" s="37">
        <f t="shared" si="98"/>
        <v>-1000000</v>
      </c>
      <c r="FV21" s="100"/>
      <c r="FW21" s="37">
        <v>61021000</v>
      </c>
      <c r="FX21" s="37">
        <f t="shared" si="99"/>
        <v>2000000</v>
      </c>
      <c r="FY21" s="37">
        <f t="shared" si="100"/>
        <v>2000000</v>
      </c>
      <c r="FZ21" s="37">
        <f t="shared" si="101"/>
        <v>1000000</v>
      </c>
      <c r="GA21" s="37">
        <f t="shared" si="102"/>
        <v>2000000</v>
      </c>
      <c r="GB21" s="107"/>
      <c r="GC21" s="37">
        <v>61021000</v>
      </c>
      <c r="GD21" s="26"/>
      <c r="GE21" s="37">
        <f t="shared" si="103"/>
        <v>61021000</v>
      </c>
      <c r="GF21" s="38"/>
      <c r="GG21" s="37">
        <f t="shared" si="104"/>
        <v>61021000</v>
      </c>
      <c r="GH21" s="26">
        <f t="shared" si="9"/>
        <v>2000000</v>
      </c>
      <c r="GI21" s="37">
        <f t="shared" si="10"/>
        <v>2000000</v>
      </c>
      <c r="GJ21" s="37">
        <f t="shared" si="11"/>
        <v>1000000</v>
      </c>
      <c r="GK21" s="37">
        <f t="shared" si="12"/>
        <v>0</v>
      </c>
      <c r="GL21" s="37">
        <f t="shared" si="13"/>
        <v>0</v>
      </c>
      <c r="GM21" s="107"/>
      <c r="GN21" s="115"/>
      <c r="GO21" s="113">
        <f t="shared" si="105"/>
        <v>61021000</v>
      </c>
      <c r="GP21" s="113"/>
      <c r="GQ21" s="113">
        <f t="shared" si="106"/>
        <v>61021000</v>
      </c>
      <c r="GR21" s="113"/>
      <c r="GS21" s="128">
        <v>61021000</v>
      </c>
      <c r="GT21" s="128">
        <v>61021000</v>
      </c>
      <c r="GU21" s="123">
        <f t="shared" si="143"/>
        <v>0</v>
      </c>
      <c r="GV21" s="115"/>
      <c r="GW21" s="99">
        <v>62021000</v>
      </c>
      <c r="GX21" s="128">
        <f t="shared" si="108"/>
        <v>1000000</v>
      </c>
      <c r="GY21" s="128">
        <f t="shared" si="109"/>
        <v>1000000</v>
      </c>
      <c r="GZ21" s="115"/>
      <c r="HA21" s="99">
        <v>62021000</v>
      </c>
      <c r="HB21" s="128">
        <f t="shared" si="110"/>
        <v>1000000</v>
      </c>
      <c r="HC21" s="128">
        <f t="shared" si="111"/>
        <v>1000000</v>
      </c>
      <c r="HD21" s="128">
        <f t="shared" si="112"/>
        <v>0</v>
      </c>
      <c r="HE21" s="115"/>
      <c r="HF21" s="99">
        <v>61021000</v>
      </c>
      <c r="HG21" s="128">
        <f t="shared" si="126"/>
        <v>0</v>
      </c>
      <c r="HH21" s="128">
        <f t="shared" si="113"/>
        <v>0</v>
      </c>
      <c r="HI21" s="128">
        <f t="shared" si="114"/>
        <v>-1000000</v>
      </c>
      <c r="HJ21" s="115"/>
      <c r="HK21" s="99">
        <v>61021000</v>
      </c>
      <c r="HL21" s="128">
        <f t="shared" si="115"/>
        <v>0</v>
      </c>
      <c r="HM21" s="128">
        <f t="shared" si="116"/>
        <v>0</v>
      </c>
      <c r="HN21" s="128">
        <f t="shared" si="117"/>
        <v>-1000000</v>
      </c>
      <c r="HO21" s="128">
        <f t="shared" si="118"/>
        <v>0</v>
      </c>
      <c r="HP21" s="115"/>
      <c r="HQ21" s="99">
        <v>61521000</v>
      </c>
      <c r="HR21" s="128">
        <f t="shared" si="14"/>
        <v>500000</v>
      </c>
      <c r="HS21" s="128">
        <f t="shared" si="15"/>
        <v>500000</v>
      </c>
      <c r="HT21" s="128">
        <f t="shared" si="16"/>
        <v>-500000</v>
      </c>
      <c r="HU21" s="128">
        <f t="shared" si="17"/>
        <v>500000</v>
      </c>
      <c r="HV21" s="115"/>
      <c r="HW21" s="99">
        <v>61521000</v>
      </c>
      <c r="HX21" s="128">
        <f t="shared" si="18"/>
        <v>500000</v>
      </c>
      <c r="HY21" s="128">
        <f t="shared" si="19"/>
        <v>500000</v>
      </c>
      <c r="HZ21" s="128">
        <f t="shared" si="119"/>
        <v>0</v>
      </c>
      <c r="IA21" s="115"/>
      <c r="IB21" s="99">
        <v>61521000</v>
      </c>
      <c r="IC21" s="115"/>
      <c r="ID21" s="128">
        <f t="shared" si="20"/>
        <v>61521000</v>
      </c>
      <c r="IE21" s="164">
        <f t="shared" si="21"/>
        <v>500000</v>
      </c>
      <c r="IF21" s="185">
        <v>61521000</v>
      </c>
      <c r="IG21" s="40">
        <f t="shared" si="120"/>
        <v>0</v>
      </c>
      <c r="IH21" s="115"/>
    </row>
    <row r="22" spans="1:244" ht="25.5" customHeight="1" x14ac:dyDescent="0.2">
      <c r="A22" s="17" t="s">
        <v>27</v>
      </c>
      <c r="B22" s="18"/>
      <c r="C22" s="51" t="s">
        <v>203</v>
      </c>
      <c r="D22" s="20">
        <v>1950000</v>
      </c>
      <c r="E22" s="21">
        <v>2075000</v>
      </c>
      <c r="F22" s="21">
        <v>1975400</v>
      </c>
      <c r="G22" s="21">
        <v>646855</v>
      </c>
      <c r="H22" s="21"/>
      <c r="I22" s="21">
        <f t="shared" si="0"/>
        <v>646855</v>
      </c>
      <c r="J22" s="22">
        <v>-146855</v>
      </c>
      <c r="K22" s="22"/>
      <c r="L22" s="22">
        <f t="shared" si="1"/>
        <v>-146855</v>
      </c>
      <c r="M22" s="23">
        <f t="shared" si="22"/>
        <v>500000</v>
      </c>
      <c r="N22" s="23">
        <v>500000</v>
      </c>
      <c r="O22" s="23">
        <v>400000</v>
      </c>
      <c r="P22" s="23">
        <v>400000</v>
      </c>
      <c r="Q22" s="23"/>
      <c r="R22" s="23">
        <v>500000</v>
      </c>
      <c r="S22" s="23">
        <v>0.2</v>
      </c>
      <c r="T22" s="23">
        <f t="shared" si="121"/>
        <v>-100000</v>
      </c>
      <c r="U22" s="23">
        <f t="shared" si="122"/>
        <v>400000</v>
      </c>
      <c r="V22" s="23">
        <f t="shared" si="2"/>
        <v>-100000</v>
      </c>
      <c r="W22" s="24">
        <v>400000</v>
      </c>
      <c r="X22" s="24"/>
      <c r="Y22" s="24">
        <f t="shared" si="23"/>
        <v>400000</v>
      </c>
      <c r="Z22" s="25">
        <v>400000</v>
      </c>
      <c r="AA22" s="25">
        <f t="shared" si="24"/>
        <v>0</v>
      </c>
      <c r="AB22" s="25">
        <v>400000</v>
      </c>
      <c r="AC22" s="25">
        <v>400000</v>
      </c>
      <c r="AD22" s="26">
        <v>400000</v>
      </c>
      <c r="AE22" s="25"/>
      <c r="AF22" s="25"/>
      <c r="AG22" s="25"/>
      <c r="AH22" s="26">
        <v>400000</v>
      </c>
      <c r="AI22" s="26">
        <v>400000</v>
      </c>
      <c r="AJ22" s="25">
        <f t="shared" si="141"/>
        <v>0</v>
      </c>
      <c r="AK22" s="25">
        <f t="shared" si="25"/>
        <v>0</v>
      </c>
      <c r="AL22" s="25">
        <f t="shared" si="26"/>
        <v>0</v>
      </c>
      <c r="AM22" s="26">
        <f t="shared" si="27"/>
        <v>0</v>
      </c>
      <c r="AN22" s="26">
        <f t="shared" si="28"/>
        <v>0</v>
      </c>
      <c r="AO22" s="26">
        <f t="shared" si="4"/>
        <v>0</v>
      </c>
      <c r="AP22" s="25">
        <v>400000</v>
      </c>
      <c r="AQ22" s="25">
        <f t="shared" si="5"/>
        <v>0</v>
      </c>
      <c r="AR22" s="25">
        <f t="shared" si="29"/>
        <v>0</v>
      </c>
      <c r="AS22" s="25">
        <f t="shared" si="30"/>
        <v>0</v>
      </c>
      <c r="AT22" s="25"/>
      <c r="AU22" s="25">
        <f t="shared" si="31"/>
        <v>400000</v>
      </c>
      <c r="AV22" s="25">
        <v>400000</v>
      </c>
      <c r="AW22" s="25">
        <f t="shared" si="32"/>
        <v>0</v>
      </c>
      <c r="AX22" s="25">
        <v>200000</v>
      </c>
      <c r="AY22" s="26">
        <f t="shared" si="123"/>
        <v>-200000</v>
      </c>
      <c r="AZ22" s="26">
        <f t="shared" si="124"/>
        <v>-200000</v>
      </c>
      <c r="BA22" s="25">
        <v>200000</v>
      </c>
      <c r="BB22" s="25">
        <f t="shared" si="33"/>
        <v>-200000</v>
      </c>
      <c r="BC22" s="25">
        <f t="shared" si="34"/>
        <v>-200000</v>
      </c>
      <c r="BD22" s="25">
        <f t="shared" si="35"/>
        <v>0</v>
      </c>
      <c r="BE22" s="25">
        <v>400000</v>
      </c>
      <c r="BF22" s="25">
        <v>250000</v>
      </c>
      <c r="BG22" s="25">
        <v>250000</v>
      </c>
      <c r="BH22" s="25">
        <f t="shared" si="36"/>
        <v>-150000</v>
      </c>
      <c r="BI22" s="25">
        <f t="shared" si="37"/>
        <v>-150000</v>
      </c>
      <c r="BJ22" s="25">
        <f t="shared" si="38"/>
        <v>50000</v>
      </c>
      <c r="BK22" s="8">
        <f t="shared" si="39"/>
        <v>-150000</v>
      </c>
      <c r="BL22" s="25"/>
      <c r="BM22" s="29">
        <f t="shared" si="40"/>
        <v>250000</v>
      </c>
      <c r="BN22" s="38">
        <v>250000</v>
      </c>
      <c r="BO22" s="27">
        <f t="shared" si="41"/>
        <v>0</v>
      </c>
      <c r="BP22" s="38">
        <v>200000</v>
      </c>
      <c r="BQ22" s="41">
        <f t="shared" si="42"/>
        <v>-50000</v>
      </c>
      <c r="BR22" s="41">
        <f t="shared" si="43"/>
        <v>-50000</v>
      </c>
      <c r="BS22" s="38">
        <f>BP22</f>
        <v>200000</v>
      </c>
      <c r="BT22" s="42">
        <f t="shared" si="44"/>
        <v>-50000</v>
      </c>
      <c r="BU22" s="42">
        <f t="shared" si="45"/>
        <v>-50000</v>
      </c>
      <c r="BV22" s="42">
        <f t="shared" si="46"/>
        <v>0</v>
      </c>
      <c r="BW22" s="38">
        <v>3000000</v>
      </c>
      <c r="BX22" s="41">
        <f t="shared" si="47"/>
        <v>2750000</v>
      </c>
      <c r="BY22" s="41">
        <f t="shared" si="48"/>
        <v>2750000</v>
      </c>
      <c r="BZ22" s="41">
        <f t="shared" si="49"/>
        <v>2800000</v>
      </c>
      <c r="CA22" s="38">
        <v>3000000</v>
      </c>
      <c r="CB22" s="8">
        <f t="shared" si="50"/>
        <v>2750000</v>
      </c>
      <c r="CC22" s="8">
        <f t="shared" si="51"/>
        <v>2750000</v>
      </c>
      <c r="CD22" s="8">
        <f t="shared" si="6"/>
        <v>2800000</v>
      </c>
      <c r="CE22" s="8">
        <f t="shared" si="52"/>
        <v>0</v>
      </c>
      <c r="CF22" s="38">
        <v>3000000</v>
      </c>
      <c r="CG22" s="8">
        <f t="shared" si="53"/>
        <v>2750000</v>
      </c>
      <c r="CH22" s="8">
        <f t="shared" si="54"/>
        <v>2750000</v>
      </c>
      <c r="CI22" s="8">
        <f t="shared" si="55"/>
        <v>2800000</v>
      </c>
      <c r="CJ22" s="8">
        <f t="shared" si="56"/>
        <v>0</v>
      </c>
      <c r="CK22" s="38">
        <v>3000000</v>
      </c>
      <c r="CL22" s="8">
        <f t="shared" si="7"/>
        <v>2750000</v>
      </c>
      <c r="CM22" s="8">
        <f t="shared" si="57"/>
        <v>2750000</v>
      </c>
      <c r="CN22" s="8">
        <f t="shared" si="58"/>
        <v>0</v>
      </c>
      <c r="CO22" s="38">
        <v>0</v>
      </c>
      <c r="CP22" s="38">
        <f t="shared" si="59"/>
        <v>-250000</v>
      </c>
      <c r="CQ22" s="8">
        <f t="shared" si="60"/>
        <v>-3000000</v>
      </c>
      <c r="CR22" s="38">
        <v>1500000</v>
      </c>
      <c r="CS22" s="27"/>
      <c r="CT22" s="38">
        <f t="shared" si="61"/>
        <v>1500000</v>
      </c>
      <c r="CU22" s="8">
        <f t="shared" si="62"/>
        <v>-1500000</v>
      </c>
      <c r="CV22" s="38">
        <f t="shared" si="63"/>
        <v>1500000</v>
      </c>
      <c r="CW22" s="38">
        <f t="shared" si="64"/>
        <v>0</v>
      </c>
      <c r="CX22" s="38">
        <v>3020613</v>
      </c>
      <c r="CY22" s="8">
        <f t="shared" si="65"/>
        <v>20613</v>
      </c>
      <c r="CZ22" s="38">
        <f t="shared" si="66"/>
        <v>3020613</v>
      </c>
      <c r="DA22" s="38">
        <f t="shared" si="67"/>
        <v>1520613</v>
      </c>
      <c r="DB22" s="38">
        <v>3020613</v>
      </c>
      <c r="DC22" s="8">
        <f t="shared" si="68"/>
        <v>20613</v>
      </c>
      <c r="DD22" s="38">
        <f t="shared" si="69"/>
        <v>3020613</v>
      </c>
      <c r="DE22" s="38">
        <f t="shared" si="70"/>
        <v>1520613</v>
      </c>
      <c r="DF22" s="38">
        <f t="shared" si="71"/>
        <v>0</v>
      </c>
      <c r="DG22" s="38">
        <v>2244847</v>
      </c>
      <c r="DH22" s="40">
        <f t="shared" si="72"/>
        <v>-755153</v>
      </c>
      <c r="DI22" s="38">
        <f t="shared" si="73"/>
        <v>2244847</v>
      </c>
      <c r="DJ22" s="38">
        <f t="shared" si="74"/>
        <v>744847</v>
      </c>
      <c r="DK22" s="38">
        <f t="shared" si="75"/>
        <v>-775766</v>
      </c>
      <c r="DL22" s="38"/>
      <c r="DM22" s="38">
        <f t="shared" si="76"/>
        <v>2244847</v>
      </c>
      <c r="DN22" s="38">
        <v>2244847</v>
      </c>
      <c r="DO22" s="38">
        <f t="shared" si="77"/>
        <v>-755153</v>
      </c>
      <c r="DP22" s="38"/>
      <c r="DQ22" s="38">
        <v>-2244847</v>
      </c>
      <c r="DR22" s="38">
        <f t="shared" si="78"/>
        <v>0</v>
      </c>
      <c r="DS22" s="38">
        <f t="shared" si="79"/>
        <v>-3000000</v>
      </c>
      <c r="DT22" s="38"/>
      <c r="DU22" s="38">
        <f t="shared" si="80"/>
        <v>0</v>
      </c>
      <c r="DV22" s="38">
        <f t="shared" si="81"/>
        <v>-3000000</v>
      </c>
      <c r="DW22" s="38">
        <v>0</v>
      </c>
      <c r="DX22" s="38">
        <v>0</v>
      </c>
      <c r="DY22" s="8">
        <f t="shared" si="127"/>
        <v>0</v>
      </c>
      <c r="DZ22" s="40">
        <v>0</v>
      </c>
      <c r="EA22" s="8">
        <f t="shared" si="128"/>
        <v>0</v>
      </c>
      <c r="EB22" s="8">
        <f t="shared" si="129"/>
        <v>0</v>
      </c>
      <c r="EC22" s="60"/>
      <c r="ED22" s="37"/>
      <c r="EE22" s="25">
        <f t="shared" si="130"/>
        <v>0</v>
      </c>
      <c r="EF22" s="25">
        <f t="shared" si="131"/>
        <v>0</v>
      </c>
      <c r="EG22" s="25">
        <f t="shared" si="82"/>
        <v>0</v>
      </c>
      <c r="EH22" s="37">
        <v>2244847</v>
      </c>
      <c r="EI22" s="25">
        <f t="shared" si="132"/>
        <v>2244847</v>
      </c>
      <c r="EJ22" s="25">
        <f t="shared" si="133"/>
        <v>2244847</v>
      </c>
      <c r="EK22" s="25">
        <f t="shared" si="83"/>
        <v>2244847</v>
      </c>
      <c r="EL22" s="37">
        <v>2244847</v>
      </c>
      <c r="EM22" s="25">
        <f t="shared" si="134"/>
        <v>2244847</v>
      </c>
      <c r="EN22" s="25">
        <f t="shared" si="135"/>
        <v>2244847</v>
      </c>
      <c r="EO22" s="25">
        <f t="shared" si="125"/>
        <v>2244847</v>
      </c>
      <c r="EP22" s="25">
        <f t="shared" si="84"/>
        <v>0</v>
      </c>
      <c r="EQ22" s="37">
        <v>1750000</v>
      </c>
      <c r="ER22" s="25">
        <f t="shared" si="136"/>
        <v>1750000</v>
      </c>
      <c r="ES22" s="25">
        <f t="shared" si="137"/>
        <v>1750000</v>
      </c>
      <c r="ET22" s="25">
        <f t="shared" si="85"/>
        <v>1750000</v>
      </c>
      <c r="EU22" s="25">
        <f t="shared" si="86"/>
        <v>-494847</v>
      </c>
      <c r="EV22" s="37">
        <v>1750000</v>
      </c>
      <c r="EW22" s="25">
        <f t="shared" si="138"/>
        <v>1750000</v>
      </c>
      <c r="EX22" s="25">
        <f t="shared" si="87"/>
        <v>0</v>
      </c>
      <c r="EY22" s="25">
        <f t="shared" si="8"/>
        <v>0</v>
      </c>
      <c r="EZ22" s="37">
        <v>1750000</v>
      </c>
      <c r="FA22" s="25">
        <f t="shared" si="139"/>
        <v>1750000</v>
      </c>
      <c r="FB22" s="25"/>
      <c r="FC22" s="25">
        <f t="shared" si="88"/>
        <v>1750000</v>
      </c>
      <c r="FD22" s="25"/>
      <c r="FE22" s="25"/>
      <c r="FF22" s="25">
        <f t="shared" si="89"/>
        <v>1750000</v>
      </c>
      <c r="FG22" s="37">
        <v>1750000</v>
      </c>
      <c r="FH22" s="25">
        <f t="shared" si="90"/>
        <v>0</v>
      </c>
      <c r="FI22" s="25"/>
      <c r="FJ22" s="37">
        <v>0</v>
      </c>
      <c r="FK22" s="37">
        <f t="shared" si="91"/>
        <v>-1750000</v>
      </c>
      <c r="FL22" s="37">
        <f t="shared" si="92"/>
        <v>-1750000</v>
      </c>
      <c r="FM22" s="37">
        <v>250000</v>
      </c>
      <c r="FN22" s="37">
        <f t="shared" si="93"/>
        <v>-1500000</v>
      </c>
      <c r="FO22" s="37">
        <f t="shared" si="94"/>
        <v>-1500000</v>
      </c>
      <c r="FP22" s="37">
        <f t="shared" si="95"/>
        <v>250000</v>
      </c>
      <c r="FQ22" s="37"/>
      <c r="FR22" s="37">
        <v>1750000</v>
      </c>
      <c r="FS22" s="37">
        <f t="shared" si="96"/>
        <v>0</v>
      </c>
      <c r="FT22" s="37">
        <f t="shared" si="97"/>
        <v>0</v>
      </c>
      <c r="FU22" s="37">
        <f t="shared" si="98"/>
        <v>1500000</v>
      </c>
      <c r="FV22" s="100"/>
      <c r="FW22" s="37">
        <v>1750000</v>
      </c>
      <c r="FX22" s="37">
        <f t="shared" si="99"/>
        <v>0</v>
      </c>
      <c r="FY22" s="37">
        <f t="shared" si="100"/>
        <v>0</v>
      </c>
      <c r="FZ22" s="37">
        <f t="shared" si="101"/>
        <v>1500000</v>
      </c>
      <c r="GA22" s="37">
        <f t="shared" si="102"/>
        <v>0</v>
      </c>
      <c r="GB22" s="107"/>
      <c r="GC22" s="37">
        <v>250000</v>
      </c>
      <c r="GD22" s="26"/>
      <c r="GE22" s="37">
        <f t="shared" si="103"/>
        <v>250000</v>
      </c>
      <c r="GF22" s="38"/>
      <c r="GG22" s="37">
        <f t="shared" si="104"/>
        <v>250000</v>
      </c>
      <c r="GH22" s="26">
        <f t="shared" si="9"/>
        <v>-1500000</v>
      </c>
      <c r="GI22" s="37">
        <f t="shared" si="10"/>
        <v>-1500000</v>
      </c>
      <c r="GJ22" s="37">
        <f t="shared" si="11"/>
        <v>0</v>
      </c>
      <c r="GK22" s="37">
        <f t="shared" si="12"/>
        <v>-1500000</v>
      </c>
      <c r="GL22" s="37">
        <f t="shared" si="13"/>
        <v>0</v>
      </c>
      <c r="GM22" s="107"/>
      <c r="GN22" s="115"/>
      <c r="GO22" s="113">
        <f t="shared" si="105"/>
        <v>250000</v>
      </c>
      <c r="GP22" s="113"/>
      <c r="GQ22" s="113">
        <f t="shared" si="106"/>
        <v>250000</v>
      </c>
      <c r="GR22" s="113"/>
      <c r="GS22" s="128">
        <v>250000</v>
      </c>
      <c r="GT22" s="128">
        <v>250000</v>
      </c>
      <c r="GU22" s="123">
        <f t="shared" si="143"/>
        <v>0</v>
      </c>
      <c r="GV22" s="115"/>
      <c r="GW22" s="99">
        <v>250000</v>
      </c>
      <c r="GX22" s="128">
        <f t="shared" si="108"/>
        <v>0</v>
      </c>
      <c r="GY22" s="128">
        <f t="shared" si="109"/>
        <v>0</v>
      </c>
      <c r="GZ22" s="115"/>
      <c r="HA22" s="99">
        <v>250000</v>
      </c>
      <c r="HB22" s="128">
        <f t="shared" si="110"/>
        <v>0</v>
      </c>
      <c r="HC22" s="128">
        <f t="shared" si="111"/>
        <v>0</v>
      </c>
      <c r="HD22" s="128">
        <f t="shared" si="112"/>
        <v>0</v>
      </c>
      <c r="HE22" s="115"/>
      <c r="HF22" s="99">
        <v>250000</v>
      </c>
      <c r="HG22" s="128">
        <f t="shared" si="126"/>
        <v>0</v>
      </c>
      <c r="HH22" s="128">
        <f t="shared" si="113"/>
        <v>0</v>
      </c>
      <c r="HI22" s="128">
        <f t="shared" si="114"/>
        <v>0</v>
      </c>
      <c r="HJ22" s="115"/>
      <c r="HK22" s="99">
        <v>250000</v>
      </c>
      <c r="HL22" s="128">
        <f t="shared" si="115"/>
        <v>0</v>
      </c>
      <c r="HM22" s="128">
        <f t="shared" si="116"/>
        <v>0</v>
      </c>
      <c r="HN22" s="128">
        <f t="shared" si="117"/>
        <v>0</v>
      </c>
      <c r="HO22" s="128">
        <f t="shared" si="118"/>
        <v>0</v>
      </c>
      <c r="HP22" s="115"/>
      <c r="HQ22" s="99">
        <v>242500</v>
      </c>
      <c r="HR22" s="128">
        <f t="shared" si="14"/>
        <v>-7500</v>
      </c>
      <c r="HS22" s="128">
        <f t="shared" si="15"/>
        <v>-7500</v>
      </c>
      <c r="HT22" s="128">
        <f t="shared" si="16"/>
        <v>-7500</v>
      </c>
      <c r="HU22" s="128">
        <f t="shared" si="17"/>
        <v>-7500</v>
      </c>
      <c r="HV22" s="115"/>
      <c r="HW22" s="99">
        <v>242500</v>
      </c>
      <c r="HX22" s="128">
        <f t="shared" si="18"/>
        <v>-7500</v>
      </c>
      <c r="HY22" s="128">
        <f t="shared" si="19"/>
        <v>-7500</v>
      </c>
      <c r="HZ22" s="128">
        <f t="shared" si="119"/>
        <v>0</v>
      </c>
      <c r="IA22" s="115"/>
      <c r="IB22" s="99">
        <v>242500</v>
      </c>
      <c r="IC22" s="115"/>
      <c r="ID22" s="128">
        <f t="shared" si="20"/>
        <v>242500</v>
      </c>
      <c r="IE22" s="164">
        <f t="shared" si="21"/>
        <v>-7500</v>
      </c>
      <c r="IF22" s="185">
        <v>242500</v>
      </c>
      <c r="IG22" s="40">
        <f t="shared" si="120"/>
        <v>0</v>
      </c>
      <c r="IH22" s="115"/>
      <c r="IJ22" s="3"/>
    </row>
    <row r="23" spans="1:244" ht="25.5" x14ac:dyDescent="0.2">
      <c r="A23" s="39" t="s">
        <v>198</v>
      </c>
      <c r="B23" s="18"/>
      <c r="C23" s="52" t="s">
        <v>148</v>
      </c>
      <c r="D23" s="20"/>
      <c r="E23" s="21"/>
      <c r="F23" s="21"/>
      <c r="G23" s="21"/>
      <c r="H23" s="21"/>
      <c r="I23" s="21"/>
      <c r="J23" s="22"/>
      <c r="K23" s="22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4"/>
      <c r="X23" s="24"/>
      <c r="Y23" s="24">
        <f>W23+X23</f>
        <v>0</v>
      </c>
      <c r="Z23" s="25"/>
      <c r="AA23" s="25"/>
      <c r="AB23" s="25"/>
      <c r="AC23" s="25"/>
      <c r="AD23" s="26"/>
      <c r="AE23" s="25"/>
      <c r="AF23" s="25"/>
      <c r="AG23" s="25"/>
      <c r="AH23" s="26"/>
      <c r="AI23" s="26"/>
      <c r="AJ23" s="25"/>
      <c r="AK23" s="25"/>
      <c r="AL23" s="25"/>
      <c r="AM23" s="26"/>
      <c r="AN23" s="26"/>
      <c r="AO23" s="26"/>
      <c r="AP23" s="25"/>
      <c r="AQ23" s="25"/>
      <c r="AR23" s="25"/>
      <c r="AS23" s="25"/>
      <c r="AT23" s="25"/>
      <c r="AU23" s="25">
        <f>AP23+AT23</f>
        <v>0</v>
      </c>
      <c r="AV23" s="25"/>
      <c r="AW23" s="25"/>
      <c r="AX23" s="25">
        <v>11300000</v>
      </c>
      <c r="AY23" s="26">
        <f>AX23-AP23-AT23</f>
        <v>11300000</v>
      </c>
      <c r="AZ23" s="26">
        <f>AX23-AV23</f>
        <v>11300000</v>
      </c>
      <c r="BA23" s="25">
        <v>11300000</v>
      </c>
      <c r="BB23" s="25">
        <f>BA23-AP23-AT23</f>
        <v>11300000</v>
      </c>
      <c r="BC23" s="25">
        <f>BA23-AV23</f>
        <v>11300000</v>
      </c>
      <c r="BD23" s="25">
        <f>BA23-AX23</f>
        <v>0</v>
      </c>
      <c r="BE23" s="25"/>
      <c r="BF23" s="25">
        <v>11300000</v>
      </c>
      <c r="BG23" s="25">
        <v>11300000</v>
      </c>
      <c r="BH23" s="25">
        <f>+BF23-AU23</f>
        <v>11300000</v>
      </c>
      <c r="BI23" s="25">
        <f>+BF23-AV23</f>
        <v>11300000</v>
      </c>
      <c r="BJ23" s="25">
        <f>+BF23-BA23</f>
        <v>0</v>
      </c>
      <c r="BK23" s="8">
        <f>+BF23-BE23</f>
        <v>11300000</v>
      </c>
      <c r="BL23" s="25">
        <v>5250000</v>
      </c>
      <c r="BM23" s="29">
        <f>BG23-BL23+5250000</f>
        <v>11300000</v>
      </c>
      <c r="BN23" s="38">
        <v>6050000</v>
      </c>
      <c r="BO23" s="27">
        <f>BN23-BM23</f>
        <v>-5250000</v>
      </c>
      <c r="BP23" s="38">
        <v>6050000</v>
      </c>
      <c r="BQ23" s="41">
        <f>BP23-BM23</f>
        <v>-5250000</v>
      </c>
      <c r="BR23" s="41">
        <f>BP23-BN23</f>
        <v>0</v>
      </c>
      <c r="BS23" s="38">
        <f>BP23</f>
        <v>6050000</v>
      </c>
      <c r="BT23" s="42">
        <f>BS23-BM23</f>
        <v>-5250000</v>
      </c>
      <c r="BU23" s="42">
        <f>BS23-BN23</f>
        <v>0</v>
      </c>
      <c r="BV23" s="42">
        <f>BS23-BP23</f>
        <v>0</v>
      </c>
      <c r="BW23" s="38">
        <v>6050000</v>
      </c>
      <c r="BX23" s="41">
        <f>BW23-BM23</f>
        <v>-5250000</v>
      </c>
      <c r="BY23" s="41">
        <f>BW23-BN23</f>
        <v>0</v>
      </c>
      <c r="BZ23" s="41">
        <f>BW23-BS23</f>
        <v>0</v>
      </c>
      <c r="CA23" s="38">
        <f>6050000+1300000</f>
        <v>7350000</v>
      </c>
      <c r="CB23" s="8">
        <f>CA23-BM23</f>
        <v>-3950000</v>
      </c>
      <c r="CC23" s="8">
        <f>CA23-BN23</f>
        <v>1300000</v>
      </c>
      <c r="CD23" s="8">
        <f>CA23-BS23</f>
        <v>1300000</v>
      </c>
      <c r="CE23" s="8">
        <f>CA23-BW23</f>
        <v>1300000</v>
      </c>
      <c r="CF23" s="38">
        <v>7350000</v>
      </c>
      <c r="CG23" s="8">
        <f>CF23-BM23</f>
        <v>-3950000</v>
      </c>
      <c r="CH23" s="8">
        <f>CF23-BN23</f>
        <v>1300000</v>
      </c>
      <c r="CI23" s="8">
        <f>CF23-BS23</f>
        <v>1300000</v>
      </c>
      <c r="CJ23" s="8">
        <f>CF23-CA23</f>
        <v>0</v>
      </c>
      <c r="CK23" s="38">
        <v>7350000</v>
      </c>
      <c r="CL23" s="8">
        <f>CK23-BM23</f>
        <v>-3950000</v>
      </c>
      <c r="CM23" s="8">
        <f>CK23-BN23</f>
        <v>1300000</v>
      </c>
      <c r="CN23" s="8">
        <f>CK23-CF23</f>
        <v>0</v>
      </c>
      <c r="CO23" s="38">
        <f>CK23</f>
        <v>7350000</v>
      </c>
      <c r="CP23" s="38">
        <f t="shared" si="59"/>
        <v>1300000</v>
      </c>
      <c r="CQ23" s="8">
        <f t="shared" si="60"/>
        <v>0</v>
      </c>
      <c r="CR23" s="38">
        <v>7350000</v>
      </c>
      <c r="CS23" s="27"/>
      <c r="CT23" s="38">
        <f t="shared" si="61"/>
        <v>7350000</v>
      </c>
      <c r="CU23" s="8">
        <f t="shared" si="62"/>
        <v>0</v>
      </c>
      <c r="CV23" s="38">
        <f t="shared" si="63"/>
        <v>0</v>
      </c>
      <c r="CW23" s="38">
        <f t="shared" si="64"/>
        <v>0</v>
      </c>
      <c r="CX23" s="38">
        <v>7350000</v>
      </c>
      <c r="CY23" s="8">
        <f t="shared" si="65"/>
        <v>0</v>
      </c>
      <c r="CZ23" s="38">
        <f t="shared" si="66"/>
        <v>0</v>
      </c>
      <c r="DA23" s="38">
        <f t="shared" si="67"/>
        <v>0</v>
      </c>
      <c r="DB23" s="38">
        <v>7350000</v>
      </c>
      <c r="DC23" s="8">
        <f t="shared" si="68"/>
        <v>0</v>
      </c>
      <c r="DD23" s="38">
        <f t="shared" si="69"/>
        <v>0</v>
      </c>
      <c r="DE23" s="38">
        <f t="shared" si="70"/>
        <v>0</v>
      </c>
      <c r="DF23" s="38">
        <f t="shared" si="71"/>
        <v>0</v>
      </c>
      <c r="DG23" s="38">
        <v>7350000</v>
      </c>
      <c r="DH23" s="40">
        <f t="shared" si="72"/>
        <v>0</v>
      </c>
      <c r="DI23" s="38">
        <f t="shared" si="73"/>
        <v>0</v>
      </c>
      <c r="DJ23" s="38">
        <f t="shared" si="74"/>
        <v>0</v>
      </c>
      <c r="DK23" s="38">
        <f t="shared" si="75"/>
        <v>0</v>
      </c>
      <c r="DL23" s="38"/>
      <c r="DM23" s="38">
        <f t="shared" si="76"/>
        <v>7350000</v>
      </c>
      <c r="DN23" s="38">
        <v>7350000</v>
      </c>
      <c r="DO23" s="38">
        <f t="shared" si="77"/>
        <v>0</v>
      </c>
      <c r="DP23" s="38"/>
      <c r="DQ23" s="38">
        <v>0</v>
      </c>
      <c r="DR23" s="38">
        <f t="shared" si="78"/>
        <v>7350000</v>
      </c>
      <c r="DS23" s="38">
        <f t="shared" si="79"/>
        <v>0</v>
      </c>
      <c r="DT23" s="38"/>
      <c r="DU23" s="38">
        <f t="shared" si="80"/>
        <v>7350000</v>
      </c>
      <c r="DV23" s="38">
        <f t="shared" si="81"/>
        <v>0</v>
      </c>
      <c r="DW23" s="38">
        <v>7350000</v>
      </c>
      <c r="DX23" s="38">
        <v>8350000</v>
      </c>
      <c r="DY23" s="8">
        <f t="shared" si="127"/>
        <v>1000000</v>
      </c>
      <c r="DZ23" s="40">
        <v>8350000</v>
      </c>
      <c r="EA23" s="8">
        <f t="shared" si="128"/>
        <v>1000000</v>
      </c>
      <c r="EB23" s="8">
        <f t="shared" si="129"/>
        <v>0</v>
      </c>
      <c r="EC23" s="60"/>
      <c r="ED23" s="37">
        <v>8350000</v>
      </c>
      <c r="EE23" s="25">
        <f t="shared" si="130"/>
        <v>1000000</v>
      </c>
      <c r="EF23" s="25">
        <f t="shared" si="131"/>
        <v>0</v>
      </c>
      <c r="EG23" s="25">
        <f t="shared" si="82"/>
        <v>0</v>
      </c>
      <c r="EH23" s="37">
        <v>7350000</v>
      </c>
      <c r="EI23" s="25">
        <f t="shared" si="132"/>
        <v>0</v>
      </c>
      <c r="EJ23" s="25">
        <f t="shared" si="133"/>
        <v>-1000000</v>
      </c>
      <c r="EK23" s="25">
        <f t="shared" si="83"/>
        <v>-1000000</v>
      </c>
      <c r="EL23" s="37">
        <f>7350000+1000000</f>
        <v>8350000</v>
      </c>
      <c r="EM23" s="25">
        <f t="shared" si="134"/>
        <v>1000000</v>
      </c>
      <c r="EN23" s="25">
        <f t="shared" si="135"/>
        <v>0</v>
      </c>
      <c r="EO23" s="25">
        <f t="shared" si="125"/>
        <v>0</v>
      </c>
      <c r="EP23" s="25">
        <f t="shared" si="84"/>
        <v>1000000</v>
      </c>
      <c r="EQ23" s="37">
        <f>7350000+1000000</f>
        <v>8350000</v>
      </c>
      <c r="ER23" s="25">
        <f t="shared" si="136"/>
        <v>1000000</v>
      </c>
      <c r="ES23" s="25">
        <f t="shared" si="137"/>
        <v>0</v>
      </c>
      <c r="ET23" s="25">
        <f t="shared" si="85"/>
        <v>0</v>
      </c>
      <c r="EU23" s="25">
        <f t="shared" si="86"/>
        <v>0</v>
      </c>
      <c r="EV23" s="37">
        <f>7350000+1000000</f>
        <v>8350000</v>
      </c>
      <c r="EW23" s="25">
        <f t="shared" si="138"/>
        <v>1000000</v>
      </c>
      <c r="EX23" s="25">
        <f t="shared" si="87"/>
        <v>0</v>
      </c>
      <c r="EY23" s="25">
        <f t="shared" si="8"/>
        <v>0</v>
      </c>
      <c r="EZ23" s="37">
        <f>7350000+1000000</f>
        <v>8350000</v>
      </c>
      <c r="FA23" s="25">
        <f t="shared" si="139"/>
        <v>1000000</v>
      </c>
      <c r="FB23" s="25"/>
      <c r="FC23" s="25">
        <f t="shared" si="88"/>
        <v>8350000</v>
      </c>
      <c r="FD23" s="25"/>
      <c r="FE23" s="25"/>
      <c r="FF23" s="25">
        <f t="shared" si="89"/>
        <v>8350000</v>
      </c>
      <c r="FG23" s="37">
        <v>8350000</v>
      </c>
      <c r="FH23" s="25">
        <f t="shared" si="90"/>
        <v>0</v>
      </c>
      <c r="FI23" s="25"/>
      <c r="FJ23" s="37">
        <v>8350000</v>
      </c>
      <c r="FK23" s="37">
        <f t="shared" si="91"/>
        <v>0</v>
      </c>
      <c r="FL23" s="37">
        <f t="shared" si="92"/>
        <v>0</v>
      </c>
      <c r="FM23" s="37">
        <v>8350000</v>
      </c>
      <c r="FN23" s="37">
        <f t="shared" si="93"/>
        <v>0</v>
      </c>
      <c r="FO23" s="37">
        <f t="shared" si="94"/>
        <v>0</v>
      </c>
      <c r="FP23" s="37">
        <f t="shared" si="95"/>
        <v>0</v>
      </c>
      <c r="FQ23" s="37"/>
      <c r="FR23" s="37">
        <v>8350000</v>
      </c>
      <c r="FS23" s="37">
        <f t="shared" si="96"/>
        <v>0</v>
      </c>
      <c r="FT23" s="37">
        <f t="shared" si="97"/>
        <v>0</v>
      </c>
      <c r="FU23" s="37">
        <f t="shared" si="98"/>
        <v>0</v>
      </c>
      <c r="FV23" s="100"/>
      <c r="FW23" s="37">
        <v>8350000</v>
      </c>
      <c r="FX23" s="37">
        <f t="shared" si="99"/>
        <v>0</v>
      </c>
      <c r="FY23" s="37">
        <f t="shared" si="100"/>
        <v>0</v>
      </c>
      <c r="FZ23" s="37">
        <f t="shared" si="101"/>
        <v>0</v>
      </c>
      <c r="GA23" s="37">
        <f t="shared" si="102"/>
        <v>0</v>
      </c>
      <c r="GB23" s="107"/>
      <c r="GC23" s="37">
        <v>8350000</v>
      </c>
      <c r="GD23" s="26"/>
      <c r="GE23" s="37">
        <f t="shared" si="103"/>
        <v>8350000</v>
      </c>
      <c r="GF23" s="38"/>
      <c r="GG23" s="37">
        <f t="shared" si="104"/>
        <v>8350000</v>
      </c>
      <c r="GH23" s="26">
        <f t="shared" si="9"/>
        <v>0</v>
      </c>
      <c r="GI23" s="37">
        <f t="shared" si="10"/>
        <v>0</v>
      </c>
      <c r="GJ23" s="37">
        <f t="shared" si="11"/>
        <v>0</v>
      </c>
      <c r="GK23" s="37">
        <f t="shared" si="12"/>
        <v>0</v>
      </c>
      <c r="GL23" s="37">
        <f t="shared" si="13"/>
        <v>0</v>
      </c>
      <c r="GM23" s="107"/>
      <c r="GN23" s="115"/>
      <c r="GO23" s="113">
        <f t="shared" si="105"/>
        <v>8350000</v>
      </c>
      <c r="GP23" s="113"/>
      <c r="GQ23" s="113">
        <f t="shared" si="106"/>
        <v>8350000</v>
      </c>
      <c r="GR23" s="113"/>
      <c r="GS23" s="128">
        <v>8350000</v>
      </c>
      <c r="GT23" s="128">
        <v>8350000</v>
      </c>
      <c r="GU23" s="123">
        <f t="shared" si="143"/>
        <v>0</v>
      </c>
      <c r="GV23" s="115"/>
      <c r="GW23" s="99">
        <v>8350000</v>
      </c>
      <c r="GX23" s="128">
        <f t="shared" si="108"/>
        <v>0</v>
      </c>
      <c r="GY23" s="128">
        <f t="shared" si="109"/>
        <v>0</v>
      </c>
      <c r="GZ23" s="115"/>
      <c r="HA23" s="99">
        <v>8350000</v>
      </c>
      <c r="HB23" s="128">
        <f t="shared" si="110"/>
        <v>0</v>
      </c>
      <c r="HC23" s="128">
        <f t="shared" si="111"/>
        <v>0</v>
      </c>
      <c r="HD23" s="128">
        <f t="shared" si="112"/>
        <v>0</v>
      </c>
      <c r="HE23" s="115"/>
      <c r="HF23" s="99">
        <v>8350000</v>
      </c>
      <c r="HG23" s="128">
        <f t="shared" si="126"/>
        <v>0</v>
      </c>
      <c r="HH23" s="128">
        <f t="shared" si="113"/>
        <v>0</v>
      </c>
      <c r="HI23" s="128">
        <f t="shared" si="114"/>
        <v>0</v>
      </c>
      <c r="HJ23" s="115"/>
      <c r="HK23" s="99">
        <v>8350000</v>
      </c>
      <c r="HL23" s="128">
        <f t="shared" si="115"/>
        <v>0</v>
      </c>
      <c r="HM23" s="128">
        <f t="shared" si="116"/>
        <v>0</v>
      </c>
      <c r="HN23" s="128">
        <f t="shared" si="117"/>
        <v>0</v>
      </c>
      <c r="HO23" s="128">
        <f t="shared" si="118"/>
        <v>0</v>
      </c>
      <c r="HP23" s="115"/>
      <c r="HQ23" s="99">
        <v>8099500</v>
      </c>
      <c r="HR23" s="128">
        <f t="shared" si="14"/>
        <v>-250500</v>
      </c>
      <c r="HS23" s="128">
        <f t="shared" si="15"/>
        <v>-250500</v>
      </c>
      <c r="HT23" s="128">
        <f t="shared" si="16"/>
        <v>-250500</v>
      </c>
      <c r="HU23" s="128">
        <f t="shared" si="17"/>
        <v>-250500</v>
      </c>
      <c r="HV23" s="115"/>
      <c r="HW23" s="99">
        <v>8099500</v>
      </c>
      <c r="HX23" s="128">
        <f t="shared" si="18"/>
        <v>-250500</v>
      </c>
      <c r="HY23" s="128">
        <f t="shared" si="19"/>
        <v>-250500</v>
      </c>
      <c r="HZ23" s="128">
        <f t="shared" si="119"/>
        <v>0</v>
      </c>
      <c r="IA23" s="115"/>
      <c r="IB23" s="99">
        <v>8099500</v>
      </c>
      <c r="IC23" s="115"/>
      <c r="ID23" s="128">
        <f t="shared" si="20"/>
        <v>8099500</v>
      </c>
      <c r="IE23" s="164">
        <f t="shared" si="21"/>
        <v>-250500</v>
      </c>
      <c r="IF23" s="185">
        <v>8099500</v>
      </c>
      <c r="IG23" s="40">
        <f t="shared" si="120"/>
        <v>0</v>
      </c>
      <c r="IH23" s="115"/>
    </row>
    <row r="24" spans="1:244" ht="13.5" customHeight="1" x14ac:dyDescent="0.2">
      <c r="A24" s="17" t="s">
        <v>141</v>
      </c>
      <c r="B24" s="18"/>
      <c r="C24" s="52" t="s">
        <v>174</v>
      </c>
      <c r="D24" s="20"/>
      <c r="E24" s="21"/>
      <c r="F24" s="21"/>
      <c r="G24" s="21"/>
      <c r="H24" s="21"/>
      <c r="I24" s="21"/>
      <c r="J24" s="22"/>
      <c r="K24" s="22"/>
      <c r="L24" s="22"/>
      <c r="M24" s="23">
        <v>0</v>
      </c>
      <c r="N24" s="23"/>
      <c r="O24" s="23"/>
      <c r="P24" s="23"/>
      <c r="Q24" s="23"/>
      <c r="R24" s="23"/>
      <c r="S24" s="23"/>
      <c r="T24" s="23"/>
      <c r="U24" s="23"/>
      <c r="V24" s="23"/>
      <c r="W24" s="24">
        <v>0</v>
      </c>
      <c r="X24" s="24"/>
      <c r="Y24" s="24">
        <f t="shared" si="23"/>
        <v>0</v>
      </c>
      <c r="Z24" s="25">
        <v>0</v>
      </c>
      <c r="AA24" s="25">
        <f t="shared" si="24"/>
        <v>0</v>
      </c>
      <c r="AB24" s="25"/>
      <c r="AC24" s="25"/>
      <c r="AD24" s="26"/>
      <c r="AE24" s="25"/>
      <c r="AF24" s="25"/>
      <c r="AG24" s="25"/>
      <c r="AH24" s="26"/>
      <c r="AI24" s="26"/>
      <c r="AJ24" s="25"/>
      <c r="AK24" s="25"/>
      <c r="AL24" s="25"/>
      <c r="AM24" s="26"/>
      <c r="AN24" s="26"/>
      <c r="AO24" s="26"/>
      <c r="AP24" s="25">
        <v>0</v>
      </c>
      <c r="AQ24" s="25"/>
      <c r="AR24" s="25"/>
      <c r="AS24" s="25">
        <f t="shared" si="30"/>
        <v>0</v>
      </c>
      <c r="AT24" s="25"/>
      <c r="AU24" s="25">
        <f t="shared" si="31"/>
        <v>0</v>
      </c>
      <c r="AV24" s="25">
        <v>2400000</v>
      </c>
      <c r="AW24" s="25">
        <f t="shared" si="32"/>
        <v>2400000</v>
      </c>
      <c r="AX24" s="25">
        <v>1000000</v>
      </c>
      <c r="AY24" s="26">
        <f t="shared" si="123"/>
        <v>1000000</v>
      </c>
      <c r="AZ24" s="26">
        <f t="shared" si="124"/>
        <v>-1400000</v>
      </c>
      <c r="BA24" s="25">
        <v>1750000</v>
      </c>
      <c r="BB24" s="25">
        <f t="shared" si="33"/>
        <v>1750000</v>
      </c>
      <c r="BC24" s="25">
        <f t="shared" si="34"/>
        <v>-650000</v>
      </c>
      <c r="BD24" s="25">
        <f t="shared" si="35"/>
        <v>750000</v>
      </c>
      <c r="BE24" s="25">
        <v>2000000</v>
      </c>
      <c r="BF24" s="25">
        <v>2000000</v>
      </c>
      <c r="BG24" s="25">
        <v>2000000</v>
      </c>
      <c r="BH24" s="25">
        <f t="shared" si="36"/>
        <v>2000000</v>
      </c>
      <c r="BI24" s="25">
        <f t="shared" si="37"/>
        <v>-400000</v>
      </c>
      <c r="BJ24" s="25">
        <f t="shared" si="38"/>
        <v>250000</v>
      </c>
      <c r="BK24" s="8">
        <f t="shared" si="39"/>
        <v>0</v>
      </c>
      <c r="BL24" s="25"/>
      <c r="BM24" s="29">
        <f t="shared" si="40"/>
        <v>2000000</v>
      </c>
      <c r="BN24" s="38">
        <v>2000000</v>
      </c>
      <c r="BO24" s="27">
        <f t="shared" si="41"/>
        <v>0</v>
      </c>
      <c r="BP24" s="38">
        <v>1000000</v>
      </c>
      <c r="BQ24" s="41">
        <f t="shared" si="42"/>
        <v>-1000000</v>
      </c>
      <c r="BR24" s="41">
        <f t="shared" si="43"/>
        <v>-1000000</v>
      </c>
      <c r="BS24" s="38">
        <v>2000000</v>
      </c>
      <c r="BT24" s="42">
        <f t="shared" si="44"/>
        <v>0</v>
      </c>
      <c r="BU24" s="42">
        <f t="shared" si="45"/>
        <v>0</v>
      </c>
      <c r="BV24" s="42">
        <f t="shared" si="46"/>
        <v>1000000</v>
      </c>
      <c r="BW24" s="38">
        <v>2600000</v>
      </c>
      <c r="BX24" s="41">
        <f t="shared" si="47"/>
        <v>600000</v>
      </c>
      <c r="BY24" s="41">
        <f t="shared" si="48"/>
        <v>600000</v>
      </c>
      <c r="BZ24" s="41">
        <f t="shared" si="49"/>
        <v>600000</v>
      </c>
      <c r="CA24" s="38">
        <v>2600000</v>
      </c>
      <c r="CB24" s="8">
        <f t="shared" si="50"/>
        <v>600000</v>
      </c>
      <c r="CC24" s="8">
        <f t="shared" si="51"/>
        <v>600000</v>
      </c>
      <c r="CD24" s="8">
        <f t="shared" si="6"/>
        <v>600000</v>
      </c>
      <c r="CE24" s="8">
        <f t="shared" si="52"/>
        <v>0</v>
      </c>
      <c r="CF24" s="38">
        <v>2600000</v>
      </c>
      <c r="CG24" s="8">
        <f t="shared" si="53"/>
        <v>600000</v>
      </c>
      <c r="CH24" s="8">
        <f t="shared" si="54"/>
        <v>600000</v>
      </c>
      <c r="CI24" s="8">
        <f t="shared" si="55"/>
        <v>600000</v>
      </c>
      <c r="CJ24" s="8">
        <f t="shared" si="56"/>
        <v>0</v>
      </c>
      <c r="CK24" s="38">
        <v>2600000</v>
      </c>
      <c r="CL24" s="8">
        <f t="shared" si="7"/>
        <v>600000</v>
      </c>
      <c r="CM24" s="8">
        <f t="shared" si="57"/>
        <v>600000</v>
      </c>
      <c r="CN24" s="8">
        <f t="shared" si="58"/>
        <v>0</v>
      </c>
      <c r="CO24" s="38">
        <v>2000000</v>
      </c>
      <c r="CP24" s="38">
        <f t="shared" si="59"/>
        <v>0</v>
      </c>
      <c r="CQ24" s="8">
        <f t="shared" si="60"/>
        <v>-600000</v>
      </c>
      <c r="CR24" s="38">
        <v>2000000</v>
      </c>
      <c r="CS24" s="27">
        <v>600000</v>
      </c>
      <c r="CT24" s="38">
        <f t="shared" si="61"/>
        <v>2600000</v>
      </c>
      <c r="CU24" s="8">
        <f t="shared" si="62"/>
        <v>0</v>
      </c>
      <c r="CV24" s="38">
        <f t="shared" si="63"/>
        <v>600000</v>
      </c>
      <c r="CW24" s="38">
        <f t="shared" si="64"/>
        <v>600000</v>
      </c>
      <c r="CX24" s="38">
        <v>2600000</v>
      </c>
      <c r="CY24" s="8">
        <f t="shared" si="65"/>
        <v>0</v>
      </c>
      <c r="CZ24" s="38">
        <f t="shared" si="66"/>
        <v>600000</v>
      </c>
      <c r="DA24" s="38">
        <f t="shared" si="67"/>
        <v>0</v>
      </c>
      <c r="DB24" s="38">
        <v>2600000</v>
      </c>
      <c r="DC24" s="8">
        <f t="shared" si="68"/>
        <v>0</v>
      </c>
      <c r="DD24" s="38">
        <f t="shared" si="69"/>
        <v>600000</v>
      </c>
      <c r="DE24" s="38">
        <f t="shared" si="70"/>
        <v>0</v>
      </c>
      <c r="DF24" s="38">
        <f t="shared" si="71"/>
        <v>0</v>
      </c>
      <c r="DG24" s="38">
        <v>2600000</v>
      </c>
      <c r="DH24" s="40">
        <f t="shared" si="72"/>
        <v>0</v>
      </c>
      <c r="DI24" s="38">
        <f t="shared" si="73"/>
        <v>600000</v>
      </c>
      <c r="DJ24" s="38">
        <f t="shared" si="74"/>
        <v>0</v>
      </c>
      <c r="DK24" s="38">
        <f t="shared" si="75"/>
        <v>0</v>
      </c>
      <c r="DL24" s="38"/>
      <c r="DM24" s="38">
        <f t="shared" si="76"/>
        <v>2600000</v>
      </c>
      <c r="DN24" s="38">
        <v>2600000</v>
      </c>
      <c r="DO24" s="38">
        <f t="shared" si="77"/>
        <v>0</v>
      </c>
      <c r="DP24" s="38"/>
      <c r="DQ24" s="38">
        <v>-46803</v>
      </c>
      <c r="DR24" s="38">
        <f t="shared" si="78"/>
        <v>2553197</v>
      </c>
      <c r="DS24" s="38">
        <f t="shared" si="79"/>
        <v>-46803</v>
      </c>
      <c r="DT24" s="38"/>
      <c r="DU24" s="38">
        <f t="shared" si="80"/>
        <v>2553197</v>
      </c>
      <c r="DV24" s="38">
        <f t="shared" si="81"/>
        <v>-46803</v>
      </c>
      <c r="DW24" s="38">
        <v>2553197</v>
      </c>
      <c r="DX24" s="38">
        <v>2553197</v>
      </c>
      <c r="DY24" s="8">
        <f t="shared" si="127"/>
        <v>0</v>
      </c>
      <c r="DZ24" s="40">
        <v>2553197</v>
      </c>
      <c r="EA24" s="8">
        <f t="shared" si="128"/>
        <v>0</v>
      </c>
      <c r="EB24" s="8">
        <f t="shared" si="129"/>
        <v>0</v>
      </c>
      <c r="EC24" s="58" t="s">
        <v>258</v>
      </c>
      <c r="ED24" s="37">
        <v>2700000</v>
      </c>
      <c r="EE24" s="25">
        <f t="shared" si="130"/>
        <v>146803</v>
      </c>
      <c r="EF24" s="25">
        <f t="shared" si="131"/>
        <v>146803</v>
      </c>
      <c r="EG24" s="25">
        <f t="shared" si="82"/>
        <v>146803</v>
      </c>
      <c r="EH24" s="37">
        <v>2553197</v>
      </c>
      <c r="EI24" s="25">
        <f t="shared" si="132"/>
        <v>0</v>
      </c>
      <c r="EJ24" s="25">
        <f t="shared" si="133"/>
        <v>0</v>
      </c>
      <c r="EK24" s="25">
        <f t="shared" si="83"/>
        <v>-146803</v>
      </c>
      <c r="EL24" s="37">
        <v>2553197</v>
      </c>
      <c r="EM24" s="25">
        <f t="shared" si="134"/>
        <v>0</v>
      </c>
      <c r="EN24" s="25">
        <f t="shared" si="135"/>
        <v>0</v>
      </c>
      <c r="EO24" s="25">
        <f t="shared" si="125"/>
        <v>-146803</v>
      </c>
      <c r="EP24" s="25">
        <f t="shared" si="84"/>
        <v>0</v>
      </c>
      <c r="EQ24" s="37">
        <v>2700000</v>
      </c>
      <c r="ER24" s="25">
        <f t="shared" si="136"/>
        <v>146803</v>
      </c>
      <c r="ES24" s="25">
        <f t="shared" si="137"/>
        <v>146803</v>
      </c>
      <c r="ET24" s="25">
        <f t="shared" si="85"/>
        <v>0</v>
      </c>
      <c r="EU24" s="25">
        <f t="shared" si="86"/>
        <v>146803</v>
      </c>
      <c r="EV24" s="37">
        <v>2700000</v>
      </c>
      <c r="EW24" s="25">
        <f t="shared" si="138"/>
        <v>146803</v>
      </c>
      <c r="EX24" s="25">
        <f t="shared" si="87"/>
        <v>0</v>
      </c>
      <c r="EY24" s="25">
        <f t="shared" si="8"/>
        <v>0</v>
      </c>
      <c r="EZ24" s="37">
        <v>2700000</v>
      </c>
      <c r="FA24" s="25">
        <f t="shared" si="139"/>
        <v>146803</v>
      </c>
      <c r="FB24" s="25"/>
      <c r="FC24" s="25">
        <f t="shared" si="88"/>
        <v>2700000</v>
      </c>
      <c r="FD24" s="25"/>
      <c r="FE24" s="25"/>
      <c r="FF24" s="25">
        <f t="shared" si="89"/>
        <v>2700000</v>
      </c>
      <c r="FG24" s="37">
        <v>3200000</v>
      </c>
      <c r="FH24" s="25">
        <f t="shared" si="90"/>
        <v>500000</v>
      </c>
      <c r="FI24" s="25"/>
      <c r="FJ24" s="37">
        <v>2700000</v>
      </c>
      <c r="FK24" s="37">
        <f t="shared" si="91"/>
        <v>0</v>
      </c>
      <c r="FL24" s="37">
        <f t="shared" si="92"/>
        <v>-500000</v>
      </c>
      <c r="FM24" s="37">
        <v>2700000</v>
      </c>
      <c r="FN24" s="37">
        <f t="shared" si="93"/>
        <v>0</v>
      </c>
      <c r="FO24" s="37">
        <f t="shared" si="94"/>
        <v>-500000</v>
      </c>
      <c r="FP24" s="37">
        <f t="shared" si="95"/>
        <v>0</v>
      </c>
      <c r="FQ24" s="37"/>
      <c r="FR24" s="37">
        <v>2700000</v>
      </c>
      <c r="FS24" s="37">
        <f t="shared" si="96"/>
        <v>0</v>
      </c>
      <c r="FT24" s="37">
        <f t="shared" si="97"/>
        <v>-500000</v>
      </c>
      <c r="FU24" s="37">
        <f t="shared" si="98"/>
        <v>0</v>
      </c>
      <c r="FV24" s="100"/>
      <c r="FW24" s="37">
        <v>2700000</v>
      </c>
      <c r="FX24" s="37">
        <f t="shared" si="99"/>
        <v>0</v>
      </c>
      <c r="FY24" s="37">
        <f t="shared" si="100"/>
        <v>-500000</v>
      </c>
      <c r="FZ24" s="37">
        <f t="shared" si="101"/>
        <v>0</v>
      </c>
      <c r="GA24" s="37">
        <f t="shared" si="102"/>
        <v>0</v>
      </c>
      <c r="GB24" s="107"/>
      <c r="GC24" s="38">
        <v>2700000</v>
      </c>
      <c r="GD24" s="27"/>
      <c r="GE24" s="37">
        <f t="shared" si="103"/>
        <v>2700000</v>
      </c>
      <c r="GF24" s="38"/>
      <c r="GG24" s="37">
        <f t="shared" si="104"/>
        <v>2700000</v>
      </c>
      <c r="GH24" s="26">
        <f t="shared" si="9"/>
        <v>0</v>
      </c>
      <c r="GI24" s="37">
        <f t="shared" si="10"/>
        <v>-500000</v>
      </c>
      <c r="GJ24" s="37">
        <f t="shared" si="11"/>
        <v>0</v>
      </c>
      <c r="GK24" s="37">
        <f t="shared" si="12"/>
        <v>0</v>
      </c>
      <c r="GL24" s="37">
        <f t="shared" si="13"/>
        <v>0</v>
      </c>
      <c r="GM24" s="107"/>
      <c r="GN24" s="115"/>
      <c r="GO24" s="113">
        <f t="shared" si="105"/>
        <v>2700000</v>
      </c>
      <c r="GP24" s="113">
        <v>-27000</v>
      </c>
      <c r="GQ24" s="113">
        <f t="shared" si="106"/>
        <v>2673000</v>
      </c>
      <c r="GR24" s="113"/>
      <c r="GS24" s="128">
        <v>2673000</v>
      </c>
      <c r="GT24" s="128">
        <v>2673000</v>
      </c>
      <c r="GU24" s="123">
        <f t="shared" si="143"/>
        <v>0</v>
      </c>
      <c r="GV24" s="115"/>
      <c r="GW24" s="99">
        <v>2672999</v>
      </c>
      <c r="GX24" s="128">
        <f t="shared" si="108"/>
        <v>-1</v>
      </c>
      <c r="GY24" s="128">
        <f t="shared" si="109"/>
        <v>-1</v>
      </c>
      <c r="GZ24" s="115"/>
      <c r="HA24" s="99">
        <v>2672999</v>
      </c>
      <c r="HB24" s="128">
        <f t="shared" si="110"/>
        <v>-1</v>
      </c>
      <c r="HC24" s="128">
        <f t="shared" si="111"/>
        <v>-1</v>
      </c>
      <c r="HD24" s="128">
        <f t="shared" si="112"/>
        <v>0</v>
      </c>
      <c r="HE24" s="115"/>
      <c r="HF24" s="99">
        <v>2673000</v>
      </c>
      <c r="HG24" s="128">
        <f t="shared" si="126"/>
        <v>0</v>
      </c>
      <c r="HH24" s="128">
        <f t="shared" si="113"/>
        <v>0</v>
      </c>
      <c r="HI24" s="128">
        <f t="shared" si="114"/>
        <v>1</v>
      </c>
      <c r="HJ24" s="115"/>
      <c r="HK24" s="99">
        <v>2673000</v>
      </c>
      <c r="HL24" s="128">
        <f t="shared" si="115"/>
        <v>0</v>
      </c>
      <c r="HM24" s="128">
        <f t="shared" si="116"/>
        <v>0</v>
      </c>
      <c r="HN24" s="128">
        <f t="shared" si="117"/>
        <v>1</v>
      </c>
      <c r="HO24" s="128">
        <f t="shared" si="118"/>
        <v>0</v>
      </c>
      <c r="HP24" s="115"/>
      <c r="HQ24" s="99">
        <v>2592809</v>
      </c>
      <c r="HR24" s="128">
        <f t="shared" si="14"/>
        <v>-80191</v>
      </c>
      <c r="HS24" s="128">
        <f t="shared" si="15"/>
        <v>-80191</v>
      </c>
      <c r="HT24" s="128">
        <f t="shared" si="16"/>
        <v>-80190</v>
      </c>
      <c r="HU24" s="128">
        <f t="shared" si="17"/>
        <v>-80191</v>
      </c>
      <c r="HV24" s="115"/>
      <c r="HW24" s="99">
        <v>2592809</v>
      </c>
      <c r="HX24" s="128">
        <f t="shared" si="18"/>
        <v>-80191</v>
      </c>
      <c r="HY24" s="128">
        <f t="shared" si="19"/>
        <v>-80191</v>
      </c>
      <c r="HZ24" s="128">
        <f t="shared" si="119"/>
        <v>0</v>
      </c>
      <c r="IA24" s="115"/>
      <c r="IB24" s="99">
        <v>2592809</v>
      </c>
      <c r="IC24" s="166"/>
      <c r="ID24" s="128">
        <f t="shared" si="20"/>
        <v>2592809</v>
      </c>
      <c r="IE24" s="164">
        <f t="shared" si="21"/>
        <v>-80191</v>
      </c>
      <c r="IF24" s="185">
        <v>2592809</v>
      </c>
      <c r="IG24" s="40">
        <f t="shared" si="120"/>
        <v>0</v>
      </c>
      <c r="IH24" s="115"/>
    </row>
    <row r="25" spans="1:244" ht="12.75" customHeight="1" x14ac:dyDescent="0.2">
      <c r="A25" s="17" t="s">
        <v>10</v>
      </c>
      <c r="B25" s="18"/>
      <c r="C25" s="52" t="s">
        <v>26</v>
      </c>
      <c r="D25" s="20">
        <v>1247000</v>
      </c>
      <c r="E25" s="21">
        <v>1247000</v>
      </c>
      <c r="F25" s="21">
        <v>1239518</v>
      </c>
      <c r="G25" s="21">
        <v>1239518</v>
      </c>
      <c r="H25" s="21"/>
      <c r="I25" s="21">
        <f t="shared" si="0"/>
        <v>1239518</v>
      </c>
      <c r="J25" s="22"/>
      <c r="K25" s="22"/>
      <c r="L25" s="22">
        <f t="shared" si="1"/>
        <v>0</v>
      </c>
      <c r="M25" s="23">
        <f t="shared" si="22"/>
        <v>1239518</v>
      </c>
      <c r="N25" s="23">
        <f>M25+J25</f>
        <v>1239518</v>
      </c>
      <c r="O25" s="23">
        <v>1000000</v>
      </c>
      <c r="P25" s="23">
        <v>1000000</v>
      </c>
      <c r="Q25" s="23">
        <v>1239518</v>
      </c>
      <c r="R25" s="23">
        <v>1239518</v>
      </c>
      <c r="S25" s="23">
        <v>0.19323000000000001</v>
      </c>
      <c r="T25" s="23">
        <f t="shared" si="121"/>
        <v>-239512.06314000001</v>
      </c>
      <c r="U25" s="23">
        <f t="shared" si="122"/>
        <v>1000005.93686</v>
      </c>
      <c r="V25" s="23">
        <f t="shared" si="2"/>
        <v>-239512.06313999998</v>
      </c>
      <c r="W25" s="24">
        <v>1000000</v>
      </c>
      <c r="X25" s="24"/>
      <c r="Y25" s="24">
        <f t="shared" si="23"/>
        <v>1000000</v>
      </c>
      <c r="Z25" s="25">
        <v>1000000</v>
      </c>
      <c r="AA25" s="25">
        <f t="shared" si="24"/>
        <v>0</v>
      </c>
      <c r="AB25" s="25">
        <v>1000000</v>
      </c>
      <c r="AC25" s="25">
        <v>1000000</v>
      </c>
      <c r="AD25" s="26">
        <v>1000000</v>
      </c>
      <c r="AE25" s="25"/>
      <c r="AF25" s="25"/>
      <c r="AG25" s="25"/>
      <c r="AH25" s="26">
        <v>1000000</v>
      </c>
      <c r="AI25" s="26">
        <v>1000000</v>
      </c>
      <c r="AJ25" s="25">
        <f t="shared" si="141"/>
        <v>0</v>
      </c>
      <c r="AK25" s="25">
        <f t="shared" si="25"/>
        <v>0</v>
      </c>
      <c r="AL25" s="25">
        <f t="shared" si="26"/>
        <v>0</v>
      </c>
      <c r="AM25" s="26">
        <f t="shared" si="27"/>
        <v>0</v>
      </c>
      <c r="AN25" s="26">
        <f t="shared" si="28"/>
        <v>0</v>
      </c>
      <c r="AO25" s="26">
        <f t="shared" si="4"/>
        <v>0</v>
      </c>
      <c r="AP25" s="25">
        <v>1000000</v>
      </c>
      <c r="AQ25" s="25">
        <f t="shared" si="5"/>
        <v>0</v>
      </c>
      <c r="AR25" s="25">
        <f t="shared" si="29"/>
        <v>0</v>
      </c>
      <c r="AS25" s="25">
        <f t="shared" si="30"/>
        <v>0</v>
      </c>
      <c r="AT25" s="25"/>
      <c r="AU25" s="25">
        <f t="shared" si="31"/>
        <v>1000000</v>
      </c>
      <c r="AV25" s="25">
        <v>1000000</v>
      </c>
      <c r="AW25" s="25">
        <f t="shared" si="32"/>
        <v>0</v>
      </c>
      <c r="AX25" s="25">
        <v>0</v>
      </c>
      <c r="AY25" s="26">
        <f t="shared" si="123"/>
        <v>-1000000</v>
      </c>
      <c r="AZ25" s="26">
        <f t="shared" si="124"/>
        <v>-1000000</v>
      </c>
      <c r="BA25" s="25">
        <v>0</v>
      </c>
      <c r="BB25" s="25">
        <f t="shared" si="33"/>
        <v>-1000000</v>
      </c>
      <c r="BC25" s="25">
        <f t="shared" si="34"/>
        <v>-1000000</v>
      </c>
      <c r="BD25" s="25">
        <f t="shared" si="35"/>
        <v>0</v>
      </c>
      <c r="BE25" s="25">
        <v>1000000</v>
      </c>
      <c r="BF25" s="25">
        <v>0</v>
      </c>
      <c r="BG25" s="25">
        <v>0</v>
      </c>
      <c r="BH25" s="25">
        <f t="shared" si="36"/>
        <v>-1000000</v>
      </c>
      <c r="BI25" s="25">
        <f t="shared" si="37"/>
        <v>-1000000</v>
      </c>
      <c r="BJ25" s="25">
        <f t="shared" si="38"/>
        <v>0</v>
      </c>
      <c r="BK25" s="8">
        <f t="shared" si="39"/>
        <v>-1000000</v>
      </c>
      <c r="BL25" s="25"/>
      <c r="BM25" s="29">
        <f t="shared" si="40"/>
        <v>0</v>
      </c>
      <c r="BN25" s="38">
        <v>0</v>
      </c>
      <c r="BO25" s="27">
        <f t="shared" si="41"/>
        <v>0</v>
      </c>
      <c r="BP25" s="38">
        <v>0</v>
      </c>
      <c r="BQ25" s="41">
        <f t="shared" si="42"/>
        <v>0</v>
      </c>
      <c r="BR25" s="41">
        <f t="shared" si="43"/>
        <v>0</v>
      </c>
      <c r="BS25" s="38"/>
      <c r="BT25" s="42">
        <f t="shared" si="44"/>
        <v>0</v>
      </c>
      <c r="BU25" s="42">
        <f t="shared" si="45"/>
        <v>0</v>
      </c>
      <c r="BV25" s="42">
        <f t="shared" si="46"/>
        <v>0</v>
      </c>
      <c r="BW25" s="38">
        <v>0</v>
      </c>
      <c r="BX25" s="41">
        <f t="shared" si="47"/>
        <v>0</v>
      </c>
      <c r="BY25" s="41">
        <f t="shared" si="48"/>
        <v>0</v>
      </c>
      <c r="BZ25" s="41">
        <f t="shared" si="49"/>
        <v>0</v>
      </c>
      <c r="CA25" s="38">
        <v>0</v>
      </c>
      <c r="CB25" s="8">
        <f t="shared" si="50"/>
        <v>0</v>
      </c>
      <c r="CC25" s="8">
        <f t="shared" si="51"/>
        <v>0</v>
      </c>
      <c r="CD25" s="8">
        <f t="shared" si="6"/>
        <v>0</v>
      </c>
      <c r="CE25" s="8">
        <f t="shared" si="52"/>
        <v>0</v>
      </c>
      <c r="CF25" s="38"/>
      <c r="CG25" s="8">
        <f t="shared" si="53"/>
        <v>0</v>
      </c>
      <c r="CH25" s="8">
        <f t="shared" si="54"/>
        <v>0</v>
      </c>
      <c r="CI25" s="8">
        <f t="shared" si="55"/>
        <v>0</v>
      </c>
      <c r="CJ25" s="8">
        <f t="shared" si="56"/>
        <v>0</v>
      </c>
      <c r="CK25" s="38"/>
      <c r="CL25" s="8">
        <f t="shared" si="7"/>
        <v>0</v>
      </c>
      <c r="CM25" s="8">
        <f t="shared" si="57"/>
        <v>0</v>
      </c>
      <c r="CN25" s="8">
        <f t="shared" si="58"/>
        <v>0</v>
      </c>
      <c r="CO25" s="38"/>
      <c r="CP25" s="38">
        <f t="shared" si="59"/>
        <v>0</v>
      </c>
      <c r="CQ25" s="8">
        <f t="shared" si="60"/>
        <v>0</v>
      </c>
      <c r="CR25" s="38">
        <v>0</v>
      </c>
      <c r="CS25" s="27"/>
      <c r="CT25" s="38">
        <f t="shared" si="61"/>
        <v>0</v>
      </c>
      <c r="CU25" s="8">
        <f t="shared" si="62"/>
        <v>0</v>
      </c>
      <c r="CV25" s="38">
        <f t="shared" si="63"/>
        <v>0</v>
      </c>
      <c r="CW25" s="38">
        <f t="shared" si="64"/>
        <v>0</v>
      </c>
      <c r="CX25" s="38"/>
      <c r="CY25" s="8">
        <f t="shared" si="65"/>
        <v>0</v>
      </c>
      <c r="CZ25" s="38">
        <f t="shared" si="66"/>
        <v>0</v>
      </c>
      <c r="DA25" s="38">
        <f t="shared" si="67"/>
        <v>0</v>
      </c>
      <c r="DB25" s="38"/>
      <c r="DC25" s="8">
        <f t="shared" si="68"/>
        <v>0</v>
      </c>
      <c r="DD25" s="38">
        <f t="shared" si="69"/>
        <v>0</v>
      </c>
      <c r="DE25" s="38">
        <f t="shared" si="70"/>
        <v>0</v>
      </c>
      <c r="DF25" s="38">
        <f t="shared" si="71"/>
        <v>0</v>
      </c>
      <c r="DG25" s="38"/>
      <c r="DH25" s="40">
        <f t="shared" si="72"/>
        <v>0</v>
      </c>
      <c r="DI25" s="38">
        <f t="shared" si="73"/>
        <v>0</v>
      </c>
      <c r="DJ25" s="38">
        <f t="shared" si="74"/>
        <v>0</v>
      </c>
      <c r="DK25" s="38">
        <f t="shared" si="75"/>
        <v>0</v>
      </c>
      <c r="DL25" s="38"/>
      <c r="DM25" s="38">
        <f t="shared" si="76"/>
        <v>0</v>
      </c>
      <c r="DN25" s="38"/>
      <c r="DO25" s="38">
        <f t="shared" si="77"/>
        <v>0</v>
      </c>
      <c r="DP25" s="38"/>
      <c r="DQ25" s="38"/>
      <c r="DR25" s="38">
        <f t="shared" si="78"/>
        <v>0</v>
      </c>
      <c r="DS25" s="38">
        <f t="shared" si="79"/>
        <v>0</v>
      </c>
      <c r="DT25" s="38"/>
      <c r="DU25" s="38">
        <f t="shared" si="80"/>
        <v>0</v>
      </c>
      <c r="DV25" s="38">
        <f t="shared" si="81"/>
        <v>0</v>
      </c>
      <c r="DW25" s="38">
        <v>0</v>
      </c>
      <c r="DX25" s="38"/>
      <c r="DY25" s="8">
        <f t="shared" si="127"/>
        <v>0</v>
      </c>
      <c r="DZ25" s="40"/>
      <c r="EA25" s="8">
        <f t="shared" si="128"/>
        <v>0</v>
      </c>
      <c r="EB25" s="8">
        <f t="shared" si="129"/>
        <v>0</v>
      </c>
      <c r="EC25" s="60"/>
      <c r="ED25" s="37"/>
      <c r="EE25" s="25">
        <f t="shared" si="130"/>
        <v>0</v>
      </c>
      <c r="EF25" s="25">
        <f t="shared" si="131"/>
        <v>0</v>
      </c>
      <c r="EG25" s="25">
        <f t="shared" si="82"/>
        <v>0</v>
      </c>
      <c r="EH25" s="37">
        <v>0</v>
      </c>
      <c r="EI25" s="25">
        <f t="shared" si="132"/>
        <v>0</v>
      </c>
      <c r="EJ25" s="25">
        <f t="shared" si="133"/>
        <v>0</v>
      </c>
      <c r="EK25" s="25">
        <f t="shared" si="83"/>
        <v>0</v>
      </c>
      <c r="EL25" s="37">
        <v>0</v>
      </c>
      <c r="EM25" s="25">
        <f t="shared" si="134"/>
        <v>0</v>
      </c>
      <c r="EN25" s="25">
        <f t="shared" si="135"/>
        <v>0</v>
      </c>
      <c r="EO25" s="25">
        <f t="shared" si="125"/>
        <v>0</v>
      </c>
      <c r="EP25" s="25">
        <f t="shared" si="84"/>
        <v>0</v>
      </c>
      <c r="EQ25" s="37">
        <v>0</v>
      </c>
      <c r="ER25" s="25">
        <f t="shared" si="136"/>
        <v>0</v>
      </c>
      <c r="ES25" s="25">
        <f t="shared" si="137"/>
        <v>0</v>
      </c>
      <c r="ET25" s="25">
        <f t="shared" si="85"/>
        <v>0</v>
      </c>
      <c r="EU25" s="25">
        <f t="shared" si="86"/>
        <v>0</v>
      </c>
      <c r="EV25" s="37">
        <v>0</v>
      </c>
      <c r="EW25" s="25">
        <f t="shared" si="138"/>
        <v>0</v>
      </c>
      <c r="EX25" s="25">
        <f t="shared" si="87"/>
        <v>0</v>
      </c>
      <c r="EY25" s="25">
        <f t="shared" si="8"/>
        <v>0</v>
      </c>
      <c r="EZ25" s="37">
        <v>0</v>
      </c>
      <c r="FA25" s="25">
        <f t="shared" si="139"/>
        <v>0</v>
      </c>
      <c r="FB25" s="25"/>
      <c r="FC25" s="25">
        <f t="shared" si="88"/>
        <v>0</v>
      </c>
      <c r="FD25" s="25"/>
      <c r="FE25" s="25"/>
      <c r="FF25" s="25">
        <f t="shared" si="89"/>
        <v>0</v>
      </c>
      <c r="FG25" s="37"/>
      <c r="FH25" s="25">
        <f t="shared" si="90"/>
        <v>0</v>
      </c>
      <c r="FI25" s="25"/>
      <c r="FJ25" s="37"/>
      <c r="FK25" s="37">
        <f t="shared" si="91"/>
        <v>0</v>
      </c>
      <c r="FL25" s="37">
        <f t="shared" si="92"/>
        <v>0</v>
      </c>
      <c r="FM25" s="37"/>
      <c r="FN25" s="37">
        <f t="shared" si="93"/>
        <v>0</v>
      </c>
      <c r="FO25" s="37">
        <f t="shared" si="94"/>
        <v>0</v>
      </c>
      <c r="FP25" s="37">
        <f t="shared" si="95"/>
        <v>0</v>
      </c>
      <c r="FQ25" s="37"/>
      <c r="FR25" s="37"/>
      <c r="FS25" s="37">
        <f t="shared" si="96"/>
        <v>0</v>
      </c>
      <c r="FT25" s="37">
        <f t="shared" si="97"/>
        <v>0</v>
      </c>
      <c r="FU25" s="37">
        <f t="shared" si="98"/>
        <v>0</v>
      </c>
      <c r="FV25" s="100"/>
      <c r="FW25" s="37"/>
      <c r="FX25" s="37">
        <f t="shared" si="99"/>
        <v>0</v>
      </c>
      <c r="FY25" s="37">
        <f t="shared" si="100"/>
        <v>0</v>
      </c>
      <c r="FZ25" s="37">
        <f t="shared" si="101"/>
        <v>0</v>
      </c>
      <c r="GA25" s="37">
        <f t="shared" si="102"/>
        <v>0</v>
      </c>
      <c r="GB25" s="107"/>
      <c r="GC25" s="37"/>
      <c r="GD25" s="26"/>
      <c r="GE25" s="37">
        <f t="shared" si="103"/>
        <v>0</v>
      </c>
      <c r="GF25" s="38"/>
      <c r="GG25" s="37">
        <f t="shared" si="104"/>
        <v>0</v>
      </c>
      <c r="GH25" s="26">
        <f t="shared" si="9"/>
        <v>0</v>
      </c>
      <c r="GI25" s="37">
        <f t="shared" si="10"/>
        <v>0</v>
      </c>
      <c r="GJ25" s="37">
        <f t="shared" si="11"/>
        <v>0</v>
      </c>
      <c r="GK25" s="37">
        <f t="shared" si="12"/>
        <v>0</v>
      </c>
      <c r="GL25" s="37">
        <f t="shared" si="13"/>
        <v>0</v>
      </c>
      <c r="GM25" s="107"/>
      <c r="GN25" s="115"/>
      <c r="GO25" s="113">
        <f t="shared" si="105"/>
        <v>0</v>
      </c>
      <c r="GP25" s="113"/>
      <c r="GQ25" s="113">
        <f t="shared" si="106"/>
        <v>0</v>
      </c>
      <c r="GR25" s="113"/>
      <c r="GS25" s="128">
        <v>0</v>
      </c>
      <c r="GT25" s="128">
        <v>0</v>
      </c>
      <c r="GU25" s="123"/>
      <c r="GV25" s="115"/>
      <c r="GW25" s="99"/>
      <c r="GX25" s="128">
        <f t="shared" si="108"/>
        <v>0</v>
      </c>
      <c r="GY25" s="128">
        <f t="shared" si="109"/>
        <v>0</v>
      </c>
      <c r="GZ25" s="115"/>
      <c r="HA25" s="99"/>
      <c r="HB25" s="128">
        <f t="shared" si="110"/>
        <v>0</v>
      </c>
      <c r="HC25" s="128">
        <f t="shared" si="111"/>
        <v>0</v>
      </c>
      <c r="HD25" s="128">
        <f t="shared" si="112"/>
        <v>0</v>
      </c>
      <c r="HE25" s="115"/>
      <c r="HF25" s="99"/>
      <c r="HG25" s="128">
        <f t="shared" si="126"/>
        <v>0</v>
      </c>
      <c r="HH25" s="128">
        <f t="shared" si="113"/>
        <v>0</v>
      </c>
      <c r="HI25" s="128">
        <f t="shared" si="114"/>
        <v>0</v>
      </c>
      <c r="HJ25" s="115"/>
      <c r="HK25" s="99"/>
      <c r="HL25" s="128">
        <f t="shared" si="115"/>
        <v>0</v>
      </c>
      <c r="HM25" s="128">
        <f t="shared" si="116"/>
        <v>0</v>
      </c>
      <c r="HN25" s="128">
        <f t="shared" si="117"/>
        <v>0</v>
      </c>
      <c r="HO25" s="128">
        <f t="shared" si="118"/>
        <v>0</v>
      </c>
      <c r="HP25" s="115"/>
      <c r="HQ25" s="99"/>
      <c r="HR25" s="128">
        <f t="shared" si="14"/>
        <v>0</v>
      </c>
      <c r="HS25" s="128">
        <f t="shared" si="15"/>
        <v>0</v>
      </c>
      <c r="HT25" s="128">
        <f t="shared" si="16"/>
        <v>0</v>
      </c>
      <c r="HU25" s="128">
        <f t="shared" si="17"/>
        <v>0</v>
      </c>
      <c r="HV25" s="115"/>
      <c r="HW25" s="99"/>
      <c r="HX25" s="128">
        <f t="shared" si="18"/>
        <v>0</v>
      </c>
      <c r="HY25" s="128">
        <f t="shared" si="19"/>
        <v>0</v>
      </c>
      <c r="HZ25" s="128">
        <f t="shared" si="119"/>
        <v>0</v>
      </c>
      <c r="IA25" s="115"/>
      <c r="IB25" s="99"/>
      <c r="IC25" s="115"/>
      <c r="ID25" s="128">
        <f t="shared" si="20"/>
        <v>0</v>
      </c>
      <c r="IE25" s="164">
        <f t="shared" si="21"/>
        <v>0</v>
      </c>
      <c r="IF25" s="185">
        <v>0</v>
      </c>
      <c r="IG25" s="40">
        <f t="shared" si="120"/>
        <v>0</v>
      </c>
      <c r="IH25" s="115"/>
    </row>
    <row r="26" spans="1:244" ht="12.75" x14ac:dyDescent="0.2">
      <c r="A26" s="19" t="s">
        <v>19</v>
      </c>
      <c r="B26" s="19"/>
      <c r="C26" s="52" t="s">
        <v>175</v>
      </c>
      <c r="D26" s="20">
        <v>5426986</v>
      </c>
      <c r="E26" s="21">
        <v>5426986</v>
      </c>
      <c r="F26" s="21">
        <v>5426986</v>
      </c>
      <c r="G26" s="21">
        <v>5426986</v>
      </c>
      <c r="H26" s="21"/>
      <c r="I26" s="21">
        <f t="shared" si="0"/>
        <v>5426986</v>
      </c>
      <c r="J26" s="22"/>
      <c r="K26" s="22"/>
      <c r="L26" s="22">
        <f t="shared" si="1"/>
        <v>0</v>
      </c>
      <c r="M26" s="23">
        <f t="shared" si="22"/>
        <v>5426986</v>
      </c>
      <c r="N26" s="23">
        <f>M26+J26</f>
        <v>5426986</v>
      </c>
      <c r="O26" s="23">
        <v>5426986</v>
      </c>
      <c r="P26" s="23">
        <v>5426986</v>
      </c>
      <c r="Q26" s="23">
        <v>5426986</v>
      </c>
      <c r="R26" s="23">
        <v>5426986</v>
      </c>
      <c r="S26" s="23">
        <v>0</v>
      </c>
      <c r="T26" s="23">
        <f t="shared" si="121"/>
        <v>0</v>
      </c>
      <c r="U26" s="23">
        <f t="shared" si="122"/>
        <v>5426986</v>
      </c>
      <c r="V26" s="23">
        <f t="shared" si="2"/>
        <v>0</v>
      </c>
      <c r="W26" s="24">
        <v>5426986</v>
      </c>
      <c r="X26" s="24"/>
      <c r="Y26" s="24">
        <f t="shared" si="23"/>
        <v>5426986</v>
      </c>
      <c r="Z26" s="25">
        <v>5426986</v>
      </c>
      <c r="AA26" s="25">
        <f t="shared" si="24"/>
        <v>0</v>
      </c>
      <c r="AB26" s="25">
        <v>5426986</v>
      </c>
      <c r="AC26" s="25">
        <v>5426986</v>
      </c>
      <c r="AD26" s="26">
        <v>5426986</v>
      </c>
      <c r="AE26" s="25"/>
      <c r="AF26" s="25"/>
      <c r="AG26" s="25"/>
      <c r="AH26" s="26">
        <v>5426986</v>
      </c>
      <c r="AI26" s="26">
        <v>5426986</v>
      </c>
      <c r="AJ26" s="25">
        <f t="shared" si="141"/>
        <v>0</v>
      </c>
      <c r="AK26" s="25">
        <f t="shared" si="25"/>
        <v>0</v>
      </c>
      <c r="AL26" s="25">
        <f t="shared" si="26"/>
        <v>0</v>
      </c>
      <c r="AM26" s="26">
        <f t="shared" si="27"/>
        <v>0</v>
      </c>
      <c r="AN26" s="26">
        <f t="shared" si="28"/>
        <v>0</v>
      </c>
      <c r="AO26" s="26">
        <f t="shared" si="4"/>
        <v>0</v>
      </c>
      <c r="AP26" s="25">
        <v>5426986</v>
      </c>
      <c r="AQ26" s="25">
        <f t="shared" si="5"/>
        <v>0</v>
      </c>
      <c r="AR26" s="25">
        <f t="shared" si="29"/>
        <v>0</v>
      </c>
      <c r="AS26" s="25">
        <f t="shared" si="30"/>
        <v>0</v>
      </c>
      <c r="AT26" s="25"/>
      <c r="AU26" s="25">
        <f t="shared" si="31"/>
        <v>5426986</v>
      </c>
      <c r="AV26" s="25">
        <v>5426986</v>
      </c>
      <c r="AW26" s="25">
        <f t="shared" si="32"/>
        <v>0</v>
      </c>
      <c r="AX26" s="25">
        <v>5426986</v>
      </c>
      <c r="AY26" s="26">
        <f t="shared" si="123"/>
        <v>0</v>
      </c>
      <c r="AZ26" s="26">
        <f t="shared" si="124"/>
        <v>0</v>
      </c>
      <c r="BA26" s="25">
        <v>5426986</v>
      </c>
      <c r="BB26" s="25">
        <f t="shared" si="33"/>
        <v>0</v>
      </c>
      <c r="BC26" s="25">
        <f t="shared" si="34"/>
        <v>0</v>
      </c>
      <c r="BD26" s="25">
        <f t="shared" si="35"/>
        <v>0</v>
      </c>
      <c r="BE26" s="25">
        <v>5426986</v>
      </c>
      <c r="BF26" s="25">
        <v>5426986</v>
      </c>
      <c r="BG26" s="25">
        <v>5426986</v>
      </c>
      <c r="BH26" s="25">
        <f t="shared" si="36"/>
        <v>0</v>
      </c>
      <c r="BI26" s="25">
        <f t="shared" si="37"/>
        <v>0</v>
      </c>
      <c r="BJ26" s="25">
        <f t="shared" si="38"/>
        <v>0</v>
      </c>
      <c r="BK26" s="8">
        <f t="shared" si="39"/>
        <v>0</v>
      </c>
      <c r="BL26" s="25"/>
      <c r="BM26" s="29">
        <f t="shared" si="40"/>
        <v>5426986</v>
      </c>
      <c r="BN26" s="38">
        <v>5426986</v>
      </c>
      <c r="BO26" s="27">
        <f t="shared" si="41"/>
        <v>0</v>
      </c>
      <c r="BP26" s="38">
        <v>5426986</v>
      </c>
      <c r="BQ26" s="41">
        <f t="shared" si="42"/>
        <v>0</v>
      </c>
      <c r="BR26" s="41">
        <f t="shared" si="43"/>
        <v>0</v>
      </c>
      <c r="BS26" s="38">
        <f>BP26</f>
        <v>5426986</v>
      </c>
      <c r="BT26" s="42">
        <f t="shared" si="44"/>
        <v>0</v>
      </c>
      <c r="BU26" s="42">
        <f t="shared" si="45"/>
        <v>0</v>
      </c>
      <c r="BV26" s="42">
        <f t="shared" si="46"/>
        <v>0</v>
      </c>
      <c r="BW26" s="38">
        <v>5426986</v>
      </c>
      <c r="BX26" s="41">
        <f t="shared" si="47"/>
        <v>0</v>
      </c>
      <c r="BY26" s="41">
        <f t="shared" si="48"/>
        <v>0</v>
      </c>
      <c r="BZ26" s="41">
        <f t="shared" si="49"/>
        <v>0</v>
      </c>
      <c r="CA26" s="38">
        <v>5426986</v>
      </c>
      <c r="CB26" s="8">
        <f t="shared" si="50"/>
        <v>0</v>
      </c>
      <c r="CC26" s="8">
        <f t="shared" si="51"/>
        <v>0</v>
      </c>
      <c r="CD26" s="8">
        <f t="shared" si="6"/>
        <v>0</v>
      </c>
      <c r="CE26" s="8">
        <f t="shared" si="52"/>
        <v>0</v>
      </c>
      <c r="CF26" s="38">
        <v>5426986</v>
      </c>
      <c r="CG26" s="8">
        <f t="shared" si="53"/>
        <v>0</v>
      </c>
      <c r="CH26" s="8">
        <f t="shared" si="54"/>
        <v>0</v>
      </c>
      <c r="CI26" s="8">
        <f t="shared" si="55"/>
        <v>0</v>
      </c>
      <c r="CJ26" s="8">
        <f t="shared" si="56"/>
        <v>0</v>
      </c>
      <c r="CK26" s="38">
        <v>5426986</v>
      </c>
      <c r="CL26" s="8">
        <f t="shared" si="7"/>
        <v>0</v>
      </c>
      <c r="CM26" s="8">
        <f t="shared" si="57"/>
        <v>0</v>
      </c>
      <c r="CN26" s="8">
        <f t="shared" si="58"/>
        <v>0</v>
      </c>
      <c r="CO26" s="38">
        <v>5426986</v>
      </c>
      <c r="CP26" s="38">
        <f t="shared" si="59"/>
        <v>0</v>
      </c>
      <c r="CQ26" s="8">
        <f t="shared" si="60"/>
        <v>0</v>
      </c>
      <c r="CR26" s="38">
        <v>5426986</v>
      </c>
      <c r="CS26" s="27"/>
      <c r="CT26" s="38">
        <f t="shared" si="61"/>
        <v>5426986</v>
      </c>
      <c r="CU26" s="8">
        <f t="shared" si="62"/>
        <v>0</v>
      </c>
      <c r="CV26" s="38">
        <f t="shared" si="63"/>
        <v>0</v>
      </c>
      <c r="CW26" s="38">
        <f t="shared" si="64"/>
        <v>0</v>
      </c>
      <c r="CX26" s="38">
        <v>5426986</v>
      </c>
      <c r="CY26" s="8">
        <f t="shared" si="65"/>
        <v>0</v>
      </c>
      <c r="CZ26" s="38">
        <f t="shared" si="66"/>
        <v>0</v>
      </c>
      <c r="DA26" s="38">
        <f t="shared" si="67"/>
        <v>0</v>
      </c>
      <c r="DB26" s="38">
        <v>5426986</v>
      </c>
      <c r="DC26" s="8">
        <f t="shared" si="68"/>
        <v>0</v>
      </c>
      <c r="DD26" s="38">
        <f t="shared" si="69"/>
        <v>0</v>
      </c>
      <c r="DE26" s="38">
        <f t="shared" si="70"/>
        <v>0</v>
      </c>
      <c r="DF26" s="38">
        <f t="shared" si="71"/>
        <v>0</v>
      </c>
      <c r="DG26" s="38">
        <v>5426986</v>
      </c>
      <c r="DH26" s="40">
        <f t="shared" si="72"/>
        <v>0</v>
      </c>
      <c r="DI26" s="38">
        <f t="shared" si="73"/>
        <v>0</v>
      </c>
      <c r="DJ26" s="38">
        <f t="shared" si="74"/>
        <v>0</v>
      </c>
      <c r="DK26" s="38">
        <f t="shared" si="75"/>
        <v>0</v>
      </c>
      <c r="DL26" s="38"/>
      <c r="DM26" s="38">
        <f t="shared" si="76"/>
        <v>5426986</v>
      </c>
      <c r="DN26" s="38">
        <v>5426986</v>
      </c>
      <c r="DO26" s="38">
        <f t="shared" si="77"/>
        <v>0</v>
      </c>
      <c r="DP26" s="38"/>
      <c r="DQ26" s="38">
        <v>0</v>
      </c>
      <c r="DR26" s="38">
        <f t="shared" si="78"/>
        <v>5426986</v>
      </c>
      <c r="DS26" s="38">
        <f t="shared" si="79"/>
        <v>0</v>
      </c>
      <c r="DT26" s="38"/>
      <c r="DU26" s="38">
        <f t="shared" si="80"/>
        <v>5426986</v>
      </c>
      <c r="DV26" s="38">
        <f t="shared" si="81"/>
        <v>0</v>
      </c>
      <c r="DW26" s="38">
        <v>5426986</v>
      </c>
      <c r="DX26" s="38">
        <v>5426986</v>
      </c>
      <c r="DY26" s="8">
        <f t="shared" si="127"/>
        <v>0</v>
      </c>
      <c r="DZ26" s="40">
        <v>5426986</v>
      </c>
      <c r="EA26" s="8">
        <f t="shared" si="128"/>
        <v>0</v>
      </c>
      <c r="EB26" s="8">
        <f t="shared" si="129"/>
        <v>0</v>
      </c>
      <c r="EC26" s="60"/>
      <c r="ED26" s="37">
        <v>5426986</v>
      </c>
      <c r="EE26" s="25">
        <f t="shared" si="130"/>
        <v>0</v>
      </c>
      <c r="EF26" s="25">
        <f t="shared" si="131"/>
        <v>0</v>
      </c>
      <c r="EG26" s="25">
        <f t="shared" si="82"/>
        <v>0</v>
      </c>
      <c r="EH26" s="37">
        <v>5426986</v>
      </c>
      <c r="EI26" s="25">
        <f t="shared" si="132"/>
        <v>0</v>
      </c>
      <c r="EJ26" s="25">
        <f t="shared" si="133"/>
        <v>0</v>
      </c>
      <c r="EK26" s="25">
        <f t="shared" si="83"/>
        <v>0</v>
      </c>
      <c r="EL26" s="37">
        <v>5426986</v>
      </c>
      <c r="EM26" s="25">
        <f t="shared" si="134"/>
        <v>0</v>
      </c>
      <c r="EN26" s="25">
        <f t="shared" si="135"/>
        <v>0</v>
      </c>
      <c r="EO26" s="25">
        <f t="shared" si="125"/>
        <v>0</v>
      </c>
      <c r="EP26" s="25">
        <f t="shared" si="84"/>
        <v>0</v>
      </c>
      <c r="EQ26" s="37">
        <v>5426986</v>
      </c>
      <c r="ER26" s="25">
        <f t="shared" si="136"/>
        <v>0</v>
      </c>
      <c r="ES26" s="25">
        <f t="shared" si="137"/>
        <v>0</v>
      </c>
      <c r="ET26" s="25">
        <f t="shared" si="85"/>
        <v>0</v>
      </c>
      <c r="EU26" s="25">
        <f t="shared" si="86"/>
        <v>0</v>
      </c>
      <c r="EV26" s="37">
        <v>5426986</v>
      </c>
      <c r="EW26" s="25">
        <f t="shared" si="138"/>
        <v>0</v>
      </c>
      <c r="EX26" s="25">
        <f t="shared" si="87"/>
        <v>0</v>
      </c>
      <c r="EY26" s="25">
        <f t="shared" si="8"/>
        <v>0</v>
      </c>
      <c r="EZ26" s="37">
        <v>5426986</v>
      </c>
      <c r="FA26" s="25">
        <f t="shared" si="139"/>
        <v>0</v>
      </c>
      <c r="FB26" s="25"/>
      <c r="FC26" s="25">
        <f t="shared" si="88"/>
        <v>5426986</v>
      </c>
      <c r="FD26" s="25"/>
      <c r="FE26" s="25"/>
      <c r="FF26" s="25">
        <f t="shared" si="89"/>
        <v>5426986</v>
      </c>
      <c r="FG26" s="37">
        <v>5426986</v>
      </c>
      <c r="FH26" s="25">
        <f t="shared" si="90"/>
        <v>0</v>
      </c>
      <c r="FI26" s="25"/>
      <c r="FJ26" s="37">
        <v>5426986</v>
      </c>
      <c r="FK26" s="37">
        <f t="shared" si="91"/>
        <v>0</v>
      </c>
      <c r="FL26" s="37">
        <f t="shared" si="92"/>
        <v>0</v>
      </c>
      <c r="FM26" s="37">
        <v>5426986</v>
      </c>
      <c r="FN26" s="37">
        <f t="shared" si="93"/>
        <v>0</v>
      </c>
      <c r="FO26" s="37">
        <f t="shared" si="94"/>
        <v>0</v>
      </c>
      <c r="FP26" s="37">
        <f t="shared" si="95"/>
        <v>0</v>
      </c>
      <c r="FQ26" s="37"/>
      <c r="FR26" s="37">
        <v>5426986</v>
      </c>
      <c r="FS26" s="37">
        <f t="shared" si="96"/>
        <v>0</v>
      </c>
      <c r="FT26" s="37">
        <f t="shared" si="97"/>
        <v>0</v>
      </c>
      <c r="FU26" s="37">
        <f t="shared" si="98"/>
        <v>0</v>
      </c>
      <c r="FV26" s="100"/>
      <c r="FW26" s="37">
        <v>5426986</v>
      </c>
      <c r="FX26" s="37">
        <f t="shared" si="99"/>
        <v>0</v>
      </c>
      <c r="FY26" s="37">
        <f t="shared" si="100"/>
        <v>0</v>
      </c>
      <c r="FZ26" s="37">
        <f t="shared" si="101"/>
        <v>0</v>
      </c>
      <c r="GA26" s="37">
        <f t="shared" si="102"/>
        <v>0</v>
      </c>
      <c r="GB26" s="107"/>
      <c r="GC26" s="37">
        <v>5426986</v>
      </c>
      <c r="GD26" s="26"/>
      <c r="GE26" s="37">
        <f t="shared" si="103"/>
        <v>5426986</v>
      </c>
      <c r="GF26" s="38"/>
      <c r="GG26" s="37">
        <f t="shared" si="104"/>
        <v>5426986</v>
      </c>
      <c r="GH26" s="26">
        <f t="shared" si="9"/>
        <v>0</v>
      </c>
      <c r="GI26" s="37">
        <f t="shared" si="10"/>
        <v>0</v>
      </c>
      <c r="GJ26" s="37">
        <f t="shared" si="11"/>
        <v>0</v>
      </c>
      <c r="GK26" s="37">
        <f t="shared" si="12"/>
        <v>0</v>
      </c>
      <c r="GL26" s="37">
        <f t="shared" si="13"/>
        <v>0</v>
      </c>
      <c r="GM26" s="107"/>
      <c r="GN26" s="115"/>
      <c r="GO26" s="113">
        <f t="shared" si="105"/>
        <v>5426986</v>
      </c>
      <c r="GP26" s="113"/>
      <c r="GQ26" s="113">
        <f t="shared" si="106"/>
        <v>5426986</v>
      </c>
      <c r="GR26" s="113"/>
      <c r="GS26" s="128">
        <v>5426986</v>
      </c>
      <c r="GT26" s="128">
        <v>5426986</v>
      </c>
      <c r="GU26" s="123">
        <f t="shared" ref="GU26:GU32" si="144">GT26-GS26</f>
        <v>0</v>
      </c>
      <c r="GV26" s="115"/>
      <c r="GW26" s="99">
        <v>5426986</v>
      </c>
      <c r="GX26" s="128">
        <f t="shared" si="108"/>
        <v>0</v>
      </c>
      <c r="GY26" s="128">
        <f t="shared" si="109"/>
        <v>0</v>
      </c>
      <c r="GZ26" s="115"/>
      <c r="HA26" s="99">
        <v>5426986</v>
      </c>
      <c r="HB26" s="128">
        <f t="shared" si="110"/>
        <v>0</v>
      </c>
      <c r="HC26" s="128">
        <f t="shared" si="111"/>
        <v>0</v>
      </c>
      <c r="HD26" s="128">
        <f t="shared" si="112"/>
        <v>0</v>
      </c>
      <c r="HE26" s="115"/>
      <c r="HF26" s="99">
        <v>5426986</v>
      </c>
      <c r="HG26" s="128">
        <f t="shared" si="126"/>
        <v>0</v>
      </c>
      <c r="HH26" s="128">
        <f t="shared" si="113"/>
        <v>0</v>
      </c>
      <c r="HI26" s="128">
        <f t="shared" si="114"/>
        <v>0</v>
      </c>
      <c r="HJ26" s="115"/>
      <c r="HK26" s="99">
        <v>5426986</v>
      </c>
      <c r="HL26" s="128">
        <f t="shared" si="115"/>
        <v>0</v>
      </c>
      <c r="HM26" s="128">
        <f t="shared" si="116"/>
        <v>0</v>
      </c>
      <c r="HN26" s="128">
        <f t="shared" si="117"/>
        <v>0</v>
      </c>
      <c r="HO26" s="128">
        <f t="shared" si="118"/>
        <v>0</v>
      </c>
      <c r="HP26" s="115"/>
      <c r="HQ26" s="99">
        <v>5314176</v>
      </c>
      <c r="HR26" s="128">
        <f t="shared" si="14"/>
        <v>-112810</v>
      </c>
      <c r="HS26" s="128">
        <f t="shared" si="15"/>
        <v>-112810</v>
      </c>
      <c r="HT26" s="128">
        <f t="shared" si="16"/>
        <v>-112810</v>
      </c>
      <c r="HU26" s="128">
        <f t="shared" si="17"/>
        <v>-112810</v>
      </c>
      <c r="HV26" s="115"/>
      <c r="HW26" s="99">
        <v>5314176</v>
      </c>
      <c r="HX26" s="128">
        <f t="shared" si="18"/>
        <v>-112810</v>
      </c>
      <c r="HY26" s="128">
        <f t="shared" si="19"/>
        <v>-112810</v>
      </c>
      <c r="HZ26" s="128">
        <f t="shared" si="119"/>
        <v>0</v>
      </c>
      <c r="IA26" s="115"/>
      <c r="IB26" s="99">
        <v>5314176</v>
      </c>
      <c r="IC26" s="115"/>
      <c r="ID26" s="128">
        <f t="shared" si="20"/>
        <v>5314176</v>
      </c>
      <c r="IE26" s="164">
        <f t="shared" si="21"/>
        <v>-112810</v>
      </c>
      <c r="IF26" s="185">
        <v>5314176</v>
      </c>
      <c r="IG26" s="40">
        <f t="shared" si="120"/>
        <v>0</v>
      </c>
      <c r="IH26" s="115"/>
    </row>
    <row r="27" spans="1:244" ht="24" x14ac:dyDescent="0.2">
      <c r="A27" s="17" t="s">
        <v>20</v>
      </c>
      <c r="B27" s="18"/>
      <c r="C27" s="52" t="s">
        <v>31</v>
      </c>
      <c r="D27" s="20">
        <v>4277635</v>
      </c>
      <c r="E27" s="21">
        <v>4277635</v>
      </c>
      <c r="F27" s="21">
        <v>4177635</v>
      </c>
      <c r="G27" s="21">
        <v>4177632</v>
      </c>
      <c r="H27" s="21"/>
      <c r="I27" s="21">
        <f t="shared" si="0"/>
        <v>4177632</v>
      </c>
      <c r="J27" s="22"/>
      <c r="K27" s="22"/>
      <c r="L27" s="22">
        <f t="shared" si="1"/>
        <v>0</v>
      </c>
      <c r="M27" s="23">
        <f t="shared" si="22"/>
        <v>4177632</v>
      </c>
      <c r="N27" s="23">
        <v>4177632</v>
      </c>
      <c r="O27" s="23">
        <v>4121215</v>
      </c>
      <c r="P27" s="23">
        <v>4121215</v>
      </c>
      <c r="Q27" s="23">
        <v>4177632</v>
      </c>
      <c r="R27" s="23">
        <v>4121215</v>
      </c>
      <c r="S27" s="23">
        <v>0</v>
      </c>
      <c r="T27" s="23">
        <f t="shared" si="121"/>
        <v>0</v>
      </c>
      <c r="U27" s="23">
        <f t="shared" si="122"/>
        <v>4121215</v>
      </c>
      <c r="V27" s="23">
        <f t="shared" si="2"/>
        <v>-56417</v>
      </c>
      <c r="W27" s="24">
        <v>4121215</v>
      </c>
      <c r="X27" s="24"/>
      <c r="Y27" s="24">
        <f t="shared" si="23"/>
        <v>4121215</v>
      </c>
      <c r="Z27" s="25">
        <v>4411611</v>
      </c>
      <c r="AA27" s="25">
        <f t="shared" si="24"/>
        <v>290396</v>
      </c>
      <c r="AB27" s="25">
        <v>4121215</v>
      </c>
      <c r="AC27" s="25">
        <v>4121215</v>
      </c>
      <c r="AD27" s="26">
        <v>4121215</v>
      </c>
      <c r="AE27" s="25"/>
      <c r="AF27" s="25"/>
      <c r="AG27" s="25">
        <f>AC27-Z27</f>
        <v>-290396</v>
      </c>
      <c r="AH27" s="26">
        <v>4121215</v>
      </c>
      <c r="AI27" s="26">
        <v>4121215</v>
      </c>
      <c r="AJ27" s="25">
        <f t="shared" si="141"/>
        <v>0</v>
      </c>
      <c r="AK27" s="25">
        <f t="shared" si="25"/>
        <v>-290396</v>
      </c>
      <c r="AL27" s="25">
        <f t="shared" si="26"/>
        <v>0</v>
      </c>
      <c r="AM27" s="26">
        <f t="shared" si="27"/>
        <v>0</v>
      </c>
      <c r="AN27" s="26">
        <f t="shared" si="28"/>
        <v>-290396</v>
      </c>
      <c r="AO27" s="26">
        <f t="shared" si="4"/>
        <v>0</v>
      </c>
      <c r="AP27" s="25">
        <v>4121215</v>
      </c>
      <c r="AQ27" s="25">
        <f t="shared" si="5"/>
        <v>0</v>
      </c>
      <c r="AR27" s="25">
        <f t="shared" si="29"/>
        <v>-290396</v>
      </c>
      <c r="AS27" s="25">
        <f t="shared" si="30"/>
        <v>0</v>
      </c>
      <c r="AT27" s="25"/>
      <c r="AU27" s="25">
        <f t="shared" si="31"/>
        <v>4121215</v>
      </c>
      <c r="AV27" s="25">
        <v>4121215</v>
      </c>
      <c r="AW27" s="25">
        <f t="shared" si="32"/>
        <v>0</v>
      </c>
      <c r="AX27" s="25">
        <v>4121216</v>
      </c>
      <c r="AY27" s="26">
        <f t="shared" si="123"/>
        <v>1</v>
      </c>
      <c r="AZ27" s="26">
        <f t="shared" si="124"/>
        <v>1</v>
      </c>
      <c r="BA27" s="25">
        <v>4121216</v>
      </c>
      <c r="BB27" s="25">
        <f t="shared" si="33"/>
        <v>1</v>
      </c>
      <c r="BC27" s="25">
        <f t="shared" si="34"/>
        <v>1</v>
      </c>
      <c r="BD27" s="25">
        <f t="shared" si="35"/>
        <v>0</v>
      </c>
      <c r="BE27" s="25">
        <v>4121215</v>
      </c>
      <c r="BF27" s="25">
        <v>4121215</v>
      </c>
      <c r="BG27" s="25">
        <v>4121215</v>
      </c>
      <c r="BH27" s="25">
        <f t="shared" si="36"/>
        <v>0</v>
      </c>
      <c r="BI27" s="25">
        <f t="shared" si="37"/>
        <v>0</v>
      </c>
      <c r="BJ27" s="25">
        <f t="shared" si="38"/>
        <v>-1</v>
      </c>
      <c r="BK27" s="8">
        <f t="shared" si="39"/>
        <v>0</v>
      </c>
      <c r="BL27" s="25"/>
      <c r="BM27" s="29">
        <f t="shared" si="40"/>
        <v>4121215</v>
      </c>
      <c r="BN27" s="38">
        <v>4121215</v>
      </c>
      <c r="BO27" s="27">
        <f t="shared" si="41"/>
        <v>0</v>
      </c>
      <c r="BP27" s="38">
        <v>4396215</v>
      </c>
      <c r="BQ27" s="41">
        <f t="shared" si="42"/>
        <v>275000</v>
      </c>
      <c r="BR27" s="41">
        <f t="shared" si="43"/>
        <v>275000</v>
      </c>
      <c r="BS27" s="38">
        <f>BP27</f>
        <v>4396215</v>
      </c>
      <c r="BT27" s="42">
        <f t="shared" si="44"/>
        <v>275000</v>
      </c>
      <c r="BU27" s="42">
        <f t="shared" si="45"/>
        <v>275000</v>
      </c>
      <c r="BV27" s="42">
        <f t="shared" si="46"/>
        <v>0</v>
      </c>
      <c r="BW27" s="38">
        <v>4121215</v>
      </c>
      <c r="BX27" s="41">
        <f t="shared" si="47"/>
        <v>0</v>
      </c>
      <c r="BY27" s="41">
        <f t="shared" si="48"/>
        <v>0</v>
      </c>
      <c r="BZ27" s="41">
        <f t="shared" si="49"/>
        <v>-275000</v>
      </c>
      <c r="CA27" s="38">
        <v>4121215</v>
      </c>
      <c r="CB27" s="8">
        <f t="shared" si="50"/>
        <v>0</v>
      </c>
      <c r="CC27" s="8">
        <f t="shared" si="51"/>
        <v>0</v>
      </c>
      <c r="CD27" s="8">
        <f t="shared" si="6"/>
        <v>-275000</v>
      </c>
      <c r="CE27" s="8">
        <f t="shared" si="52"/>
        <v>0</v>
      </c>
      <c r="CF27" s="38">
        <v>4396215</v>
      </c>
      <c r="CG27" s="8">
        <f t="shared" si="53"/>
        <v>275000</v>
      </c>
      <c r="CH27" s="8">
        <f t="shared" si="54"/>
        <v>275000</v>
      </c>
      <c r="CI27" s="8">
        <f t="shared" si="55"/>
        <v>0</v>
      </c>
      <c r="CJ27" s="8">
        <f t="shared" si="56"/>
        <v>275000</v>
      </c>
      <c r="CK27" s="38">
        <f>4396215</f>
        <v>4396215</v>
      </c>
      <c r="CL27" s="8">
        <f t="shared" si="7"/>
        <v>275000</v>
      </c>
      <c r="CM27" s="8">
        <f t="shared" si="57"/>
        <v>275000</v>
      </c>
      <c r="CN27" s="8">
        <f t="shared" si="58"/>
        <v>0</v>
      </c>
      <c r="CO27" s="38">
        <v>4321324</v>
      </c>
      <c r="CP27" s="38">
        <f t="shared" si="59"/>
        <v>200109</v>
      </c>
      <c r="CQ27" s="8">
        <f t="shared" si="60"/>
        <v>-74891</v>
      </c>
      <c r="CR27" s="38">
        <v>4421323</v>
      </c>
      <c r="CS27" s="27"/>
      <c r="CT27" s="38">
        <f t="shared" si="61"/>
        <v>4421323</v>
      </c>
      <c r="CU27" s="8">
        <f t="shared" si="62"/>
        <v>25108</v>
      </c>
      <c r="CV27" s="38">
        <f t="shared" si="63"/>
        <v>99999</v>
      </c>
      <c r="CW27" s="38">
        <f t="shared" si="64"/>
        <v>0</v>
      </c>
      <c r="CX27" s="38">
        <v>4121215</v>
      </c>
      <c r="CY27" s="8">
        <f t="shared" si="65"/>
        <v>-275000</v>
      </c>
      <c r="CZ27" s="38">
        <f t="shared" si="66"/>
        <v>-200109</v>
      </c>
      <c r="DA27" s="38">
        <f t="shared" si="67"/>
        <v>-300108</v>
      </c>
      <c r="DB27" s="38">
        <v>4121215</v>
      </c>
      <c r="DC27" s="8">
        <f t="shared" si="68"/>
        <v>-275000</v>
      </c>
      <c r="DD27" s="38">
        <f t="shared" si="69"/>
        <v>-200109</v>
      </c>
      <c r="DE27" s="38">
        <f t="shared" si="70"/>
        <v>-300108</v>
      </c>
      <c r="DF27" s="38">
        <f t="shared" si="71"/>
        <v>0</v>
      </c>
      <c r="DG27" s="38">
        <v>4421323</v>
      </c>
      <c r="DH27" s="40">
        <f t="shared" si="72"/>
        <v>25108</v>
      </c>
      <c r="DI27" s="38">
        <f t="shared" si="73"/>
        <v>99999</v>
      </c>
      <c r="DJ27" s="38">
        <f t="shared" si="74"/>
        <v>0</v>
      </c>
      <c r="DK27" s="38">
        <f t="shared" si="75"/>
        <v>300108</v>
      </c>
      <c r="DL27" s="38"/>
      <c r="DM27" s="38">
        <f t="shared" si="76"/>
        <v>4421323</v>
      </c>
      <c r="DN27" s="38">
        <v>4421323</v>
      </c>
      <c r="DO27" s="38">
        <f t="shared" si="77"/>
        <v>25108</v>
      </c>
      <c r="DP27" s="38"/>
      <c r="DQ27" s="38">
        <v>0</v>
      </c>
      <c r="DR27" s="38">
        <f t="shared" si="78"/>
        <v>4421323</v>
      </c>
      <c r="DS27" s="38">
        <f t="shared" si="79"/>
        <v>25108</v>
      </c>
      <c r="DT27" s="38"/>
      <c r="DU27" s="38">
        <f t="shared" si="80"/>
        <v>4421323</v>
      </c>
      <c r="DV27" s="38">
        <f t="shared" si="81"/>
        <v>25108</v>
      </c>
      <c r="DW27" s="38">
        <v>4421323</v>
      </c>
      <c r="DX27" s="38">
        <v>4396323</v>
      </c>
      <c r="DY27" s="8">
        <f t="shared" si="127"/>
        <v>-25000</v>
      </c>
      <c r="DZ27" s="40">
        <v>4671323</v>
      </c>
      <c r="EA27" s="8">
        <f t="shared" si="128"/>
        <v>250000</v>
      </c>
      <c r="EB27" s="8">
        <f t="shared" si="129"/>
        <v>275000</v>
      </c>
      <c r="EC27" s="60"/>
      <c r="ED27" s="37">
        <v>4671323</v>
      </c>
      <c r="EE27" s="25">
        <f t="shared" si="130"/>
        <v>250000</v>
      </c>
      <c r="EF27" s="25">
        <f t="shared" si="131"/>
        <v>275000</v>
      </c>
      <c r="EG27" s="25">
        <f t="shared" si="82"/>
        <v>0</v>
      </c>
      <c r="EH27" s="37">
        <v>4396323</v>
      </c>
      <c r="EI27" s="25">
        <f t="shared" si="132"/>
        <v>-25000</v>
      </c>
      <c r="EJ27" s="25">
        <f t="shared" si="133"/>
        <v>0</v>
      </c>
      <c r="EK27" s="25">
        <f t="shared" si="83"/>
        <v>-275000</v>
      </c>
      <c r="EL27" s="37">
        <v>4396323</v>
      </c>
      <c r="EM27" s="25">
        <f t="shared" si="134"/>
        <v>-25000</v>
      </c>
      <c r="EN27" s="25">
        <f t="shared" si="135"/>
        <v>0</v>
      </c>
      <c r="EO27" s="25">
        <f t="shared" si="125"/>
        <v>-275000</v>
      </c>
      <c r="EP27" s="25">
        <f t="shared" si="84"/>
        <v>0</v>
      </c>
      <c r="EQ27" s="37">
        <v>4671323</v>
      </c>
      <c r="ER27" s="25">
        <f t="shared" si="136"/>
        <v>250000</v>
      </c>
      <c r="ES27" s="25">
        <f t="shared" si="137"/>
        <v>275000</v>
      </c>
      <c r="ET27" s="25">
        <f t="shared" si="85"/>
        <v>0</v>
      </c>
      <c r="EU27" s="25">
        <f t="shared" si="86"/>
        <v>275000</v>
      </c>
      <c r="EV27" s="37">
        <v>4671323</v>
      </c>
      <c r="EW27" s="25">
        <f t="shared" si="138"/>
        <v>250000</v>
      </c>
      <c r="EX27" s="25">
        <f t="shared" si="87"/>
        <v>0</v>
      </c>
      <c r="EY27" s="25">
        <f t="shared" si="8"/>
        <v>0</v>
      </c>
      <c r="EZ27" s="37">
        <v>4671323</v>
      </c>
      <c r="FA27" s="25">
        <f t="shared" si="139"/>
        <v>250000</v>
      </c>
      <c r="FB27" s="25"/>
      <c r="FC27" s="25">
        <f t="shared" si="88"/>
        <v>4671323</v>
      </c>
      <c r="FD27" s="25"/>
      <c r="FE27" s="25"/>
      <c r="FF27" s="25">
        <f t="shared" si="89"/>
        <v>4671323</v>
      </c>
      <c r="FG27" s="37">
        <v>4421322</v>
      </c>
      <c r="FH27" s="25">
        <f t="shared" si="90"/>
        <v>-250001</v>
      </c>
      <c r="FI27" s="37" t="s">
        <v>302</v>
      </c>
      <c r="FJ27" s="37">
        <v>4671324</v>
      </c>
      <c r="FK27" s="37">
        <f t="shared" si="91"/>
        <v>1</v>
      </c>
      <c r="FL27" s="37">
        <f t="shared" si="92"/>
        <v>250002</v>
      </c>
      <c r="FM27" s="37">
        <v>4671324</v>
      </c>
      <c r="FN27" s="37">
        <f t="shared" si="93"/>
        <v>1</v>
      </c>
      <c r="FO27" s="37">
        <f t="shared" si="94"/>
        <v>250002</v>
      </c>
      <c r="FP27" s="37">
        <f t="shared" si="95"/>
        <v>0</v>
      </c>
      <c r="FQ27" s="37" t="s">
        <v>313</v>
      </c>
      <c r="FR27" s="37">
        <v>4421322</v>
      </c>
      <c r="FS27" s="37">
        <f t="shared" si="96"/>
        <v>-250001</v>
      </c>
      <c r="FT27" s="37">
        <f t="shared" si="97"/>
        <v>0</v>
      </c>
      <c r="FU27" s="37">
        <f t="shared" si="98"/>
        <v>-250002</v>
      </c>
      <c r="FV27" s="100" t="s">
        <v>333</v>
      </c>
      <c r="FW27" s="37">
        <v>4421322</v>
      </c>
      <c r="FX27" s="37">
        <f t="shared" si="99"/>
        <v>-250001</v>
      </c>
      <c r="FY27" s="37">
        <f t="shared" si="100"/>
        <v>0</v>
      </c>
      <c r="FZ27" s="37">
        <f t="shared" si="101"/>
        <v>-250002</v>
      </c>
      <c r="GA27" s="37">
        <f t="shared" si="102"/>
        <v>0</v>
      </c>
      <c r="GB27" s="107"/>
      <c r="GC27" s="37">
        <v>4671322</v>
      </c>
      <c r="GD27" s="26">
        <v>-250000</v>
      </c>
      <c r="GE27" s="37">
        <f t="shared" si="103"/>
        <v>4421322</v>
      </c>
      <c r="GF27" s="38">
        <v>250000</v>
      </c>
      <c r="GG27" s="37">
        <f t="shared" si="104"/>
        <v>4671322</v>
      </c>
      <c r="GH27" s="26">
        <f t="shared" si="9"/>
        <v>-1</v>
      </c>
      <c r="GI27" s="37">
        <f t="shared" si="10"/>
        <v>250000</v>
      </c>
      <c r="GJ27" s="37">
        <f t="shared" si="11"/>
        <v>-2</v>
      </c>
      <c r="GK27" s="37">
        <f t="shared" si="12"/>
        <v>250000</v>
      </c>
      <c r="GL27" s="37">
        <f t="shared" si="13"/>
        <v>0</v>
      </c>
      <c r="GM27" s="107" t="s">
        <v>354</v>
      </c>
      <c r="GN27" s="115"/>
      <c r="GO27" s="113">
        <f t="shared" si="105"/>
        <v>4671322</v>
      </c>
      <c r="GP27" s="113"/>
      <c r="GQ27" s="113">
        <f t="shared" si="106"/>
        <v>4671322</v>
      </c>
      <c r="GR27" s="113">
        <v>-250000</v>
      </c>
      <c r="GS27" s="128">
        <v>4421322</v>
      </c>
      <c r="GT27" s="128">
        <v>4416446</v>
      </c>
      <c r="GU27" s="123">
        <f t="shared" si="144"/>
        <v>-4876</v>
      </c>
      <c r="GV27" s="115"/>
      <c r="GW27" s="99">
        <v>4666445</v>
      </c>
      <c r="GX27" s="128">
        <f t="shared" si="108"/>
        <v>245123</v>
      </c>
      <c r="GY27" s="128">
        <f t="shared" si="109"/>
        <v>249999</v>
      </c>
      <c r="GZ27" s="115" t="s">
        <v>394</v>
      </c>
      <c r="HA27" s="99">
        <v>4666445</v>
      </c>
      <c r="HB27" s="128">
        <f t="shared" si="110"/>
        <v>245123</v>
      </c>
      <c r="HC27" s="128">
        <f t="shared" si="111"/>
        <v>249999</v>
      </c>
      <c r="HD27" s="128">
        <f t="shared" si="112"/>
        <v>0</v>
      </c>
      <c r="HE27" s="115" t="s">
        <v>394</v>
      </c>
      <c r="HF27" s="99">
        <v>4416446</v>
      </c>
      <c r="HG27" s="128">
        <f t="shared" si="126"/>
        <v>-4876</v>
      </c>
      <c r="HH27" s="128">
        <f t="shared" si="113"/>
        <v>0</v>
      </c>
      <c r="HI27" s="128">
        <f t="shared" si="114"/>
        <v>-249999</v>
      </c>
      <c r="HJ27" s="115"/>
      <c r="HK27" s="99">
        <v>4416446</v>
      </c>
      <c r="HL27" s="128">
        <f t="shared" si="115"/>
        <v>-4876</v>
      </c>
      <c r="HM27" s="128">
        <f t="shared" si="116"/>
        <v>0</v>
      </c>
      <c r="HN27" s="128">
        <f t="shared" si="117"/>
        <v>-249999</v>
      </c>
      <c r="HO27" s="128">
        <f t="shared" si="118"/>
        <v>0</v>
      </c>
      <c r="HP27" s="115"/>
      <c r="HQ27" s="99">
        <v>4666445</v>
      </c>
      <c r="HR27" s="128" t="s">
        <v>510</v>
      </c>
      <c r="HS27" s="128">
        <f t="shared" si="15"/>
        <v>249999</v>
      </c>
      <c r="HT27" s="128">
        <f t="shared" si="16"/>
        <v>0</v>
      </c>
      <c r="HU27" s="128">
        <f t="shared" si="17"/>
        <v>249999</v>
      </c>
      <c r="HV27" s="115" t="s">
        <v>411</v>
      </c>
      <c r="HW27" s="99">
        <v>4416445</v>
      </c>
      <c r="HX27" s="128">
        <f t="shared" si="18"/>
        <v>-4877</v>
      </c>
      <c r="HY27" s="128">
        <f t="shared" si="19"/>
        <v>-1</v>
      </c>
      <c r="HZ27" s="128">
        <f t="shared" si="119"/>
        <v>-250000</v>
      </c>
      <c r="IA27" s="115"/>
      <c r="IB27" s="99">
        <v>4666445</v>
      </c>
      <c r="IC27" s="166" t="s">
        <v>411</v>
      </c>
      <c r="ID27" s="128">
        <f t="shared" si="20"/>
        <v>4666445</v>
      </c>
      <c r="IE27" s="164">
        <f t="shared" si="21"/>
        <v>245123</v>
      </c>
      <c r="IF27" s="185">
        <v>4666445</v>
      </c>
      <c r="IG27" s="40">
        <f t="shared" si="120"/>
        <v>0</v>
      </c>
      <c r="IH27" s="115"/>
    </row>
    <row r="28" spans="1:244" ht="24.75" customHeight="1" x14ac:dyDescent="0.2">
      <c r="A28" s="17" t="s">
        <v>2</v>
      </c>
      <c r="B28" s="18"/>
      <c r="C28" s="52" t="s">
        <v>138</v>
      </c>
      <c r="D28" s="20">
        <v>3725671328</v>
      </c>
      <c r="E28" s="21">
        <v>3948824061</v>
      </c>
      <c r="F28" s="21">
        <v>3536824063</v>
      </c>
      <c r="G28" s="21">
        <v>3869847585</v>
      </c>
      <c r="H28" s="21"/>
      <c r="I28" s="21">
        <f t="shared" si="0"/>
        <v>3869847585</v>
      </c>
      <c r="J28" s="28"/>
      <c r="K28" s="22"/>
      <c r="L28" s="22">
        <f t="shared" si="1"/>
        <v>0</v>
      </c>
      <c r="M28" s="23">
        <f t="shared" si="22"/>
        <v>3869847585</v>
      </c>
      <c r="N28" s="23">
        <v>4048324258</v>
      </c>
      <c r="O28" s="23">
        <v>3851193043</v>
      </c>
      <c r="P28" s="23">
        <v>3851193043</v>
      </c>
      <c r="Q28" s="23">
        <v>3878464421</v>
      </c>
      <c r="R28" s="23">
        <v>3851193043</v>
      </c>
      <c r="S28" s="23">
        <v>0</v>
      </c>
      <c r="T28" s="23">
        <f t="shared" si="121"/>
        <v>0</v>
      </c>
      <c r="U28" s="23">
        <f t="shared" si="122"/>
        <v>3851193043</v>
      </c>
      <c r="V28" s="23">
        <f t="shared" si="2"/>
        <v>-18654542</v>
      </c>
      <c r="W28" s="24">
        <v>3851193043</v>
      </c>
      <c r="X28" s="24"/>
      <c r="Y28" s="24">
        <f t="shared" si="23"/>
        <v>3851193043</v>
      </c>
      <c r="Z28" s="25">
        <v>3990519337</v>
      </c>
      <c r="AA28" s="25">
        <f t="shared" si="24"/>
        <v>139326294</v>
      </c>
      <c r="AB28" s="25">
        <v>3990812680</v>
      </c>
      <c r="AC28" s="25">
        <v>3990812680</v>
      </c>
      <c r="AD28" s="26">
        <v>3990812680</v>
      </c>
      <c r="AE28" s="25"/>
      <c r="AF28" s="25">
        <f>AC28-SUM(W28:X28)</f>
        <v>139619637</v>
      </c>
      <c r="AG28" s="25">
        <f>AC28-Z28</f>
        <v>293343</v>
      </c>
      <c r="AH28" s="26">
        <v>3990812680</v>
      </c>
      <c r="AI28" s="26">
        <v>3990812680</v>
      </c>
      <c r="AJ28" s="25">
        <f t="shared" si="141"/>
        <v>139619637</v>
      </c>
      <c r="AK28" s="25">
        <f t="shared" si="25"/>
        <v>293343</v>
      </c>
      <c r="AL28" s="25">
        <f t="shared" si="26"/>
        <v>0</v>
      </c>
      <c r="AM28" s="26">
        <f t="shared" si="27"/>
        <v>139619637</v>
      </c>
      <c r="AN28" s="26">
        <f t="shared" si="28"/>
        <v>293343</v>
      </c>
      <c r="AO28" s="26">
        <f t="shared" si="4"/>
        <v>0</v>
      </c>
      <c r="AP28" s="25">
        <v>3990812680</v>
      </c>
      <c r="AQ28" s="25">
        <f t="shared" si="5"/>
        <v>139619637</v>
      </c>
      <c r="AR28" s="25">
        <f t="shared" si="29"/>
        <v>293343</v>
      </c>
      <c r="AS28" s="25">
        <f t="shared" si="30"/>
        <v>139619637</v>
      </c>
      <c r="AT28" s="25"/>
      <c r="AU28" s="25">
        <f t="shared" si="31"/>
        <v>3990812680</v>
      </c>
      <c r="AV28" s="25">
        <v>4136391547</v>
      </c>
      <c r="AW28" s="25">
        <f t="shared" si="32"/>
        <v>145578867</v>
      </c>
      <c r="AX28" s="25">
        <v>4154611977</v>
      </c>
      <c r="AY28" s="26">
        <f t="shared" si="123"/>
        <v>163799297</v>
      </c>
      <c r="AZ28" s="26">
        <f t="shared" si="124"/>
        <v>18220430</v>
      </c>
      <c r="BA28" s="25">
        <v>4154611977</v>
      </c>
      <c r="BB28" s="25">
        <f t="shared" si="33"/>
        <v>163799297</v>
      </c>
      <c r="BC28" s="25">
        <f t="shared" si="34"/>
        <v>18220430</v>
      </c>
      <c r="BD28" s="25">
        <f t="shared" si="35"/>
        <v>0</v>
      </c>
      <c r="BE28" s="25">
        <v>4171078492</v>
      </c>
      <c r="BF28" s="25">
        <v>4171079892</v>
      </c>
      <c r="BG28" s="25">
        <v>4171079892</v>
      </c>
      <c r="BH28" s="25">
        <f t="shared" si="36"/>
        <v>180267212</v>
      </c>
      <c r="BI28" s="25">
        <f t="shared" si="37"/>
        <v>34688345</v>
      </c>
      <c r="BJ28" s="25">
        <f t="shared" si="38"/>
        <v>16467915</v>
      </c>
      <c r="BK28" s="8">
        <f t="shared" si="39"/>
        <v>1400</v>
      </c>
      <c r="BL28" s="25"/>
      <c r="BM28" s="29">
        <f t="shared" si="40"/>
        <v>4171079892</v>
      </c>
      <c r="BN28" s="38">
        <v>4397257332</v>
      </c>
      <c r="BO28" s="27">
        <f t="shared" si="41"/>
        <v>226177440</v>
      </c>
      <c r="BP28" s="38">
        <v>4280637005</v>
      </c>
      <c r="BQ28" s="41">
        <f t="shared" si="42"/>
        <v>109557113</v>
      </c>
      <c r="BR28" s="41">
        <f t="shared" si="43"/>
        <v>-116620327</v>
      </c>
      <c r="BS28" s="38">
        <v>4285945528</v>
      </c>
      <c r="BT28" s="42">
        <f t="shared" si="44"/>
        <v>114865636</v>
      </c>
      <c r="BU28" s="42">
        <f t="shared" si="45"/>
        <v>-111311804</v>
      </c>
      <c r="BV28" s="42">
        <f t="shared" si="46"/>
        <v>5308523</v>
      </c>
      <c r="BW28" s="38">
        <v>4301214591</v>
      </c>
      <c r="BX28" s="41">
        <f t="shared" si="47"/>
        <v>130134699</v>
      </c>
      <c r="BY28" s="41">
        <f t="shared" si="48"/>
        <v>-96042741</v>
      </c>
      <c r="BZ28" s="41">
        <f t="shared" si="49"/>
        <v>15269063</v>
      </c>
      <c r="CA28" s="38">
        <v>4301214591</v>
      </c>
      <c r="CB28" s="8">
        <f t="shared" si="50"/>
        <v>130134699</v>
      </c>
      <c r="CC28" s="8">
        <f t="shared" si="51"/>
        <v>-96042741</v>
      </c>
      <c r="CD28" s="8">
        <f t="shared" si="6"/>
        <v>15269063</v>
      </c>
      <c r="CE28" s="8">
        <f t="shared" si="52"/>
        <v>0</v>
      </c>
      <c r="CF28" s="38">
        <v>4301214591</v>
      </c>
      <c r="CG28" s="8">
        <f t="shared" si="53"/>
        <v>130134699</v>
      </c>
      <c r="CH28" s="8">
        <f t="shared" si="54"/>
        <v>-96042741</v>
      </c>
      <c r="CI28" s="8">
        <f t="shared" si="55"/>
        <v>15269063</v>
      </c>
      <c r="CJ28" s="8">
        <f t="shared" si="56"/>
        <v>0</v>
      </c>
      <c r="CK28" s="38">
        <v>4301214591</v>
      </c>
      <c r="CL28" s="8">
        <f t="shared" si="7"/>
        <v>130134699</v>
      </c>
      <c r="CM28" s="8">
        <f t="shared" si="57"/>
        <v>-96042741</v>
      </c>
      <c r="CN28" s="8">
        <f t="shared" si="58"/>
        <v>0</v>
      </c>
      <c r="CO28" s="38">
        <v>4400696186</v>
      </c>
      <c r="CP28" s="38">
        <f t="shared" si="59"/>
        <v>3438854</v>
      </c>
      <c r="CQ28" s="8">
        <f t="shared" si="60"/>
        <v>99481595</v>
      </c>
      <c r="CR28" s="38">
        <v>4400696186</v>
      </c>
      <c r="CS28" s="27"/>
      <c r="CT28" s="38">
        <f t="shared" si="61"/>
        <v>4400696186</v>
      </c>
      <c r="CU28" s="8">
        <f t="shared" si="62"/>
        <v>99481595</v>
      </c>
      <c r="CV28" s="38">
        <f t="shared" si="63"/>
        <v>0</v>
      </c>
      <c r="CW28" s="38">
        <f t="shared" si="64"/>
        <v>0</v>
      </c>
      <c r="CX28" s="38">
        <v>4400696186</v>
      </c>
      <c r="CY28" s="8">
        <f t="shared" si="65"/>
        <v>99481595</v>
      </c>
      <c r="CZ28" s="38">
        <f t="shared" si="66"/>
        <v>0</v>
      </c>
      <c r="DA28" s="38">
        <f t="shared" si="67"/>
        <v>0</v>
      </c>
      <c r="DB28" s="38">
        <v>4400696186</v>
      </c>
      <c r="DC28" s="8">
        <f t="shared" si="68"/>
        <v>99481595</v>
      </c>
      <c r="DD28" s="38">
        <f t="shared" si="69"/>
        <v>0</v>
      </c>
      <c r="DE28" s="38">
        <f t="shared" si="70"/>
        <v>0</v>
      </c>
      <c r="DF28" s="38">
        <f t="shared" si="71"/>
        <v>0</v>
      </c>
      <c r="DG28" s="38">
        <v>4400696186</v>
      </c>
      <c r="DH28" s="40">
        <f t="shared" si="72"/>
        <v>99481595</v>
      </c>
      <c r="DI28" s="38">
        <f t="shared" si="73"/>
        <v>0</v>
      </c>
      <c r="DJ28" s="38">
        <f t="shared" si="74"/>
        <v>0</v>
      </c>
      <c r="DK28" s="38">
        <f t="shared" si="75"/>
        <v>0</v>
      </c>
      <c r="DL28" s="38"/>
      <c r="DM28" s="38">
        <f t="shared" si="76"/>
        <v>4400696186</v>
      </c>
      <c r="DN28" s="38">
        <v>4400696186</v>
      </c>
      <c r="DO28" s="38">
        <f t="shared" si="77"/>
        <v>99481595</v>
      </c>
      <c r="DP28" s="38"/>
      <c r="DQ28" s="38">
        <v>0</v>
      </c>
      <c r="DR28" s="38">
        <f t="shared" si="78"/>
        <v>4400696186</v>
      </c>
      <c r="DS28" s="38">
        <f t="shared" si="79"/>
        <v>99481595</v>
      </c>
      <c r="DT28" s="38"/>
      <c r="DU28" s="38">
        <f t="shared" si="80"/>
        <v>4400696186</v>
      </c>
      <c r="DV28" s="38">
        <f t="shared" si="81"/>
        <v>99481595</v>
      </c>
      <c r="DW28" s="38">
        <v>4400696186</v>
      </c>
      <c r="DX28" s="38">
        <v>4505983532</v>
      </c>
      <c r="DY28" s="8">
        <f t="shared" si="127"/>
        <v>105287346</v>
      </c>
      <c r="DZ28" s="40">
        <v>4508861025</v>
      </c>
      <c r="EA28" s="8">
        <f t="shared" si="128"/>
        <v>108164839</v>
      </c>
      <c r="EB28" s="8">
        <f t="shared" si="129"/>
        <v>2877493</v>
      </c>
      <c r="EC28" s="60"/>
      <c r="ED28" s="37">
        <v>4508861025</v>
      </c>
      <c r="EE28" s="25">
        <f t="shared" si="130"/>
        <v>108164839</v>
      </c>
      <c r="EF28" s="25">
        <f t="shared" si="131"/>
        <v>2877493</v>
      </c>
      <c r="EG28" s="25">
        <f t="shared" si="82"/>
        <v>0</v>
      </c>
      <c r="EH28" s="37">
        <v>4511882199</v>
      </c>
      <c r="EI28" s="25">
        <f t="shared" si="132"/>
        <v>111186013</v>
      </c>
      <c r="EJ28" s="25">
        <f t="shared" si="133"/>
        <v>5898667</v>
      </c>
      <c r="EK28" s="25">
        <f t="shared" si="83"/>
        <v>3021174</v>
      </c>
      <c r="EL28" s="37">
        <v>4511882199</v>
      </c>
      <c r="EM28" s="25">
        <f t="shared" si="134"/>
        <v>111186013</v>
      </c>
      <c r="EN28" s="25">
        <f t="shared" si="135"/>
        <v>5898667</v>
      </c>
      <c r="EO28" s="25">
        <f t="shared" si="125"/>
        <v>3021174</v>
      </c>
      <c r="EP28" s="25">
        <f t="shared" si="84"/>
        <v>0</v>
      </c>
      <c r="EQ28" s="37">
        <v>4511882199</v>
      </c>
      <c r="ER28" s="25">
        <f t="shared" si="136"/>
        <v>111186013</v>
      </c>
      <c r="ES28" s="25">
        <f t="shared" si="137"/>
        <v>5898667</v>
      </c>
      <c r="ET28" s="25">
        <f t="shared" si="85"/>
        <v>3021174</v>
      </c>
      <c r="EU28" s="25">
        <f t="shared" si="86"/>
        <v>0</v>
      </c>
      <c r="EV28" s="37">
        <v>4511882199</v>
      </c>
      <c r="EW28" s="25">
        <f t="shared" si="138"/>
        <v>111186013</v>
      </c>
      <c r="EX28" s="25">
        <f t="shared" si="87"/>
        <v>0</v>
      </c>
      <c r="EY28" s="25">
        <f t="shared" si="8"/>
        <v>0</v>
      </c>
      <c r="EZ28" s="37">
        <v>4511882199</v>
      </c>
      <c r="FA28" s="25">
        <f t="shared" si="139"/>
        <v>111186013</v>
      </c>
      <c r="FB28" s="25"/>
      <c r="FC28" s="25">
        <f t="shared" si="88"/>
        <v>4511882199</v>
      </c>
      <c r="FD28" s="25"/>
      <c r="FE28" s="25"/>
      <c r="FF28" s="25">
        <f t="shared" si="89"/>
        <v>4511882199</v>
      </c>
      <c r="FG28" s="37">
        <v>4584008961</v>
      </c>
      <c r="FH28" s="25">
        <f t="shared" si="90"/>
        <v>72126762</v>
      </c>
      <c r="FI28" s="92"/>
      <c r="FJ28" s="37">
        <v>4607665795</v>
      </c>
      <c r="FK28" s="37">
        <f t="shared" si="91"/>
        <v>95783596</v>
      </c>
      <c r="FL28" s="37">
        <f t="shared" si="92"/>
        <v>23656834</v>
      </c>
      <c r="FM28" s="37">
        <v>4607665795</v>
      </c>
      <c r="FN28" s="37">
        <f t="shared" si="93"/>
        <v>95783596</v>
      </c>
      <c r="FO28" s="37">
        <f t="shared" si="94"/>
        <v>23656834</v>
      </c>
      <c r="FP28" s="37">
        <f t="shared" si="95"/>
        <v>0</v>
      </c>
      <c r="FQ28" s="37"/>
      <c r="FR28" s="37">
        <v>4628013618</v>
      </c>
      <c r="FS28" s="37">
        <f t="shared" si="96"/>
        <v>116131419</v>
      </c>
      <c r="FT28" s="37">
        <f t="shared" si="97"/>
        <v>44004657</v>
      </c>
      <c r="FU28" s="37">
        <f t="shared" si="98"/>
        <v>20347823</v>
      </c>
      <c r="FV28" s="100"/>
      <c r="FW28" s="37">
        <v>4628013618</v>
      </c>
      <c r="FX28" s="37">
        <f t="shared" si="99"/>
        <v>116131419</v>
      </c>
      <c r="FY28" s="37">
        <f t="shared" si="100"/>
        <v>44004657</v>
      </c>
      <c r="FZ28" s="37">
        <f t="shared" si="101"/>
        <v>20347823</v>
      </c>
      <c r="GA28" s="37">
        <f t="shared" si="102"/>
        <v>0</v>
      </c>
      <c r="GB28" s="107"/>
      <c r="GC28" s="37">
        <v>4628013618</v>
      </c>
      <c r="GD28" s="26"/>
      <c r="GE28" s="37">
        <f t="shared" si="103"/>
        <v>4628013618</v>
      </c>
      <c r="GF28" s="38"/>
      <c r="GG28" s="37">
        <f t="shared" si="104"/>
        <v>4628013618</v>
      </c>
      <c r="GH28" s="26">
        <f t="shared" si="9"/>
        <v>116131419</v>
      </c>
      <c r="GI28" s="37">
        <f t="shared" si="10"/>
        <v>44004657</v>
      </c>
      <c r="GJ28" s="37">
        <f t="shared" si="11"/>
        <v>20347823</v>
      </c>
      <c r="GK28" s="37">
        <f t="shared" si="12"/>
        <v>0</v>
      </c>
      <c r="GL28" s="37">
        <f t="shared" si="13"/>
        <v>0</v>
      </c>
      <c r="GM28" s="107"/>
      <c r="GN28" s="115"/>
      <c r="GO28" s="113">
        <f t="shared" si="105"/>
        <v>4628013618</v>
      </c>
      <c r="GP28" s="113"/>
      <c r="GQ28" s="113">
        <f t="shared" si="106"/>
        <v>4628013618</v>
      </c>
      <c r="GR28" s="113"/>
      <c r="GS28" s="128">
        <v>4628013618</v>
      </c>
      <c r="GT28" s="127">
        <v>4719407242</v>
      </c>
      <c r="GU28" s="123">
        <f t="shared" si="144"/>
        <v>91393624</v>
      </c>
      <c r="GV28" s="115"/>
      <c r="GW28" s="99">
        <v>4734405553</v>
      </c>
      <c r="GX28" s="128">
        <f t="shared" si="108"/>
        <v>106391935</v>
      </c>
      <c r="GY28" s="128">
        <f t="shared" si="109"/>
        <v>14998311</v>
      </c>
      <c r="GZ28" s="115"/>
      <c r="HA28" s="99">
        <v>4734405553</v>
      </c>
      <c r="HB28" s="128">
        <f t="shared" si="110"/>
        <v>106391935</v>
      </c>
      <c r="HC28" s="128">
        <f t="shared" si="111"/>
        <v>14998311</v>
      </c>
      <c r="HD28" s="128">
        <f t="shared" si="112"/>
        <v>0</v>
      </c>
      <c r="HE28" s="115"/>
      <c r="HF28" s="99">
        <v>4756814887</v>
      </c>
      <c r="HG28" s="128">
        <f t="shared" si="126"/>
        <v>128801269</v>
      </c>
      <c r="HH28" s="128">
        <f t="shared" si="113"/>
        <v>37407645</v>
      </c>
      <c r="HI28" s="128">
        <f t="shared" si="114"/>
        <v>22409334</v>
      </c>
      <c r="HJ28" s="115" t="s">
        <v>451</v>
      </c>
      <c r="HK28" s="99">
        <v>4756814887</v>
      </c>
      <c r="HL28" s="128">
        <f t="shared" si="115"/>
        <v>128801269</v>
      </c>
      <c r="HM28" s="128">
        <f t="shared" si="116"/>
        <v>37407645</v>
      </c>
      <c r="HN28" s="128">
        <f t="shared" si="117"/>
        <v>22409334</v>
      </c>
      <c r="HO28" s="128">
        <f t="shared" si="118"/>
        <v>0</v>
      </c>
      <c r="HP28" s="115" t="s">
        <v>451</v>
      </c>
      <c r="HQ28" s="99">
        <v>4746953715</v>
      </c>
      <c r="HR28" s="128">
        <f t="shared" ref="HR28:HR59" si="145">HQ28-GS28</f>
        <v>118940097</v>
      </c>
      <c r="HS28" s="128">
        <f t="shared" si="15"/>
        <v>27546473</v>
      </c>
      <c r="HT28" s="128">
        <f t="shared" si="16"/>
        <v>12548162</v>
      </c>
      <c r="HU28" s="128">
        <f t="shared" si="17"/>
        <v>-9861172</v>
      </c>
      <c r="HV28" s="115"/>
      <c r="HW28" s="99">
        <v>4746953715</v>
      </c>
      <c r="HX28" s="128">
        <f t="shared" si="18"/>
        <v>118940097</v>
      </c>
      <c r="HY28" s="128">
        <f t="shared" si="19"/>
        <v>27546473</v>
      </c>
      <c r="HZ28" s="128">
        <f t="shared" si="119"/>
        <v>0</v>
      </c>
      <c r="IA28" s="115"/>
      <c r="IB28" s="99">
        <v>4746953715</v>
      </c>
      <c r="IC28" s="115"/>
      <c r="ID28" s="128">
        <f t="shared" si="20"/>
        <v>4746953715</v>
      </c>
      <c r="IE28" s="164">
        <f t="shared" si="21"/>
        <v>118940097</v>
      </c>
      <c r="IF28" s="186">
        <v>4850573126</v>
      </c>
      <c r="IG28" s="40">
        <f t="shared" si="120"/>
        <v>103619411</v>
      </c>
      <c r="IH28" s="115"/>
    </row>
    <row r="29" spans="1:244" ht="15.75" customHeight="1" x14ac:dyDescent="0.2">
      <c r="A29" s="17" t="s">
        <v>5</v>
      </c>
      <c r="B29" s="18"/>
      <c r="C29" s="52" t="s">
        <v>173</v>
      </c>
      <c r="D29" s="20">
        <v>5500000</v>
      </c>
      <c r="E29" s="21">
        <v>5500000</v>
      </c>
      <c r="F29" s="21">
        <v>4312000</v>
      </c>
      <c r="G29" s="21">
        <v>2000000</v>
      </c>
      <c r="H29" s="22">
        <v>-2000000</v>
      </c>
      <c r="I29" s="21">
        <f t="shared" si="0"/>
        <v>0</v>
      </c>
      <c r="J29" s="28"/>
      <c r="K29" s="22"/>
      <c r="L29" s="22">
        <f t="shared" si="1"/>
        <v>0</v>
      </c>
      <c r="M29" s="23">
        <f t="shared" si="22"/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/>
      <c r="T29" s="23">
        <f t="shared" si="121"/>
        <v>0</v>
      </c>
      <c r="U29" s="23">
        <f t="shared" si="122"/>
        <v>0</v>
      </c>
      <c r="V29" s="23">
        <f t="shared" si="2"/>
        <v>0</v>
      </c>
      <c r="W29" s="24"/>
      <c r="X29" s="24"/>
      <c r="Y29" s="24">
        <f t="shared" si="23"/>
        <v>0</v>
      </c>
      <c r="Z29" s="25"/>
      <c r="AA29" s="25">
        <f t="shared" si="24"/>
        <v>0</v>
      </c>
      <c r="AB29" s="25"/>
      <c r="AC29" s="25"/>
      <c r="AD29" s="26"/>
      <c r="AE29" s="25"/>
      <c r="AF29" s="25">
        <f>AC29-W29+X29</f>
        <v>0</v>
      </c>
      <c r="AG29" s="25">
        <f>AC29-Z29</f>
        <v>0</v>
      </c>
      <c r="AH29" s="26"/>
      <c r="AI29" s="26"/>
      <c r="AJ29" s="25">
        <f t="shared" si="141"/>
        <v>0</v>
      </c>
      <c r="AK29" s="25">
        <f t="shared" si="25"/>
        <v>0</v>
      </c>
      <c r="AL29" s="25">
        <f t="shared" si="26"/>
        <v>0</v>
      </c>
      <c r="AM29" s="26">
        <f t="shared" si="27"/>
        <v>0</v>
      </c>
      <c r="AN29" s="26">
        <f t="shared" si="28"/>
        <v>0</v>
      </c>
      <c r="AO29" s="26">
        <f t="shared" si="4"/>
        <v>0</v>
      </c>
      <c r="AP29" s="25"/>
      <c r="AQ29" s="25">
        <f t="shared" si="5"/>
        <v>0</v>
      </c>
      <c r="AR29" s="25">
        <f t="shared" si="29"/>
        <v>0</v>
      </c>
      <c r="AS29" s="25">
        <f t="shared" si="30"/>
        <v>0</v>
      </c>
      <c r="AT29" s="25"/>
      <c r="AU29" s="25">
        <f t="shared" si="31"/>
        <v>0</v>
      </c>
      <c r="AV29" s="25"/>
      <c r="AW29" s="25">
        <f t="shared" si="32"/>
        <v>0</v>
      </c>
      <c r="AX29" s="25"/>
      <c r="AY29" s="26">
        <f t="shared" si="123"/>
        <v>0</v>
      </c>
      <c r="AZ29" s="26">
        <f t="shared" si="124"/>
        <v>0</v>
      </c>
      <c r="BA29" s="25"/>
      <c r="BB29" s="25">
        <f t="shared" si="33"/>
        <v>0</v>
      </c>
      <c r="BC29" s="25">
        <f t="shared" si="34"/>
        <v>0</v>
      </c>
      <c r="BD29" s="25">
        <f t="shared" si="35"/>
        <v>0</v>
      </c>
      <c r="BE29" s="29">
        <v>3500000</v>
      </c>
      <c r="BF29" s="29">
        <v>3500000</v>
      </c>
      <c r="BG29" s="29">
        <v>3500000</v>
      </c>
      <c r="BH29" s="25">
        <f>+BG29-AU29</f>
        <v>3500000</v>
      </c>
      <c r="BI29" s="25">
        <f>+BG29-AV29</f>
        <v>3500000</v>
      </c>
      <c r="BJ29" s="25">
        <f>+BG29-BA29</f>
        <v>3500000</v>
      </c>
      <c r="BK29" s="8">
        <f>+BG29-BE29</f>
        <v>0</v>
      </c>
      <c r="BL29" s="29">
        <v>2500000</v>
      </c>
      <c r="BM29" s="29">
        <f t="shared" si="40"/>
        <v>1000000</v>
      </c>
      <c r="BN29" s="38">
        <v>0</v>
      </c>
      <c r="BO29" s="27">
        <f t="shared" si="41"/>
        <v>-1000000</v>
      </c>
      <c r="BP29" s="38">
        <v>0</v>
      </c>
      <c r="BQ29" s="41">
        <f t="shared" si="42"/>
        <v>-1000000</v>
      </c>
      <c r="BR29" s="41">
        <f t="shared" si="43"/>
        <v>0</v>
      </c>
      <c r="BS29" s="38"/>
      <c r="BT29" s="42">
        <f t="shared" si="44"/>
        <v>-1000000</v>
      </c>
      <c r="BU29" s="42">
        <f t="shared" si="45"/>
        <v>0</v>
      </c>
      <c r="BV29" s="42">
        <f t="shared" si="46"/>
        <v>0</v>
      </c>
      <c r="BW29" s="38">
        <v>1000000</v>
      </c>
      <c r="BX29" s="41">
        <f t="shared" si="47"/>
        <v>0</v>
      </c>
      <c r="BY29" s="41">
        <f t="shared" si="48"/>
        <v>1000000</v>
      </c>
      <c r="BZ29" s="41">
        <f t="shared" si="49"/>
        <v>1000000</v>
      </c>
      <c r="CA29" s="38">
        <f>1000000+1000000</f>
        <v>2000000</v>
      </c>
      <c r="CB29" s="8">
        <f t="shared" si="50"/>
        <v>1000000</v>
      </c>
      <c r="CC29" s="8">
        <f t="shared" si="51"/>
        <v>2000000</v>
      </c>
      <c r="CD29" s="8">
        <f t="shared" si="6"/>
        <v>2000000</v>
      </c>
      <c r="CE29" s="8">
        <f t="shared" si="52"/>
        <v>1000000</v>
      </c>
      <c r="CF29" s="38">
        <v>2000000</v>
      </c>
      <c r="CG29" s="8">
        <f t="shared" si="53"/>
        <v>1000000</v>
      </c>
      <c r="CH29" s="8">
        <f t="shared" si="54"/>
        <v>2000000</v>
      </c>
      <c r="CI29" s="8">
        <f t="shared" si="55"/>
        <v>2000000</v>
      </c>
      <c r="CJ29" s="8">
        <f t="shared" si="56"/>
        <v>0</v>
      </c>
      <c r="CK29" s="38">
        <v>2000000</v>
      </c>
      <c r="CL29" s="8">
        <f t="shared" si="7"/>
        <v>1000000</v>
      </c>
      <c r="CM29" s="8">
        <f t="shared" si="57"/>
        <v>2000000</v>
      </c>
      <c r="CN29" s="8">
        <f t="shared" si="58"/>
        <v>0</v>
      </c>
      <c r="CO29" s="38">
        <v>0</v>
      </c>
      <c r="CP29" s="38">
        <f t="shared" si="59"/>
        <v>0</v>
      </c>
      <c r="CQ29" s="8">
        <f t="shared" si="60"/>
        <v>-2000000</v>
      </c>
      <c r="CR29" s="38">
        <v>1000000</v>
      </c>
      <c r="CS29" s="27">
        <v>786319</v>
      </c>
      <c r="CT29" s="38">
        <f t="shared" si="61"/>
        <v>1786319</v>
      </c>
      <c r="CU29" s="8">
        <f t="shared" si="62"/>
        <v>-213681</v>
      </c>
      <c r="CV29" s="38">
        <f t="shared" si="63"/>
        <v>1786319</v>
      </c>
      <c r="CW29" s="38">
        <f t="shared" si="64"/>
        <v>786319</v>
      </c>
      <c r="CX29" s="38">
        <v>2000000</v>
      </c>
      <c r="CY29" s="8">
        <f t="shared" si="65"/>
        <v>0</v>
      </c>
      <c r="CZ29" s="38">
        <f t="shared" si="66"/>
        <v>2000000</v>
      </c>
      <c r="DA29" s="38">
        <f t="shared" si="67"/>
        <v>213681</v>
      </c>
      <c r="DB29" s="38">
        <v>3350000</v>
      </c>
      <c r="DC29" s="8">
        <f t="shared" si="68"/>
        <v>1350000</v>
      </c>
      <c r="DD29" s="38">
        <f t="shared" si="69"/>
        <v>3350000</v>
      </c>
      <c r="DE29" s="38">
        <f t="shared" si="70"/>
        <v>1563681</v>
      </c>
      <c r="DF29" s="38">
        <f t="shared" si="71"/>
        <v>1350000</v>
      </c>
      <c r="DG29" s="38">
        <v>3383233</v>
      </c>
      <c r="DH29" s="40">
        <f t="shared" si="72"/>
        <v>1383233</v>
      </c>
      <c r="DI29" s="38">
        <f t="shared" si="73"/>
        <v>3383233</v>
      </c>
      <c r="DJ29" s="38">
        <f t="shared" si="74"/>
        <v>1596914</v>
      </c>
      <c r="DK29" s="38">
        <f t="shared" si="75"/>
        <v>33233</v>
      </c>
      <c r="DL29" s="38">
        <v>-1000000</v>
      </c>
      <c r="DM29" s="38">
        <f t="shared" si="76"/>
        <v>2383233</v>
      </c>
      <c r="DN29" s="38">
        <v>3383233</v>
      </c>
      <c r="DO29" s="38">
        <f t="shared" si="77"/>
        <v>1383233</v>
      </c>
      <c r="DP29" s="38"/>
      <c r="DQ29" s="38">
        <v>-2883233</v>
      </c>
      <c r="DR29" s="38">
        <f t="shared" si="78"/>
        <v>500000</v>
      </c>
      <c r="DS29" s="38">
        <f t="shared" si="79"/>
        <v>-1500000</v>
      </c>
      <c r="DT29" s="38"/>
      <c r="DU29" s="38">
        <f t="shared" si="80"/>
        <v>500000</v>
      </c>
      <c r="DV29" s="38">
        <f t="shared" si="81"/>
        <v>-1500000</v>
      </c>
      <c r="DW29" s="38">
        <v>500000</v>
      </c>
      <c r="DX29" s="38">
        <v>0</v>
      </c>
      <c r="DY29" s="8">
        <f t="shared" si="127"/>
        <v>-500000</v>
      </c>
      <c r="DZ29" s="40">
        <v>0</v>
      </c>
      <c r="EA29" s="8">
        <f t="shared" si="128"/>
        <v>-500000</v>
      </c>
      <c r="EB29" s="8">
        <f t="shared" si="129"/>
        <v>0</v>
      </c>
      <c r="EC29" s="60"/>
      <c r="ED29" s="37">
        <v>250000</v>
      </c>
      <c r="EE29" s="25">
        <f t="shared" si="130"/>
        <v>-250000</v>
      </c>
      <c r="EF29" s="25">
        <f t="shared" si="131"/>
        <v>250000</v>
      </c>
      <c r="EG29" s="25">
        <f t="shared" si="82"/>
        <v>250000</v>
      </c>
      <c r="EH29" s="37">
        <v>2000000</v>
      </c>
      <c r="EI29" s="25">
        <f t="shared" si="132"/>
        <v>1500000</v>
      </c>
      <c r="EJ29" s="25">
        <f t="shared" si="133"/>
        <v>2000000</v>
      </c>
      <c r="EK29" s="25">
        <f t="shared" si="83"/>
        <v>1750000</v>
      </c>
      <c r="EL29" s="37">
        <f>2000000+500000</f>
        <v>2500000</v>
      </c>
      <c r="EM29" s="25">
        <f t="shared" si="134"/>
        <v>2000000</v>
      </c>
      <c r="EN29" s="25">
        <f t="shared" si="135"/>
        <v>2500000</v>
      </c>
      <c r="EO29" s="25">
        <f t="shared" si="125"/>
        <v>2250000</v>
      </c>
      <c r="EP29" s="25">
        <f t="shared" si="84"/>
        <v>500000</v>
      </c>
      <c r="EQ29" s="37">
        <f>2000000+500000</f>
        <v>2500000</v>
      </c>
      <c r="ER29" s="25">
        <f t="shared" si="136"/>
        <v>2000000</v>
      </c>
      <c r="ES29" s="25">
        <f t="shared" si="137"/>
        <v>2500000</v>
      </c>
      <c r="ET29" s="25">
        <f t="shared" si="85"/>
        <v>2250000</v>
      </c>
      <c r="EU29" s="25">
        <f t="shared" si="86"/>
        <v>0</v>
      </c>
      <c r="EV29" s="37">
        <f>2000000+500000</f>
        <v>2500000</v>
      </c>
      <c r="EW29" s="25">
        <f t="shared" si="138"/>
        <v>2000000</v>
      </c>
      <c r="EX29" s="25">
        <f t="shared" si="87"/>
        <v>0</v>
      </c>
      <c r="EY29" s="25">
        <f t="shared" si="8"/>
        <v>0</v>
      </c>
      <c r="EZ29" s="37">
        <f>2000000+500000</f>
        <v>2500000</v>
      </c>
      <c r="FA29" s="25">
        <f t="shared" si="139"/>
        <v>2000000</v>
      </c>
      <c r="FB29" s="25">
        <v>630000</v>
      </c>
      <c r="FC29" s="25">
        <f t="shared" si="88"/>
        <v>3130000</v>
      </c>
      <c r="FD29" s="25"/>
      <c r="FE29" s="25"/>
      <c r="FF29" s="25">
        <f t="shared" si="89"/>
        <v>3130000</v>
      </c>
      <c r="FG29" s="37">
        <v>0</v>
      </c>
      <c r="FH29" s="25">
        <f t="shared" si="90"/>
        <v>-3130000</v>
      </c>
      <c r="FI29" s="25"/>
      <c r="FJ29" s="37">
        <v>10000000</v>
      </c>
      <c r="FK29" s="37">
        <f t="shared" si="91"/>
        <v>6870000</v>
      </c>
      <c r="FL29" s="37">
        <f t="shared" si="92"/>
        <v>10000000</v>
      </c>
      <c r="FM29" s="37">
        <v>10000000</v>
      </c>
      <c r="FN29" s="37">
        <f t="shared" si="93"/>
        <v>6870000</v>
      </c>
      <c r="FO29" s="37">
        <f t="shared" si="94"/>
        <v>10000000</v>
      </c>
      <c r="FP29" s="37">
        <f t="shared" si="95"/>
        <v>0</v>
      </c>
      <c r="FQ29" s="99" t="s">
        <v>314</v>
      </c>
      <c r="FR29" s="37">
        <v>0</v>
      </c>
      <c r="FS29" s="37">
        <f t="shared" si="96"/>
        <v>-3130000</v>
      </c>
      <c r="FT29" s="37">
        <f t="shared" si="97"/>
        <v>0</v>
      </c>
      <c r="FU29" s="37">
        <f t="shared" si="98"/>
        <v>-10000000</v>
      </c>
      <c r="FV29" s="100"/>
      <c r="FW29" s="37">
        <v>0</v>
      </c>
      <c r="FX29" s="37">
        <f t="shared" si="99"/>
        <v>-3130000</v>
      </c>
      <c r="FY29" s="37">
        <f t="shared" si="100"/>
        <v>0</v>
      </c>
      <c r="FZ29" s="37">
        <f t="shared" si="101"/>
        <v>-10000000</v>
      </c>
      <c r="GA29" s="37">
        <f t="shared" si="102"/>
        <v>0</v>
      </c>
      <c r="GB29" s="107"/>
      <c r="GC29" s="37">
        <v>0</v>
      </c>
      <c r="GD29" s="26"/>
      <c r="GE29" s="37">
        <f t="shared" si="103"/>
        <v>0</v>
      </c>
      <c r="GF29" s="38"/>
      <c r="GG29" s="37">
        <f t="shared" si="104"/>
        <v>0</v>
      </c>
      <c r="GH29" s="26">
        <f t="shared" si="9"/>
        <v>-3130000</v>
      </c>
      <c r="GI29" s="37">
        <f t="shared" si="10"/>
        <v>0</v>
      </c>
      <c r="GJ29" s="37">
        <f t="shared" si="11"/>
        <v>-10000000</v>
      </c>
      <c r="GK29" s="37">
        <f t="shared" si="12"/>
        <v>0</v>
      </c>
      <c r="GL29" s="37">
        <f t="shared" si="13"/>
        <v>0</v>
      </c>
      <c r="GM29" s="107"/>
      <c r="GN29" s="115"/>
      <c r="GO29" s="113">
        <f t="shared" si="105"/>
        <v>0</v>
      </c>
      <c r="GP29" s="113"/>
      <c r="GQ29" s="113">
        <f t="shared" si="106"/>
        <v>0</v>
      </c>
      <c r="GR29" s="113"/>
      <c r="GS29" s="128">
        <v>0</v>
      </c>
      <c r="GT29" s="128">
        <v>0</v>
      </c>
      <c r="GU29" s="123">
        <f t="shared" si="144"/>
        <v>0</v>
      </c>
      <c r="GV29" s="115"/>
      <c r="GW29" s="99">
        <v>12548162</v>
      </c>
      <c r="GX29" s="128">
        <f t="shared" si="108"/>
        <v>12548162</v>
      </c>
      <c r="GY29" s="128">
        <f t="shared" si="109"/>
        <v>12548162</v>
      </c>
      <c r="GZ29" s="115"/>
      <c r="HA29" s="99">
        <v>12548162</v>
      </c>
      <c r="HB29" s="128">
        <f t="shared" si="110"/>
        <v>12548162</v>
      </c>
      <c r="HC29" s="128">
        <f t="shared" si="111"/>
        <v>12548162</v>
      </c>
      <c r="HD29" s="128">
        <f t="shared" si="112"/>
        <v>0</v>
      </c>
      <c r="HE29" s="115"/>
      <c r="HF29" s="99">
        <v>0</v>
      </c>
      <c r="HG29" s="128">
        <f t="shared" si="126"/>
        <v>0</v>
      </c>
      <c r="HH29" s="128">
        <f t="shared" si="113"/>
        <v>0</v>
      </c>
      <c r="HI29" s="128">
        <f t="shared" si="114"/>
        <v>-12548162</v>
      </c>
      <c r="HJ29" s="115"/>
      <c r="HK29" s="99">
        <v>0</v>
      </c>
      <c r="HL29" s="128">
        <f t="shared" si="115"/>
        <v>0</v>
      </c>
      <c r="HM29" s="128">
        <f t="shared" si="116"/>
        <v>0</v>
      </c>
      <c r="HN29" s="128">
        <f t="shared" si="117"/>
        <v>-12548162</v>
      </c>
      <c r="HO29" s="128">
        <f t="shared" si="118"/>
        <v>0</v>
      </c>
      <c r="HP29" s="115"/>
      <c r="HQ29" s="99"/>
      <c r="HR29" s="128">
        <f t="shared" si="145"/>
        <v>0</v>
      </c>
      <c r="HS29" s="128">
        <f t="shared" si="15"/>
        <v>0</v>
      </c>
      <c r="HT29" s="128">
        <f t="shared" si="16"/>
        <v>-12548162</v>
      </c>
      <c r="HU29" s="128">
        <f t="shared" si="17"/>
        <v>0</v>
      </c>
      <c r="HV29" s="115"/>
      <c r="HW29" s="99"/>
      <c r="HX29" s="128">
        <f t="shared" si="18"/>
        <v>0</v>
      </c>
      <c r="HY29" s="128">
        <f t="shared" si="19"/>
        <v>0</v>
      </c>
      <c r="HZ29" s="128">
        <f t="shared" si="119"/>
        <v>0</v>
      </c>
      <c r="IA29" s="115"/>
      <c r="IB29" s="99"/>
      <c r="IC29" s="115"/>
      <c r="ID29" s="128">
        <f t="shared" si="20"/>
        <v>0</v>
      </c>
      <c r="IE29" s="164">
        <f t="shared" si="21"/>
        <v>0</v>
      </c>
      <c r="IF29" s="185">
        <v>15000000</v>
      </c>
      <c r="IG29" s="40">
        <f t="shared" si="120"/>
        <v>15000000</v>
      </c>
      <c r="IH29" s="115"/>
    </row>
    <row r="30" spans="1:244" ht="36" x14ac:dyDescent="0.2">
      <c r="A30" s="17" t="s">
        <v>6</v>
      </c>
      <c r="B30" s="18"/>
      <c r="C30" s="52" t="s">
        <v>153</v>
      </c>
      <c r="D30" s="20">
        <v>220000000</v>
      </c>
      <c r="E30" s="21">
        <v>230043700</v>
      </c>
      <c r="F30" s="21">
        <v>215337070</v>
      </c>
      <c r="G30" s="21">
        <f>140113160+200000</f>
        <v>140313160</v>
      </c>
      <c r="H30" s="22">
        <v>-200000</v>
      </c>
      <c r="I30" s="21">
        <f t="shared" si="0"/>
        <v>140113160</v>
      </c>
      <c r="J30" s="22">
        <v>-6994000</v>
      </c>
      <c r="K30" s="22"/>
      <c r="L30" s="22">
        <f t="shared" si="1"/>
        <v>-6994000</v>
      </c>
      <c r="M30" s="23">
        <f t="shared" si="22"/>
        <v>133119160</v>
      </c>
      <c r="N30" s="23">
        <v>135019170</v>
      </c>
      <c r="O30" s="23">
        <v>135019170</v>
      </c>
      <c r="P30" s="23">
        <v>135019170</v>
      </c>
      <c r="Q30" s="23">
        <v>133119160</v>
      </c>
      <c r="R30" s="23">
        <v>145673366</v>
      </c>
      <c r="S30" s="23">
        <v>8.6180000000000007E-2</v>
      </c>
      <c r="T30" s="23">
        <f t="shared" si="121"/>
        <v>-12554130.681880001</v>
      </c>
      <c r="U30" s="23">
        <f t="shared" si="122"/>
        <v>133119235.31812</v>
      </c>
      <c r="V30" s="23">
        <f t="shared" si="2"/>
        <v>75.318120002746582</v>
      </c>
      <c r="W30" s="24">
        <v>133119160</v>
      </c>
      <c r="X30" s="24"/>
      <c r="Y30" s="24">
        <f t="shared" si="23"/>
        <v>133119160</v>
      </c>
      <c r="Z30" s="25">
        <v>213119160</v>
      </c>
      <c r="AA30" s="25">
        <f t="shared" si="24"/>
        <v>80000000</v>
      </c>
      <c r="AB30" s="25">
        <v>213119160</v>
      </c>
      <c r="AC30" s="25">
        <v>213119160</v>
      </c>
      <c r="AD30" s="26">
        <v>183119160</v>
      </c>
      <c r="AE30" s="25"/>
      <c r="AF30" s="25">
        <f>AC30-SUM(W30:X30)</f>
        <v>80000000</v>
      </c>
      <c r="AG30" s="25"/>
      <c r="AH30" s="27">
        <v>194119160</v>
      </c>
      <c r="AI30" s="27">
        <v>213119160</v>
      </c>
      <c r="AJ30" s="25">
        <f t="shared" si="141"/>
        <v>50000000</v>
      </c>
      <c r="AK30" s="25">
        <f t="shared" si="25"/>
        <v>-30000000</v>
      </c>
      <c r="AL30" s="25">
        <f t="shared" si="26"/>
        <v>-30000000</v>
      </c>
      <c r="AM30" s="26">
        <f t="shared" si="27"/>
        <v>61000000</v>
      </c>
      <c r="AN30" s="26">
        <f t="shared" si="28"/>
        <v>-19000000</v>
      </c>
      <c r="AO30" s="26">
        <f t="shared" si="4"/>
        <v>-19000000</v>
      </c>
      <c r="AP30" s="25">
        <v>213119160</v>
      </c>
      <c r="AQ30" s="25">
        <f t="shared" si="5"/>
        <v>80000000</v>
      </c>
      <c r="AR30" s="25">
        <f t="shared" si="29"/>
        <v>0</v>
      </c>
      <c r="AS30" s="25">
        <f t="shared" si="30"/>
        <v>80000000</v>
      </c>
      <c r="AT30" s="25"/>
      <c r="AU30" s="25">
        <f t="shared" si="31"/>
        <v>213119160</v>
      </c>
      <c r="AV30" s="25">
        <v>213150377</v>
      </c>
      <c r="AW30" s="25">
        <f t="shared" si="32"/>
        <v>31217</v>
      </c>
      <c r="AX30" s="25">
        <v>221575000</v>
      </c>
      <c r="AY30" s="26">
        <f t="shared" si="123"/>
        <v>8455840</v>
      </c>
      <c r="AZ30" s="26">
        <f t="shared" si="124"/>
        <v>8424623</v>
      </c>
      <c r="BA30" s="25">
        <v>221575000</v>
      </c>
      <c r="BB30" s="25">
        <f t="shared" si="33"/>
        <v>8455840</v>
      </c>
      <c r="BC30" s="25">
        <f t="shared" si="34"/>
        <v>8424623</v>
      </c>
      <c r="BD30" s="25">
        <f t="shared" si="35"/>
        <v>0</v>
      </c>
      <c r="BE30" s="25">
        <v>242182288</v>
      </c>
      <c r="BF30" s="25">
        <v>241932288</v>
      </c>
      <c r="BG30" s="25">
        <v>241932288</v>
      </c>
      <c r="BH30" s="25">
        <f t="shared" si="36"/>
        <v>28813128</v>
      </c>
      <c r="BI30" s="25">
        <f t="shared" si="37"/>
        <v>28781911</v>
      </c>
      <c r="BJ30" s="25">
        <f t="shared" si="38"/>
        <v>20357288</v>
      </c>
      <c r="BK30" s="8">
        <f t="shared" si="39"/>
        <v>-250000</v>
      </c>
      <c r="BL30" s="25">
        <f>75000+11425000</f>
        <v>11500000</v>
      </c>
      <c r="BM30" s="29">
        <f>BG30-BL30+11500000</f>
        <v>241932288</v>
      </c>
      <c r="BN30" s="38">
        <v>230489223</v>
      </c>
      <c r="BO30" s="27">
        <f t="shared" si="41"/>
        <v>-11443065</v>
      </c>
      <c r="BP30" s="38">
        <v>235489224</v>
      </c>
      <c r="BQ30" s="41">
        <f t="shared" si="42"/>
        <v>-6443064</v>
      </c>
      <c r="BR30" s="41">
        <f t="shared" si="43"/>
        <v>5000001</v>
      </c>
      <c r="BS30" s="38">
        <v>238489224</v>
      </c>
      <c r="BT30" s="42">
        <f t="shared" si="44"/>
        <v>-3443064</v>
      </c>
      <c r="BU30" s="42">
        <f t="shared" si="45"/>
        <v>8000001</v>
      </c>
      <c r="BV30" s="42">
        <f t="shared" si="46"/>
        <v>3000000</v>
      </c>
      <c r="BW30" s="38">
        <v>252819241</v>
      </c>
      <c r="BX30" s="41">
        <f t="shared" si="47"/>
        <v>10886953</v>
      </c>
      <c r="BY30" s="41">
        <f t="shared" si="48"/>
        <v>22330018</v>
      </c>
      <c r="BZ30" s="41">
        <f t="shared" si="49"/>
        <v>14330017</v>
      </c>
      <c r="CA30" s="38">
        <v>252819241</v>
      </c>
      <c r="CB30" s="8">
        <f t="shared" si="50"/>
        <v>10886953</v>
      </c>
      <c r="CC30" s="8">
        <f t="shared" si="51"/>
        <v>22330018</v>
      </c>
      <c r="CD30" s="8">
        <f t="shared" si="6"/>
        <v>14330017</v>
      </c>
      <c r="CE30" s="8">
        <f t="shared" si="52"/>
        <v>0</v>
      </c>
      <c r="CF30" s="38">
        <v>252489224</v>
      </c>
      <c r="CG30" s="8">
        <f t="shared" si="53"/>
        <v>10556936</v>
      </c>
      <c r="CH30" s="8">
        <f t="shared" si="54"/>
        <v>22000001</v>
      </c>
      <c r="CI30" s="8">
        <f t="shared" si="55"/>
        <v>14000000</v>
      </c>
      <c r="CJ30" s="8">
        <f t="shared" si="56"/>
        <v>-330017</v>
      </c>
      <c r="CK30" s="38">
        <v>252489224</v>
      </c>
      <c r="CL30" s="8">
        <f t="shared" si="7"/>
        <v>10556936</v>
      </c>
      <c r="CM30" s="8">
        <f t="shared" si="57"/>
        <v>22000001</v>
      </c>
      <c r="CN30" s="8">
        <f t="shared" si="58"/>
        <v>0</v>
      </c>
      <c r="CO30" s="38">
        <v>252513276</v>
      </c>
      <c r="CP30" s="38">
        <f t="shared" si="59"/>
        <v>22024053</v>
      </c>
      <c r="CQ30" s="8">
        <f t="shared" si="60"/>
        <v>24052</v>
      </c>
      <c r="CR30" s="38">
        <v>257513275</v>
      </c>
      <c r="CS30" s="27"/>
      <c r="CT30" s="38">
        <f t="shared" si="61"/>
        <v>257513275</v>
      </c>
      <c r="CU30" s="8">
        <f t="shared" si="62"/>
        <v>5024051</v>
      </c>
      <c r="CV30" s="38">
        <f t="shared" si="63"/>
        <v>4999999</v>
      </c>
      <c r="CW30" s="38">
        <f t="shared" si="64"/>
        <v>0</v>
      </c>
      <c r="CX30" s="38">
        <v>260395342</v>
      </c>
      <c r="CY30" s="8">
        <f t="shared" si="65"/>
        <v>7906118</v>
      </c>
      <c r="CZ30" s="38">
        <f t="shared" si="66"/>
        <v>7882066</v>
      </c>
      <c r="DA30" s="38">
        <f t="shared" si="67"/>
        <v>2882067</v>
      </c>
      <c r="DB30" s="38">
        <v>260395342</v>
      </c>
      <c r="DC30" s="8">
        <f t="shared" si="68"/>
        <v>7906118</v>
      </c>
      <c r="DD30" s="38">
        <f t="shared" si="69"/>
        <v>7882066</v>
      </c>
      <c r="DE30" s="38">
        <f t="shared" si="70"/>
        <v>2882067</v>
      </c>
      <c r="DF30" s="38">
        <f t="shared" si="71"/>
        <v>0</v>
      </c>
      <c r="DG30" s="38">
        <v>257513275</v>
      </c>
      <c r="DH30" s="40">
        <f t="shared" si="72"/>
        <v>5024051</v>
      </c>
      <c r="DI30" s="38">
        <f t="shared" si="73"/>
        <v>4999999</v>
      </c>
      <c r="DJ30" s="38">
        <f t="shared" si="74"/>
        <v>0</v>
      </c>
      <c r="DK30" s="38">
        <f t="shared" si="75"/>
        <v>-2882067</v>
      </c>
      <c r="DL30" s="38"/>
      <c r="DM30" s="38">
        <f t="shared" si="76"/>
        <v>257513275</v>
      </c>
      <c r="DN30" s="38">
        <v>257513275</v>
      </c>
      <c r="DO30" s="38">
        <f t="shared" si="77"/>
        <v>5024051</v>
      </c>
      <c r="DP30" s="38"/>
      <c r="DQ30" s="38">
        <v>-3862699</v>
      </c>
      <c r="DR30" s="38">
        <f t="shared" si="78"/>
        <v>253650576</v>
      </c>
      <c r="DS30" s="38">
        <f t="shared" si="79"/>
        <v>1161352</v>
      </c>
      <c r="DT30" s="38">
        <v>-250000</v>
      </c>
      <c r="DU30" s="38">
        <f t="shared" si="80"/>
        <v>253400576</v>
      </c>
      <c r="DV30" s="38">
        <f t="shared" si="81"/>
        <v>911352</v>
      </c>
      <c r="DW30" s="38">
        <v>253400576</v>
      </c>
      <c r="DX30" s="38">
        <v>253400576</v>
      </c>
      <c r="DY30" s="8">
        <f t="shared" si="127"/>
        <v>0</v>
      </c>
      <c r="DZ30" s="40">
        <v>261651610</v>
      </c>
      <c r="EA30" s="8">
        <f t="shared" si="128"/>
        <v>8251034</v>
      </c>
      <c r="EB30" s="8">
        <f t="shared" si="129"/>
        <v>8251034</v>
      </c>
      <c r="EC30" s="60"/>
      <c r="ED30" s="37">
        <v>261651610</v>
      </c>
      <c r="EE30" s="25">
        <f t="shared" si="130"/>
        <v>8251034</v>
      </c>
      <c r="EF30" s="25">
        <f t="shared" si="131"/>
        <v>8251034</v>
      </c>
      <c r="EG30" s="25">
        <f t="shared" si="82"/>
        <v>0</v>
      </c>
      <c r="EH30" s="37">
        <v>271572425</v>
      </c>
      <c r="EI30" s="25">
        <f t="shared" si="132"/>
        <v>18171849</v>
      </c>
      <c r="EJ30" s="25">
        <f t="shared" si="133"/>
        <v>18171849</v>
      </c>
      <c r="EK30" s="25">
        <f t="shared" si="83"/>
        <v>9920815</v>
      </c>
      <c r="EL30" s="37">
        <f>271572425+150000</f>
        <v>271722425</v>
      </c>
      <c r="EM30" s="25">
        <f t="shared" si="134"/>
        <v>18321849</v>
      </c>
      <c r="EN30" s="25">
        <f t="shared" si="135"/>
        <v>18321849</v>
      </c>
      <c r="EO30" s="25">
        <f t="shared" si="125"/>
        <v>10070815</v>
      </c>
      <c r="EP30" s="25">
        <f t="shared" si="84"/>
        <v>150000</v>
      </c>
      <c r="EQ30" s="37">
        <f>271572425+150000</f>
        <v>271722425</v>
      </c>
      <c r="ER30" s="25">
        <f t="shared" si="136"/>
        <v>18321849</v>
      </c>
      <c r="ES30" s="25">
        <f t="shared" si="137"/>
        <v>18321849</v>
      </c>
      <c r="ET30" s="25">
        <f t="shared" si="85"/>
        <v>10070815</v>
      </c>
      <c r="EU30" s="25">
        <f t="shared" si="86"/>
        <v>0</v>
      </c>
      <c r="EV30" s="37">
        <f>271572425+150000</f>
        <v>271722425</v>
      </c>
      <c r="EW30" s="25">
        <f t="shared" si="138"/>
        <v>18321849</v>
      </c>
      <c r="EX30" s="25">
        <f t="shared" si="87"/>
        <v>0</v>
      </c>
      <c r="EY30" s="25">
        <f t="shared" si="8"/>
        <v>0</v>
      </c>
      <c r="EZ30" s="37">
        <f>271572425+150000</f>
        <v>271722425</v>
      </c>
      <c r="FA30" s="25">
        <f t="shared" si="139"/>
        <v>18321849</v>
      </c>
      <c r="FB30" s="25"/>
      <c r="FC30" s="25">
        <f t="shared" si="88"/>
        <v>271722425</v>
      </c>
      <c r="FD30" s="25">
        <f>271639859-271722425</f>
        <v>-82566</v>
      </c>
      <c r="FE30" s="25"/>
      <c r="FF30" s="25">
        <f t="shared" si="89"/>
        <v>271639859</v>
      </c>
      <c r="FG30" s="37">
        <v>271631997</v>
      </c>
      <c r="FH30" s="25">
        <f t="shared" si="90"/>
        <v>-7862</v>
      </c>
      <c r="FI30" s="25"/>
      <c r="FJ30" s="37">
        <v>276631180</v>
      </c>
      <c r="FK30" s="37">
        <f t="shared" si="91"/>
        <v>4991321</v>
      </c>
      <c r="FL30" s="37">
        <f t="shared" si="92"/>
        <v>4999183</v>
      </c>
      <c r="FM30" s="37">
        <v>276631180</v>
      </c>
      <c r="FN30" s="37">
        <f t="shared" si="93"/>
        <v>4991321</v>
      </c>
      <c r="FO30" s="37">
        <f t="shared" si="94"/>
        <v>4999183</v>
      </c>
      <c r="FP30" s="37">
        <f t="shared" si="95"/>
        <v>0</v>
      </c>
      <c r="FQ30" s="37" t="s">
        <v>316</v>
      </c>
      <c r="FR30" s="37">
        <v>281072308</v>
      </c>
      <c r="FS30" s="37">
        <f t="shared" si="96"/>
        <v>9432449</v>
      </c>
      <c r="FT30" s="37">
        <f t="shared" si="97"/>
        <v>9440311</v>
      </c>
      <c r="FU30" s="37">
        <f t="shared" si="98"/>
        <v>4441128</v>
      </c>
      <c r="FV30" s="100"/>
      <c r="FW30" s="37">
        <f>281072308+150000+500000</f>
        <v>281722308</v>
      </c>
      <c r="FX30" s="37">
        <f t="shared" si="99"/>
        <v>10082449</v>
      </c>
      <c r="FY30" s="37">
        <f t="shared" si="100"/>
        <v>10090311</v>
      </c>
      <c r="FZ30" s="37">
        <f t="shared" si="101"/>
        <v>5091128</v>
      </c>
      <c r="GA30" s="37">
        <f t="shared" si="102"/>
        <v>650000</v>
      </c>
      <c r="GB30" s="107" t="s">
        <v>339</v>
      </c>
      <c r="GC30" s="37">
        <v>277281180</v>
      </c>
      <c r="GD30" s="26">
        <v>-3723180</v>
      </c>
      <c r="GE30" s="37">
        <f t="shared" si="103"/>
        <v>273558000</v>
      </c>
      <c r="GF30" s="38">
        <v>3723180</v>
      </c>
      <c r="GG30" s="37">
        <f t="shared" si="104"/>
        <v>277281180</v>
      </c>
      <c r="GH30" s="26">
        <f t="shared" si="9"/>
        <v>5641321</v>
      </c>
      <c r="GI30" s="37">
        <f t="shared" si="10"/>
        <v>5649183</v>
      </c>
      <c r="GJ30" s="37">
        <f t="shared" si="11"/>
        <v>650000</v>
      </c>
      <c r="GK30" s="37">
        <f t="shared" si="12"/>
        <v>-4441128</v>
      </c>
      <c r="GL30" s="37">
        <f t="shared" si="13"/>
        <v>0</v>
      </c>
      <c r="GM30" s="114" t="s">
        <v>363</v>
      </c>
      <c r="GN30" s="115"/>
      <c r="GO30" s="113">
        <f t="shared" si="105"/>
        <v>277281180</v>
      </c>
      <c r="GP30" s="113">
        <v>-84219</v>
      </c>
      <c r="GQ30" s="113">
        <f t="shared" si="106"/>
        <v>277196961</v>
      </c>
      <c r="GR30" s="113"/>
      <c r="GS30" s="128">
        <v>277196961</v>
      </c>
      <c r="GT30" s="128">
        <v>277281180</v>
      </c>
      <c r="GU30" s="123">
        <f t="shared" si="144"/>
        <v>84219</v>
      </c>
      <c r="GV30" s="115" t="s">
        <v>386</v>
      </c>
      <c r="GW30" s="99">
        <v>281281181</v>
      </c>
      <c r="GX30" s="128">
        <f t="shared" si="108"/>
        <v>4084220</v>
      </c>
      <c r="GY30" s="128">
        <f t="shared" si="109"/>
        <v>4000001</v>
      </c>
      <c r="GZ30" s="115"/>
      <c r="HA30" s="99">
        <v>281281181</v>
      </c>
      <c r="HB30" s="128">
        <f t="shared" si="110"/>
        <v>4084220</v>
      </c>
      <c r="HC30" s="128">
        <f t="shared" si="111"/>
        <v>4000001</v>
      </c>
      <c r="HD30" s="128">
        <f t="shared" si="112"/>
        <v>0</v>
      </c>
      <c r="HE30" s="115" t="s">
        <v>416</v>
      </c>
      <c r="HF30" s="99">
        <v>293740396</v>
      </c>
      <c r="HG30" s="128">
        <f t="shared" si="126"/>
        <v>16543435</v>
      </c>
      <c r="HH30" s="128">
        <f t="shared" si="113"/>
        <v>16459216</v>
      </c>
      <c r="HI30" s="128">
        <f t="shared" si="114"/>
        <v>12459215</v>
      </c>
      <c r="HJ30" s="115"/>
      <c r="HK30" s="99">
        <f>293740396+500000+150000</f>
        <v>294390396</v>
      </c>
      <c r="HL30" s="128">
        <f t="shared" si="115"/>
        <v>17193435</v>
      </c>
      <c r="HM30" s="128">
        <f t="shared" si="116"/>
        <v>17109216</v>
      </c>
      <c r="HN30" s="128">
        <f t="shared" si="117"/>
        <v>13109215</v>
      </c>
      <c r="HO30" s="128">
        <f t="shared" si="118"/>
        <v>650000</v>
      </c>
      <c r="HP30" s="115" t="s">
        <v>470</v>
      </c>
      <c r="HQ30" s="99">
        <v>281231181</v>
      </c>
      <c r="HR30" s="128">
        <f t="shared" si="145"/>
        <v>4034220</v>
      </c>
      <c r="HS30" s="128">
        <f t="shared" si="15"/>
        <v>3950001</v>
      </c>
      <c r="HT30" s="128">
        <f t="shared" si="16"/>
        <v>-50000</v>
      </c>
      <c r="HU30" s="128">
        <f t="shared" si="17"/>
        <v>-13159215</v>
      </c>
      <c r="HV30" s="115" t="s">
        <v>507</v>
      </c>
      <c r="HW30" s="99">
        <v>281231181</v>
      </c>
      <c r="HX30" s="128">
        <f t="shared" si="18"/>
        <v>4034220</v>
      </c>
      <c r="HY30" s="128">
        <f t="shared" si="19"/>
        <v>3950001</v>
      </c>
      <c r="HZ30" s="128">
        <f t="shared" si="119"/>
        <v>0</v>
      </c>
      <c r="IA30" s="115" t="s">
        <v>507</v>
      </c>
      <c r="IB30" s="99">
        <v>281231181</v>
      </c>
      <c r="IC30" s="166" t="s">
        <v>507</v>
      </c>
      <c r="ID30" s="128">
        <f t="shared" si="20"/>
        <v>281231181</v>
      </c>
      <c r="IE30" s="164">
        <f t="shared" si="21"/>
        <v>4034220</v>
      </c>
      <c r="IF30" s="185">
        <v>291145829</v>
      </c>
      <c r="IG30" s="40">
        <f t="shared" si="120"/>
        <v>9914648</v>
      </c>
      <c r="IH30" s="115"/>
    </row>
    <row r="31" spans="1:244" ht="25.5" x14ac:dyDescent="0.2">
      <c r="A31" s="17" t="s">
        <v>35</v>
      </c>
      <c r="B31" s="18"/>
      <c r="C31" s="52" t="s">
        <v>176</v>
      </c>
      <c r="D31" s="20">
        <v>2974554</v>
      </c>
      <c r="E31" s="21">
        <v>2974554</v>
      </c>
      <c r="F31" s="21">
        <v>1572442</v>
      </c>
      <c r="G31" s="21">
        <v>1373226</v>
      </c>
      <c r="H31" s="21"/>
      <c r="I31" s="21">
        <f t="shared" si="0"/>
        <v>1373226</v>
      </c>
      <c r="J31" s="22">
        <v>-184143</v>
      </c>
      <c r="K31" s="22"/>
      <c r="L31" s="22">
        <f t="shared" si="1"/>
        <v>-184143</v>
      </c>
      <c r="M31" s="23">
        <f t="shared" si="22"/>
        <v>1189083</v>
      </c>
      <c r="N31" s="23">
        <v>1189083</v>
      </c>
      <c r="O31" s="23">
        <v>1072134</v>
      </c>
      <c r="P31" s="23">
        <v>1072134</v>
      </c>
      <c r="Q31" s="23">
        <v>989083</v>
      </c>
      <c r="R31" s="23">
        <v>1072134</v>
      </c>
      <c r="S31" s="23">
        <v>0.1241</v>
      </c>
      <c r="T31" s="23">
        <f t="shared" si="121"/>
        <v>-133051.82939999999</v>
      </c>
      <c r="U31" s="23">
        <f t="shared" si="122"/>
        <v>939082.17060000007</v>
      </c>
      <c r="V31" s="23">
        <f t="shared" si="2"/>
        <v>-250000.82939999993</v>
      </c>
      <c r="W31" s="24">
        <v>939083</v>
      </c>
      <c r="X31" s="24"/>
      <c r="Y31" s="24">
        <f t="shared" si="23"/>
        <v>939083</v>
      </c>
      <c r="Z31" s="25">
        <v>942704</v>
      </c>
      <c r="AA31" s="25">
        <f t="shared" si="24"/>
        <v>3621</v>
      </c>
      <c r="AB31" s="25">
        <v>939083</v>
      </c>
      <c r="AC31" s="25">
        <v>939083</v>
      </c>
      <c r="AD31" s="26">
        <v>939083</v>
      </c>
      <c r="AE31" s="25"/>
      <c r="AF31" s="25"/>
      <c r="AG31" s="25">
        <f>AC31-Z31</f>
        <v>-3621</v>
      </c>
      <c r="AH31" s="26">
        <v>939083</v>
      </c>
      <c r="AI31" s="26">
        <v>939083</v>
      </c>
      <c r="AJ31" s="25">
        <f t="shared" si="141"/>
        <v>0</v>
      </c>
      <c r="AK31" s="25">
        <f t="shared" si="25"/>
        <v>-3621</v>
      </c>
      <c r="AL31" s="25">
        <f t="shared" si="26"/>
        <v>0</v>
      </c>
      <c r="AM31" s="26">
        <f t="shared" si="27"/>
        <v>0</v>
      </c>
      <c r="AN31" s="26">
        <f t="shared" si="28"/>
        <v>-3621</v>
      </c>
      <c r="AO31" s="26">
        <f t="shared" si="4"/>
        <v>0</v>
      </c>
      <c r="AP31" s="25">
        <v>939083</v>
      </c>
      <c r="AQ31" s="25">
        <f t="shared" si="5"/>
        <v>0</v>
      </c>
      <c r="AR31" s="25">
        <f t="shared" si="29"/>
        <v>-3621</v>
      </c>
      <c r="AS31" s="25">
        <f t="shared" si="30"/>
        <v>0</v>
      </c>
      <c r="AT31" s="25"/>
      <c r="AU31" s="25">
        <f t="shared" si="31"/>
        <v>939083</v>
      </c>
      <c r="AV31" s="25">
        <v>1710118</v>
      </c>
      <c r="AW31" s="25">
        <f t="shared" si="32"/>
        <v>771035</v>
      </c>
      <c r="AX31" s="25">
        <v>949289</v>
      </c>
      <c r="AY31" s="26">
        <f t="shared" si="123"/>
        <v>10206</v>
      </c>
      <c r="AZ31" s="26">
        <f t="shared" si="124"/>
        <v>-760829</v>
      </c>
      <c r="BA31" s="25">
        <v>949289</v>
      </c>
      <c r="BB31" s="25">
        <f t="shared" si="33"/>
        <v>10206</v>
      </c>
      <c r="BC31" s="25">
        <f t="shared" si="34"/>
        <v>-760829</v>
      </c>
      <c r="BD31" s="25">
        <f t="shared" si="35"/>
        <v>0</v>
      </c>
      <c r="BE31" s="25">
        <v>959028</v>
      </c>
      <c r="BF31" s="25">
        <v>955641</v>
      </c>
      <c r="BG31" s="25">
        <v>955641</v>
      </c>
      <c r="BH31" s="25">
        <f t="shared" si="36"/>
        <v>16558</v>
      </c>
      <c r="BI31" s="25">
        <f t="shared" si="37"/>
        <v>-754477</v>
      </c>
      <c r="BJ31" s="25">
        <f t="shared" si="38"/>
        <v>6352</v>
      </c>
      <c r="BK31" s="8">
        <f t="shared" si="39"/>
        <v>-3387</v>
      </c>
      <c r="BL31" s="25"/>
      <c r="BM31" s="29">
        <f t="shared" si="40"/>
        <v>955641</v>
      </c>
      <c r="BN31" s="38">
        <v>2979388</v>
      </c>
      <c r="BO31" s="27">
        <f t="shared" si="41"/>
        <v>2023747</v>
      </c>
      <c r="BP31" s="38">
        <v>974150</v>
      </c>
      <c r="BQ31" s="41">
        <f t="shared" si="42"/>
        <v>18509</v>
      </c>
      <c r="BR31" s="41">
        <f t="shared" si="43"/>
        <v>-2005238</v>
      </c>
      <c r="BS31" s="38">
        <f>BP31</f>
        <v>974150</v>
      </c>
      <c r="BT31" s="42">
        <f t="shared" si="44"/>
        <v>18509</v>
      </c>
      <c r="BU31" s="42">
        <f t="shared" si="45"/>
        <v>-2005238</v>
      </c>
      <c r="BV31" s="42">
        <f t="shared" si="46"/>
        <v>0</v>
      </c>
      <c r="BW31" s="38">
        <v>974150</v>
      </c>
      <c r="BX31" s="41">
        <f t="shared" si="47"/>
        <v>18509</v>
      </c>
      <c r="BY31" s="41">
        <f t="shared" si="48"/>
        <v>-2005238</v>
      </c>
      <c r="BZ31" s="41">
        <f t="shared" si="49"/>
        <v>0</v>
      </c>
      <c r="CA31" s="38">
        <v>974150</v>
      </c>
      <c r="CB31" s="8">
        <f t="shared" si="50"/>
        <v>18509</v>
      </c>
      <c r="CC31" s="8">
        <f t="shared" si="51"/>
        <v>-2005238</v>
      </c>
      <c r="CD31" s="8">
        <f t="shared" si="6"/>
        <v>0</v>
      </c>
      <c r="CE31" s="8">
        <f t="shared" si="52"/>
        <v>0</v>
      </c>
      <c r="CF31" s="38">
        <v>974150</v>
      </c>
      <c r="CG31" s="8">
        <f t="shared" si="53"/>
        <v>18509</v>
      </c>
      <c r="CH31" s="8">
        <f t="shared" si="54"/>
        <v>-2005238</v>
      </c>
      <c r="CI31" s="8">
        <f t="shared" si="55"/>
        <v>0</v>
      </c>
      <c r="CJ31" s="8">
        <f t="shared" si="56"/>
        <v>0</v>
      </c>
      <c r="CK31" s="38">
        <v>974150</v>
      </c>
      <c r="CL31" s="8">
        <f t="shared" si="7"/>
        <v>18509</v>
      </c>
      <c r="CM31" s="8">
        <f t="shared" si="57"/>
        <v>-2005238</v>
      </c>
      <c r="CN31" s="8">
        <f t="shared" si="58"/>
        <v>0</v>
      </c>
      <c r="CO31" s="38">
        <v>985749</v>
      </c>
      <c r="CP31" s="38">
        <f t="shared" si="59"/>
        <v>-1993639</v>
      </c>
      <c r="CQ31" s="8">
        <f t="shared" si="60"/>
        <v>11599</v>
      </c>
      <c r="CR31" s="38">
        <v>979650</v>
      </c>
      <c r="CS31" s="27"/>
      <c r="CT31" s="38">
        <f t="shared" si="61"/>
        <v>979650</v>
      </c>
      <c r="CU31" s="8">
        <f t="shared" si="62"/>
        <v>5500</v>
      </c>
      <c r="CV31" s="38">
        <f t="shared" si="63"/>
        <v>-6099</v>
      </c>
      <c r="CW31" s="38">
        <f t="shared" si="64"/>
        <v>0</v>
      </c>
      <c r="CX31" s="38">
        <v>979651</v>
      </c>
      <c r="CY31" s="8">
        <f t="shared" si="65"/>
        <v>5501</v>
      </c>
      <c r="CZ31" s="38">
        <f t="shared" si="66"/>
        <v>-6098</v>
      </c>
      <c r="DA31" s="38">
        <f t="shared" si="67"/>
        <v>1</v>
      </c>
      <c r="DB31" s="38">
        <v>979651</v>
      </c>
      <c r="DC31" s="8">
        <f t="shared" si="68"/>
        <v>5501</v>
      </c>
      <c r="DD31" s="38">
        <f t="shared" si="69"/>
        <v>-6098</v>
      </c>
      <c r="DE31" s="38">
        <f t="shared" si="70"/>
        <v>1</v>
      </c>
      <c r="DF31" s="38">
        <f t="shared" si="71"/>
        <v>0</v>
      </c>
      <c r="DG31" s="38">
        <v>979650</v>
      </c>
      <c r="DH31" s="40">
        <f t="shared" si="72"/>
        <v>5500</v>
      </c>
      <c r="DI31" s="38">
        <f t="shared" si="73"/>
        <v>-6099</v>
      </c>
      <c r="DJ31" s="38">
        <f t="shared" si="74"/>
        <v>0</v>
      </c>
      <c r="DK31" s="38">
        <f t="shared" si="75"/>
        <v>-1</v>
      </c>
      <c r="DL31" s="38"/>
      <c r="DM31" s="38">
        <f t="shared" si="76"/>
        <v>979650</v>
      </c>
      <c r="DN31" s="38">
        <v>979650</v>
      </c>
      <c r="DO31" s="38">
        <f t="shared" si="77"/>
        <v>5500</v>
      </c>
      <c r="DP31" s="38"/>
      <c r="DQ31" s="38">
        <v>0</v>
      </c>
      <c r="DR31" s="38">
        <f t="shared" si="78"/>
        <v>979650</v>
      </c>
      <c r="DS31" s="38">
        <f t="shared" si="79"/>
        <v>5500</v>
      </c>
      <c r="DT31" s="38"/>
      <c r="DU31" s="38">
        <f t="shared" si="80"/>
        <v>979650</v>
      </c>
      <c r="DV31" s="38">
        <f t="shared" si="81"/>
        <v>5500</v>
      </c>
      <c r="DW31" s="38">
        <v>979650</v>
      </c>
      <c r="DX31" s="38">
        <v>0</v>
      </c>
      <c r="DY31" s="8">
        <f t="shared" si="127"/>
        <v>-979650</v>
      </c>
      <c r="DZ31" s="40">
        <v>979650</v>
      </c>
      <c r="EA31" s="8">
        <f t="shared" si="128"/>
        <v>0</v>
      </c>
      <c r="EB31" s="8">
        <f t="shared" si="129"/>
        <v>979650</v>
      </c>
      <c r="EC31" s="58" t="s">
        <v>256</v>
      </c>
      <c r="ED31" s="37">
        <v>979650</v>
      </c>
      <c r="EE31" s="25">
        <f t="shared" si="130"/>
        <v>0</v>
      </c>
      <c r="EF31" s="25">
        <f t="shared" si="131"/>
        <v>979650</v>
      </c>
      <c r="EG31" s="25">
        <f t="shared" si="82"/>
        <v>0</v>
      </c>
      <c r="EH31" s="37">
        <v>978747</v>
      </c>
      <c r="EI31" s="25">
        <f t="shared" si="132"/>
        <v>-903</v>
      </c>
      <c r="EJ31" s="25">
        <f t="shared" si="133"/>
        <v>978747</v>
      </c>
      <c r="EK31" s="25">
        <f t="shared" si="83"/>
        <v>-903</v>
      </c>
      <c r="EL31" s="37">
        <v>978747</v>
      </c>
      <c r="EM31" s="25">
        <f t="shared" si="134"/>
        <v>-903</v>
      </c>
      <c r="EN31" s="25">
        <f t="shared" si="135"/>
        <v>978747</v>
      </c>
      <c r="EO31" s="25">
        <f t="shared" si="125"/>
        <v>-903</v>
      </c>
      <c r="EP31" s="25">
        <f t="shared" si="84"/>
        <v>0</v>
      </c>
      <c r="EQ31" s="37">
        <v>978747</v>
      </c>
      <c r="ER31" s="25">
        <f t="shared" si="136"/>
        <v>-903</v>
      </c>
      <c r="ES31" s="25">
        <f t="shared" si="137"/>
        <v>978747</v>
      </c>
      <c r="ET31" s="25">
        <f t="shared" si="85"/>
        <v>-903</v>
      </c>
      <c r="EU31" s="25">
        <f t="shared" si="86"/>
        <v>0</v>
      </c>
      <c r="EV31" s="37">
        <v>978747</v>
      </c>
      <c r="EW31" s="25">
        <f t="shared" si="138"/>
        <v>-903</v>
      </c>
      <c r="EX31" s="25">
        <f t="shared" si="87"/>
        <v>0</v>
      </c>
      <c r="EY31" s="25">
        <f t="shared" si="8"/>
        <v>0</v>
      </c>
      <c r="EZ31" s="37">
        <v>978747</v>
      </c>
      <c r="FA31" s="25">
        <f t="shared" si="139"/>
        <v>-903</v>
      </c>
      <c r="FB31" s="25"/>
      <c r="FC31" s="25">
        <f t="shared" si="88"/>
        <v>978747</v>
      </c>
      <c r="FD31" s="25"/>
      <c r="FE31" s="25"/>
      <c r="FF31" s="25">
        <f t="shared" si="89"/>
        <v>978747</v>
      </c>
      <c r="FG31" s="37">
        <v>891245</v>
      </c>
      <c r="FH31" s="25">
        <f t="shared" si="90"/>
        <v>-87502</v>
      </c>
      <c r="FI31" s="25"/>
      <c r="FJ31" s="37">
        <v>890322</v>
      </c>
      <c r="FK31" s="37">
        <f t="shared" si="91"/>
        <v>-88425</v>
      </c>
      <c r="FL31" s="37">
        <f t="shared" si="92"/>
        <v>-923</v>
      </c>
      <c r="FM31" s="37">
        <v>890322</v>
      </c>
      <c r="FN31" s="37">
        <f t="shared" si="93"/>
        <v>-88425</v>
      </c>
      <c r="FO31" s="37">
        <f t="shared" si="94"/>
        <v>-923</v>
      </c>
      <c r="FP31" s="37">
        <f t="shared" si="95"/>
        <v>0</v>
      </c>
      <c r="FQ31" s="37"/>
      <c r="FR31" s="37">
        <v>909324</v>
      </c>
      <c r="FS31" s="37">
        <f t="shared" si="96"/>
        <v>-69423</v>
      </c>
      <c r="FT31" s="37">
        <f t="shared" si="97"/>
        <v>18079</v>
      </c>
      <c r="FU31" s="37">
        <f t="shared" si="98"/>
        <v>19002</v>
      </c>
      <c r="FV31" s="100"/>
      <c r="FW31" s="37">
        <v>909324</v>
      </c>
      <c r="FX31" s="37">
        <f t="shared" si="99"/>
        <v>-69423</v>
      </c>
      <c r="FY31" s="37">
        <f t="shared" si="100"/>
        <v>18079</v>
      </c>
      <c r="FZ31" s="37">
        <f t="shared" si="101"/>
        <v>19002</v>
      </c>
      <c r="GA31" s="37">
        <f t="shared" si="102"/>
        <v>0</v>
      </c>
      <c r="GB31" s="107"/>
      <c r="GC31" s="37">
        <v>890322</v>
      </c>
      <c r="GD31" s="26"/>
      <c r="GE31" s="37">
        <f t="shared" si="103"/>
        <v>890322</v>
      </c>
      <c r="GF31" s="38"/>
      <c r="GG31" s="37">
        <f t="shared" si="104"/>
        <v>890322</v>
      </c>
      <c r="GH31" s="26">
        <f t="shared" si="9"/>
        <v>-88425</v>
      </c>
      <c r="GI31" s="37">
        <f t="shared" si="10"/>
        <v>-923</v>
      </c>
      <c r="GJ31" s="37">
        <f t="shared" si="11"/>
        <v>0</v>
      </c>
      <c r="GK31" s="37">
        <f t="shared" si="12"/>
        <v>-19002</v>
      </c>
      <c r="GL31" s="37">
        <f t="shared" si="13"/>
        <v>0</v>
      </c>
      <c r="GM31" s="107"/>
      <c r="GN31" s="115"/>
      <c r="GO31" s="113">
        <f t="shared" si="105"/>
        <v>890322</v>
      </c>
      <c r="GP31" s="113">
        <v>-8903</v>
      </c>
      <c r="GQ31" s="113">
        <f t="shared" si="106"/>
        <v>881419</v>
      </c>
      <c r="GR31" s="113"/>
      <c r="GS31" s="128">
        <v>881419</v>
      </c>
      <c r="GT31" s="128">
        <v>890322</v>
      </c>
      <c r="GU31" s="123">
        <f t="shared" si="144"/>
        <v>8903</v>
      </c>
      <c r="GV31" s="115" t="s">
        <v>386</v>
      </c>
      <c r="GW31" s="99">
        <v>890323</v>
      </c>
      <c r="GX31" s="128">
        <f t="shared" si="108"/>
        <v>8904</v>
      </c>
      <c r="GY31" s="128">
        <f t="shared" si="109"/>
        <v>1</v>
      </c>
      <c r="GZ31" s="115"/>
      <c r="HA31" s="99">
        <v>890323</v>
      </c>
      <c r="HB31" s="128">
        <f t="shared" si="110"/>
        <v>8904</v>
      </c>
      <c r="HC31" s="128">
        <f t="shared" si="111"/>
        <v>1</v>
      </c>
      <c r="HD31" s="128">
        <f t="shared" si="112"/>
        <v>0</v>
      </c>
      <c r="HE31" s="115"/>
      <c r="HF31" s="99">
        <v>890322</v>
      </c>
      <c r="HG31" s="128">
        <f t="shared" si="126"/>
        <v>8903</v>
      </c>
      <c r="HH31" s="128">
        <f t="shared" si="113"/>
        <v>0</v>
      </c>
      <c r="HI31" s="128">
        <f t="shared" si="114"/>
        <v>-1</v>
      </c>
      <c r="HJ31" s="115"/>
      <c r="HK31" s="99">
        <v>890322</v>
      </c>
      <c r="HL31" s="128">
        <f t="shared" si="115"/>
        <v>8903</v>
      </c>
      <c r="HM31" s="128">
        <f t="shared" si="116"/>
        <v>0</v>
      </c>
      <c r="HN31" s="128">
        <f t="shared" si="117"/>
        <v>-1</v>
      </c>
      <c r="HO31" s="128">
        <f t="shared" si="118"/>
        <v>0</v>
      </c>
      <c r="HP31" s="115"/>
      <c r="HQ31" s="99">
        <v>890322</v>
      </c>
      <c r="HR31" s="128">
        <f t="shared" si="145"/>
        <v>8903</v>
      </c>
      <c r="HS31" s="128">
        <f t="shared" si="15"/>
        <v>0</v>
      </c>
      <c r="HT31" s="128">
        <f t="shared" si="16"/>
        <v>-1</v>
      </c>
      <c r="HU31" s="128">
        <f t="shared" si="17"/>
        <v>0</v>
      </c>
      <c r="HV31" s="115"/>
      <c r="HW31" s="99">
        <v>890322</v>
      </c>
      <c r="HX31" s="128">
        <f t="shared" si="18"/>
        <v>8903</v>
      </c>
      <c r="HY31" s="128">
        <f t="shared" si="19"/>
        <v>0</v>
      </c>
      <c r="HZ31" s="128">
        <f t="shared" si="119"/>
        <v>0</v>
      </c>
      <c r="IA31" s="115"/>
      <c r="IB31" s="99">
        <v>890322</v>
      </c>
      <c r="IC31" s="166"/>
      <c r="ID31" s="128">
        <f t="shared" si="20"/>
        <v>890322</v>
      </c>
      <c r="IE31" s="164">
        <f t="shared" si="21"/>
        <v>8903</v>
      </c>
      <c r="IF31" s="185">
        <v>891956</v>
      </c>
      <c r="IG31" s="40">
        <f t="shared" si="120"/>
        <v>1634</v>
      </c>
      <c r="IH31" s="115"/>
    </row>
    <row r="32" spans="1:244" ht="15.75" customHeight="1" x14ac:dyDescent="0.2">
      <c r="A32" s="17" t="s">
        <v>69</v>
      </c>
      <c r="B32" s="18"/>
      <c r="C32" s="51" t="s">
        <v>264</v>
      </c>
      <c r="D32" s="20"/>
      <c r="E32" s="21"/>
      <c r="F32" s="21"/>
      <c r="G32" s="21"/>
      <c r="H32" s="21"/>
      <c r="I32" s="21"/>
      <c r="J32" s="22"/>
      <c r="K32" s="22"/>
      <c r="L32" s="22"/>
      <c r="M32" s="23">
        <v>0</v>
      </c>
      <c r="N32" s="23">
        <v>0</v>
      </c>
      <c r="O32" s="23">
        <v>1700000</v>
      </c>
      <c r="P32" s="23">
        <v>1700000</v>
      </c>
      <c r="Q32" s="23">
        <v>1700000</v>
      </c>
      <c r="R32" s="23">
        <v>1700000</v>
      </c>
      <c r="S32" s="23">
        <v>0.23529</v>
      </c>
      <c r="T32" s="23">
        <f t="shared" si="121"/>
        <v>-399993</v>
      </c>
      <c r="U32" s="23">
        <f t="shared" si="122"/>
        <v>1300007</v>
      </c>
      <c r="V32" s="23">
        <f t="shared" si="2"/>
        <v>1300007</v>
      </c>
      <c r="W32" s="24">
        <v>1300000</v>
      </c>
      <c r="X32" s="24"/>
      <c r="Y32" s="24">
        <f t="shared" si="23"/>
        <v>1300000</v>
      </c>
      <c r="Z32" s="25">
        <v>0</v>
      </c>
      <c r="AA32" s="25">
        <f t="shared" si="24"/>
        <v>-1300000</v>
      </c>
      <c r="AB32" s="25">
        <v>1300000</v>
      </c>
      <c r="AC32" s="25">
        <v>1300000</v>
      </c>
      <c r="AD32" s="26">
        <v>1300000</v>
      </c>
      <c r="AE32" s="25"/>
      <c r="AF32" s="25"/>
      <c r="AG32" s="25">
        <f>AC32-Z32</f>
        <v>1300000</v>
      </c>
      <c r="AH32" s="26">
        <v>1300000</v>
      </c>
      <c r="AI32" s="26">
        <v>1300000</v>
      </c>
      <c r="AJ32" s="25">
        <f t="shared" si="141"/>
        <v>0</v>
      </c>
      <c r="AK32" s="25">
        <f t="shared" si="25"/>
        <v>1300000</v>
      </c>
      <c r="AL32" s="25">
        <f t="shared" si="26"/>
        <v>0</v>
      </c>
      <c r="AM32" s="26">
        <f t="shared" si="27"/>
        <v>0</v>
      </c>
      <c r="AN32" s="26">
        <f t="shared" si="28"/>
        <v>1300000</v>
      </c>
      <c r="AO32" s="26">
        <f t="shared" si="4"/>
        <v>0</v>
      </c>
      <c r="AP32" s="25">
        <v>1300000</v>
      </c>
      <c r="AQ32" s="25">
        <f t="shared" si="5"/>
        <v>0</v>
      </c>
      <c r="AR32" s="25">
        <f t="shared" si="29"/>
        <v>1300000</v>
      </c>
      <c r="AS32" s="25">
        <f t="shared" si="30"/>
        <v>0</v>
      </c>
      <c r="AT32" s="25"/>
      <c r="AU32" s="25">
        <f t="shared" si="31"/>
        <v>1300000</v>
      </c>
      <c r="AV32" s="25">
        <v>0</v>
      </c>
      <c r="AW32" s="25">
        <f t="shared" si="32"/>
        <v>-1300000</v>
      </c>
      <c r="AX32" s="25">
        <v>0</v>
      </c>
      <c r="AY32" s="26">
        <f t="shared" si="123"/>
        <v>-1300000</v>
      </c>
      <c r="AZ32" s="26">
        <f t="shared" si="124"/>
        <v>0</v>
      </c>
      <c r="BA32" s="25">
        <v>1300000</v>
      </c>
      <c r="BB32" s="25">
        <f t="shared" si="33"/>
        <v>0</v>
      </c>
      <c r="BC32" s="25">
        <f t="shared" si="34"/>
        <v>1300000</v>
      </c>
      <c r="BD32" s="25">
        <f t="shared" si="35"/>
        <v>1300000</v>
      </c>
      <c r="BE32" s="25">
        <v>1300000</v>
      </c>
      <c r="BF32" s="25">
        <v>1300000</v>
      </c>
      <c r="BG32" s="25">
        <v>1300000</v>
      </c>
      <c r="BH32" s="25">
        <f t="shared" si="36"/>
        <v>0</v>
      </c>
      <c r="BI32" s="25">
        <f t="shared" si="37"/>
        <v>1300000</v>
      </c>
      <c r="BJ32" s="25">
        <f t="shared" si="38"/>
        <v>0</v>
      </c>
      <c r="BK32" s="8">
        <f t="shared" si="39"/>
        <v>0</v>
      </c>
      <c r="BL32" s="25"/>
      <c r="BM32" s="29">
        <f t="shared" si="40"/>
        <v>1300000</v>
      </c>
      <c r="BN32" s="38">
        <v>0</v>
      </c>
      <c r="BO32" s="27">
        <f t="shared" si="41"/>
        <v>-1300000</v>
      </c>
      <c r="BP32" s="38">
        <v>0</v>
      </c>
      <c r="BQ32" s="41">
        <f t="shared" si="42"/>
        <v>-1300000</v>
      </c>
      <c r="BR32" s="41">
        <f t="shared" si="43"/>
        <v>0</v>
      </c>
      <c r="BS32" s="38">
        <v>400000</v>
      </c>
      <c r="BT32" s="42">
        <f t="shared" si="44"/>
        <v>-900000</v>
      </c>
      <c r="BU32" s="42">
        <f t="shared" si="45"/>
        <v>400000</v>
      </c>
      <c r="BV32" s="42">
        <f t="shared" si="46"/>
        <v>400000</v>
      </c>
      <c r="BW32" s="38">
        <v>900000</v>
      </c>
      <c r="BX32" s="41">
        <f t="shared" si="47"/>
        <v>-400000</v>
      </c>
      <c r="BY32" s="41">
        <f t="shared" si="48"/>
        <v>900000</v>
      </c>
      <c r="BZ32" s="41">
        <f t="shared" si="49"/>
        <v>500000</v>
      </c>
      <c r="CA32" s="38">
        <f>900000+400000</f>
        <v>1300000</v>
      </c>
      <c r="CB32" s="8">
        <f t="shared" si="50"/>
        <v>0</v>
      </c>
      <c r="CC32" s="8">
        <f t="shared" si="51"/>
        <v>1300000</v>
      </c>
      <c r="CD32" s="8">
        <f t="shared" si="6"/>
        <v>900000</v>
      </c>
      <c r="CE32" s="8">
        <f t="shared" si="52"/>
        <v>400000</v>
      </c>
      <c r="CF32" s="38">
        <v>1300000</v>
      </c>
      <c r="CG32" s="8">
        <f t="shared" si="53"/>
        <v>0</v>
      </c>
      <c r="CH32" s="8">
        <f t="shared" si="54"/>
        <v>1300000</v>
      </c>
      <c r="CI32" s="8">
        <f t="shared" si="55"/>
        <v>900000</v>
      </c>
      <c r="CJ32" s="8">
        <f t="shared" si="56"/>
        <v>0</v>
      </c>
      <c r="CK32" s="38">
        <v>1300000</v>
      </c>
      <c r="CL32" s="8">
        <f t="shared" si="7"/>
        <v>0</v>
      </c>
      <c r="CM32" s="8">
        <f t="shared" si="57"/>
        <v>1300000</v>
      </c>
      <c r="CN32" s="8">
        <f t="shared" si="58"/>
        <v>0</v>
      </c>
      <c r="CO32" s="38">
        <v>0</v>
      </c>
      <c r="CP32" s="38">
        <f t="shared" si="59"/>
        <v>0</v>
      </c>
      <c r="CQ32" s="8">
        <f t="shared" si="60"/>
        <v>-1300000</v>
      </c>
      <c r="CR32" s="38">
        <v>0</v>
      </c>
      <c r="CS32" s="27">
        <v>400000</v>
      </c>
      <c r="CT32" s="38">
        <f t="shared" si="61"/>
        <v>400000</v>
      </c>
      <c r="CU32" s="8">
        <f t="shared" si="62"/>
        <v>-900000</v>
      </c>
      <c r="CV32" s="38">
        <f t="shared" si="63"/>
        <v>400000</v>
      </c>
      <c r="CW32" s="38">
        <f t="shared" si="64"/>
        <v>400000</v>
      </c>
      <c r="CX32" s="38">
        <v>1300000</v>
      </c>
      <c r="CY32" s="8">
        <f t="shared" si="65"/>
        <v>0</v>
      </c>
      <c r="CZ32" s="38">
        <f t="shared" si="66"/>
        <v>1300000</v>
      </c>
      <c r="DA32" s="38">
        <f t="shared" si="67"/>
        <v>900000</v>
      </c>
      <c r="DB32" s="38">
        <v>1300000</v>
      </c>
      <c r="DC32" s="8">
        <f t="shared" si="68"/>
        <v>0</v>
      </c>
      <c r="DD32" s="38">
        <f t="shared" si="69"/>
        <v>1300000</v>
      </c>
      <c r="DE32" s="38">
        <f t="shared" si="70"/>
        <v>900000</v>
      </c>
      <c r="DF32" s="38">
        <f t="shared" si="71"/>
        <v>0</v>
      </c>
      <c r="DG32" s="38">
        <v>1300000</v>
      </c>
      <c r="DH32" s="40">
        <f t="shared" si="72"/>
        <v>0</v>
      </c>
      <c r="DI32" s="38">
        <f t="shared" si="73"/>
        <v>1300000</v>
      </c>
      <c r="DJ32" s="38">
        <f t="shared" si="74"/>
        <v>900000</v>
      </c>
      <c r="DK32" s="38">
        <f t="shared" si="75"/>
        <v>0</v>
      </c>
      <c r="DL32" s="38"/>
      <c r="DM32" s="38">
        <f t="shared" si="76"/>
        <v>1300000</v>
      </c>
      <c r="DN32" s="38">
        <v>1300000</v>
      </c>
      <c r="DO32" s="38">
        <f t="shared" si="77"/>
        <v>0</v>
      </c>
      <c r="DP32" s="38"/>
      <c r="DQ32" s="38">
        <v>-1300000</v>
      </c>
      <c r="DR32" s="38">
        <f t="shared" si="78"/>
        <v>0</v>
      </c>
      <c r="DS32" s="38">
        <f t="shared" si="79"/>
        <v>-1300000</v>
      </c>
      <c r="DT32" s="38"/>
      <c r="DU32" s="38">
        <f t="shared" si="80"/>
        <v>0</v>
      </c>
      <c r="DV32" s="38">
        <f t="shared" si="81"/>
        <v>-1300000</v>
      </c>
      <c r="DW32" s="38">
        <v>0</v>
      </c>
      <c r="DX32" s="38">
        <v>0</v>
      </c>
      <c r="DY32" s="8">
        <f t="shared" si="127"/>
        <v>0</v>
      </c>
      <c r="DZ32" s="40">
        <v>0</v>
      </c>
      <c r="EA32" s="8">
        <f t="shared" si="128"/>
        <v>0</v>
      </c>
      <c r="EB32" s="8">
        <f t="shared" si="129"/>
        <v>0</v>
      </c>
      <c r="EC32" s="60"/>
      <c r="ED32" s="37">
        <v>400000</v>
      </c>
      <c r="EE32" s="25">
        <f t="shared" si="130"/>
        <v>400000</v>
      </c>
      <c r="EF32" s="25">
        <f t="shared" si="131"/>
        <v>400000</v>
      </c>
      <c r="EG32" s="25">
        <f t="shared" si="82"/>
        <v>400000</v>
      </c>
      <c r="EH32" s="37">
        <v>1300000</v>
      </c>
      <c r="EI32" s="25">
        <f t="shared" si="132"/>
        <v>1300000</v>
      </c>
      <c r="EJ32" s="25">
        <f t="shared" si="133"/>
        <v>1300000</v>
      </c>
      <c r="EK32" s="25">
        <f t="shared" si="83"/>
        <v>900000</v>
      </c>
      <c r="EL32" s="37">
        <v>1300000</v>
      </c>
      <c r="EM32" s="25">
        <f t="shared" si="134"/>
        <v>1300000</v>
      </c>
      <c r="EN32" s="25">
        <f t="shared" si="135"/>
        <v>1300000</v>
      </c>
      <c r="EO32" s="25">
        <f t="shared" si="125"/>
        <v>900000</v>
      </c>
      <c r="EP32" s="25">
        <f t="shared" si="84"/>
        <v>0</v>
      </c>
      <c r="EQ32" s="37">
        <v>1300000</v>
      </c>
      <c r="ER32" s="25">
        <f t="shared" si="136"/>
        <v>1300000</v>
      </c>
      <c r="ES32" s="25">
        <f t="shared" si="137"/>
        <v>1300000</v>
      </c>
      <c r="ET32" s="25">
        <f t="shared" si="85"/>
        <v>900000</v>
      </c>
      <c r="EU32" s="25">
        <f t="shared" si="86"/>
        <v>0</v>
      </c>
      <c r="EV32" s="37">
        <v>1300000</v>
      </c>
      <c r="EW32" s="25">
        <f t="shared" si="138"/>
        <v>1300000</v>
      </c>
      <c r="EX32" s="25">
        <f t="shared" si="87"/>
        <v>0</v>
      </c>
      <c r="EY32" s="25">
        <f t="shared" si="8"/>
        <v>0</v>
      </c>
      <c r="EZ32" s="37">
        <v>1300000</v>
      </c>
      <c r="FA32" s="25">
        <f t="shared" si="139"/>
        <v>1300000</v>
      </c>
      <c r="FB32" s="25"/>
      <c r="FC32" s="25">
        <f t="shared" si="88"/>
        <v>1300000</v>
      </c>
      <c r="FD32" s="25"/>
      <c r="FE32" s="25"/>
      <c r="FF32" s="25">
        <f t="shared" si="89"/>
        <v>1300000</v>
      </c>
      <c r="FG32" s="37">
        <v>0</v>
      </c>
      <c r="FH32" s="25">
        <f t="shared" si="90"/>
        <v>-1300000</v>
      </c>
      <c r="FI32" s="25"/>
      <c r="FJ32" s="37">
        <v>0</v>
      </c>
      <c r="FK32" s="37">
        <f t="shared" si="91"/>
        <v>-1300000</v>
      </c>
      <c r="FL32" s="37">
        <f t="shared" si="92"/>
        <v>0</v>
      </c>
      <c r="FM32" s="37">
        <v>500000</v>
      </c>
      <c r="FN32" s="37">
        <f t="shared" ref="FN32:FN35" si="146">FM32-FF32</f>
        <v>-800000</v>
      </c>
      <c r="FO32" s="37">
        <f t="shared" ref="FO32:FO35" si="147">FM32-FG32</f>
        <v>500000</v>
      </c>
      <c r="FP32" s="37">
        <f t="shared" ref="FP32:FP35" si="148">FM32-FJ32</f>
        <v>500000</v>
      </c>
      <c r="FQ32" s="37"/>
      <c r="FR32" s="37">
        <v>1300000</v>
      </c>
      <c r="FS32" s="37">
        <f t="shared" si="96"/>
        <v>0</v>
      </c>
      <c r="FT32" s="37">
        <f t="shared" si="97"/>
        <v>1300000</v>
      </c>
      <c r="FU32" s="37">
        <f t="shared" si="98"/>
        <v>800000</v>
      </c>
      <c r="FV32" s="100"/>
      <c r="FW32" s="37">
        <v>1300000</v>
      </c>
      <c r="FX32" s="37">
        <f t="shared" si="99"/>
        <v>0</v>
      </c>
      <c r="FY32" s="37">
        <f t="shared" si="100"/>
        <v>1300000</v>
      </c>
      <c r="FZ32" s="37">
        <f t="shared" si="101"/>
        <v>800000</v>
      </c>
      <c r="GA32" s="37">
        <f t="shared" si="102"/>
        <v>0</v>
      </c>
      <c r="GB32" s="107"/>
      <c r="GC32" s="37">
        <v>1400000</v>
      </c>
      <c r="GD32" s="26">
        <v>-100000</v>
      </c>
      <c r="GE32" s="37">
        <f t="shared" si="103"/>
        <v>1300000</v>
      </c>
      <c r="GF32" s="38">
        <v>100000</v>
      </c>
      <c r="GG32" s="37">
        <f t="shared" si="104"/>
        <v>1400000</v>
      </c>
      <c r="GH32" s="26">
        <f t="shared" si="9"/>
        <v>100000</v>
      </c>
      <c r="GI32" s="37">
        <f t="shared" si="10"/>
        <v>1400000</v>
      </c>
      <c r="GJ32" s="37">
        <f t="shared" si="11"/>
        <v>900000</v>
      </c>
      <c r="GK32" s="37">
        <f t="shared" si="12"/>
        <v>100000</v>
      </c>
      <c r="GL32" s="37">
        <f t="shared" si="13"/>
        <v>0</v>
      </c>
      <c r="GM32" s="107" t="s">
        <v>355</v>
      </c>
      <c r="GN32" s="115"/>
      <c r="GO32" s="113">
        <f t="shared" si="105"/>
        <v>1400000</v>
      </c>
      <c r="GP32" s="113"/>
      <c r="GQ32" s="113">
        <f t="shared" si="106"/>
        <v>1400000</v>
      </c>
      <c r="GR32" s="113">
        <v>-100000</v>
      </c>
      <c r="GS32" s="128">
        <v>1300000</v>
      </c>
      <c r="GT32" s="128">
        <v>1300000</v>
      </c>
      <c r="GU32" s="123">
        <f t="shared" si="144"/>
        <v>0</v>
      </c>
      <c r="GV32" s="115"/>
      <c r="GW32" s="99">
        <v>0</v>
      </c>
      <c r="GX32" s="128">
        <f t="shared" si="108"/>
        <v>-1300000</v>
      </c>
      <c r="GY32" s="128">
        <f t="shared" si="109"/>
        <v>-1300000</v>
      </c>
      <c r="GZ32" s="115" t="s">
        <v>400</v>
      </c>
      <c r="HA32" s="99">
        <v>500000</v>
      </c>
      <c r="HB32" s="128">
        <f t="shared" si="110"/>
        <v>-800000</v>
      </c>
      <c r="HC32" s="128">
        <f t="shared" si="111"/>
        <v>-800000</v>
      </c>
      <c r="HD32" s="128">
        <f t="shared" si="112"/>
        <v>500000</v>
      </c>
      <c r="HE32" s="115" t="s">
        <v>417</v>
      </c>
      <c r="HF32" s="99">
        <v>1300000</v>
      </c>
      <c r="HG32" s="128">
        <f t="shared" si="126"/>
        <v>0</v>
      </c>
      <c r="HH32" s="128">
        <f t="shared" si="113"/>
        <v>0</v>
      </c>
      <c r="HI32" s="128">
        <f t="shared" si="114"/>
        <v>800000</v>
      </c>
      <c r="HJ32" s="115"/>
      <c r="HK32" s="99">
        <v>1300000</v>
      </c>
      <c r="HL32" s="128">
        <f t="shared" si="115"/>
        <v>0</v>
      </c>
      <c r="HM32" s="128">
        <f t="shared" si="116"/>
        <v>0</v>
      </c>
      <c r="HN32" s="128">
        <f t="shared" si="117"/>
        <v>800000</v>
      </c>
      <c r="HO32" s="128">
        <f t="shared" si="118"/>
        <v>0</v>
      </c>
      <c r="HP32" s="115"/>
      <c r="HQ32" s="99">
        <v>1400000</v>
      </c>
      <c r="HR32" s="128">
        <f t="shared" si="145"/>
        <v>100000</v>
      </c>
      <c r="HS32" s="128">
        <f t="shared" si="15"/>
        <v>100000</v>
      </c>
      <c r="HT32" s="128">
        <f t="shared" si="16"/>
        <v>900000</v>
      </c>
      <c r="HU32" s="128">
        <f t="shared" si="17"/>
        <v>100000</v>
      </c>
      <c r="HV32" s="115" t="s">
        <v>417</v>
      </c>
      <c r="HW32" s="99">
        <v>1300000</v>
      </c>
      <c r="HX32" s="128">
        <f t="shared" si="18"/>
        <v>0</v>
      </c>
      <c r="HY32" s="128">
        <f t="shared" si="19"/>
        <v>0</v>
      </c>
      <c r="HZ32" s="128">
        <f t="shared" si="119"/>
        <v>-100000</v>
      </c>
      <c r="IA32" s="115"/>
      <c r="IB32" s="99">
        <v>1400000</v>
      </c>
      <c r="IC32" s="115" t="s">
        <v>417</v>
      </c>
      <c r="ID32" s="128">
        <f t="shared" si="20"/>
        <v>1400000</v>
      </c>
      <c r="IE32" s="164">
        <f t="shared" si="21"/>
        <v>100000</v>
      </c>
      <c r="IF32" s="185">
        <v>1300000</v>
      </c>
      <c r="IG32" s="40">
        <f t="shared" si="120"/>
        <v>-100000</v>
      </c>
      <c r="IH32" s="115" t="s">
        <v>543</v>
      </c>
    </row>
    <row r="33" spans="1:242" ht="25.5" hidden="1" customHeight="1" x14ac:dyDescent="0.2">
      <c r="A33" s="39" t="s">
        <v>248</v>
      </c>
      <c r="B33" s="18"/>
      <c r="C33" s="52" t="s">
        <v>249</v>
      </c>
      <c r="D33" s="20"/>
      <c r="E33" s="21"/>
      <c r="F33" s="21"/>
      <c r="G33" s="21"/>
      <c r="H33" s="21"/>
      <c r="I33" s="21"/>
      <c r="J33" s="22"/>
      <c r="K33" s="22"/>
      <c r="L33" s="22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4"/>
      <c r="X33" s="24"/>
      <c r="Y33" s="24"/>
      <c r="Z33" s="25"/>
      <c r="AA33" s="25"/>
      <c r="AB33" s="25"/>
      <c r="AC33" s="25"/>
      <c r="AD33" s="26"/>
      <c r="AE33" s="25"/>
      <c r="AF33" s="25"/>
      <c r="AG33" s="25"/>
      <c r="AH33" s="26"/>
      <c r="AI33" s="26"/>
      <c r="AJ33" s="25"/>
      <c r="AK33" s="25"/>
      <c r="AL33" s="25"/>
      <c r="AM33" s="26"/>
      <c r="AN33" s="26"/>
      <c r="AO33" s="26"/>
      <c r="AP33" s="25"/>
      <c r="AQ33" s="25"/>
      <c r="AR33" s="25"/>
      <c r="AS33" s="25"/>
      <c r="AT33" s="25"/>
      <c r="AU33" s="25"/>
      <c r="AV33" s="25"/>
      <c r="AW33" s="25"/>
      <c r="AX33" s="25"/>
      <c r="AY33" s="26"/>
      <c r="AZ33" s="26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8"/>
      <c r="BL33" s="25"/>
      <c r="BM33" s="29"/>
      <c r="BN33" s="38"/>
      <c r="BO33" s="27"/>
      <c r="BP33" s="38"/>
      <c r="BQ33" s="41"/>
      <c r="BR33" s="41"/>
      <c r="BS33" s="38"/>
      <c r="BT33" s="42"/>
      <c r="BU33" s="42"/>
      <c r="BV33" s="42"/>
      <c r="BW33" s="38"/>
      <c r="BX33" s="41"/>
      <c r="BY33" s="41"/>
      <c r="BZ33" s="41"/>
      <c r="CA33" s="38"/>
      <c r="CB33" s="8"/>
      <c r="CC33" s="8"/>
      <c r="CD33" s="8"/>
      <c r="CE33" s="8"/>
      <c r="CF33" s="38"/>
      <c r="CG33" s="8"/>
      <c r="CH33" s="8"/>
      <c r="CI33" s="8"/>
      <c r="CJ33" s="8"/>
      <c r="CK33" s="38"/>
      <c r="CL33" s="8"/>
      <c r="CM33" s="8"/>
      <c r="CN33" s="8"/>
      <c r="CO33" s="38"/>
      <c r="CP33" s="38"/>
      <c r="CQ33" s="8"/>
      <c r="CR33" s="38"/>
      <c r="CS33" s="27"/>
      <c r="CT33" s="38"/>
      <c r="CU33" s="8"/>
      <c r="CV33" s="38"/>
      <c r="CW33" s="38"/>
      <c r="CX33" s="38"/>
      <c r="CY33" s="8"/>
      <c r="CZ33" s="38"/>
      <c r="DA33" s="38"/>
      <c r="DB33" s="38"/>
      <c r="DC33" s="8"/>
      <c r="DD33" s="38"/>
      <c r="DE33" s="38"/>
      <c r="DF33" s="38"/>
      <c r="DG33" s="38"/>
      <c r="DH33" s="40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>
        <v>500000</v>
      </c>
      <c r="DY33" s="8">
        <f t="shared" si="127"/>
        <v>500000</v>
      </c>
      <c r="DZ33" s="40">
        <v>0</v>
      </c>
      <c r="EA33" s="8">
        <f t="shared" si="128"/>
        <v>0</v>
      </c>
      <c r="EB33" s="8">
        <f t="shared" si="129"/>
        <v>-500000</v>
      </c>
      <c r="EC33" s="60"/>
      <c r="ED33" s="37">
        <v>0</v>
      </c>
      <c r="EE33" s="25">
        <f t="shared" si="130"/>
        <v>0</v>
      </c>
      <c r="EF33" s="25">
        <f t="shared" si="131"/>
        <v>-500000</v>
      </c>
      <c r="EG33" s="25">
        <f t="shared" si="82"/>
        <v>0</v>
      </c>
      <c r="EH33" s="37">
        <v>0</v>
      </c>
      <c r="EI33" s="25">
        <f t="shared" si="132"/>
        <v>0</v>
      </c>
      <c r="EJ33" s="25">
        <f t="shared" si="133"/>
        <v>-500000</v>
      </c>
      <c r="EK33" s="25">
        <f t="shared" si="83"/>
        <v>0</v>
      </c>
      <c r="EL33" s="37">
        <v>0</v>
      </c>
      <c r="EM33" s="25">
        <f t="shared" si="134"/>
        <v>0</v>
      </c>
      <c r="EN33" s="25">
        <f t="shared" si="135"/>
        <v>-500000</v>
      </c>
      <c r="EO33" s="25">
        <f t="shared" si="125"/>
        <v>0</v>
      </c>
      <c r="EP33" s="25">
        <f t="shared" si="84"/>
        <v>0</v>
      </c>
      <c r="EQ33" s="37">
        <v>0</v>
      </c>
      <c r="ER33" s="25">
        <f t="shared" si="136"/>
        <v>0</v>
      </c>
      <c r="ES33" s="25">
        <f t="shared" si="137"/>
        <v>-500000</v>
      </c>
      <c r="ET33" s="25">
        <f t="shared" si="85"/>
        <v>0</v>
      </c>
      <c r="EU33" s="25">
        <f t="shared" si="86"/>
        <v>0</v>
      </c>
      <c r="EV33" s="37">
        <v>0</v>
      </c>
      <c r="EW33" s="25">
        <f t="shared" si="138"/>
        <v>0</v>
      </c>
      <c r="EX33" s="25">
        <f t="shared" si="87"/>
        <v>0</v>
      </c>
      <c r="EY33" s="25">
        <f t="shared" si="8"/>
        <v>0</v>
      </c>
      <c r="EZ33" s="37">
        <v>0</v>
      </c>
      <c r="FA33" s="25">
        <f t="shared" si="139"/>
        <v>0</v>
      </c>
      <c r="FB33" s="25"/>
      <c r="FC33" s="25">
        <f t="shared" si="88"/>
        <v>0</v>
      </c>
      <c r="FD33" s="25"/>
      <c r="FE33" s="25"/>
      <c r="FF33" s="25">
        <f t="shared" si="89"/>
        <v>0</v>
      </c>
      <c r="FG33" s="37">
        <v>0</v>
      </c>
      <c r="FH33" s="25">
        <f t="shared" si="90"/>
        <v>0</v>
      </c>
      <c r="FI33" s="25"/>
      <c r="FJ33" s="37">
        <v>0</v>
      </c>
      <c r="FK33" s="37">
        <f t="shared" si="91"/>
        <v>0</v>
      </c>
      <c r="FL33" s="37">
        <f t="shared" si="92"/>
        <v>0</v>
      </c>
      <c r="FM33" s="37">
        <v>0</v>
      </c>
      <c r="FN33" s="37">
        <f t="shared" si="146"/>
        <v>0</v>
      </c>
      <c r="FO33" s="37">
        <f t="shared" si="147"/>
        <v>0</v>
      </c>
      <c r="FP33" s="37">
        <f t="shared" si="148"/>
        <v>0</v>
      </c>
      <c r="FQ33" s="37"/>
      <c r="FR33" s="37"/>
      <c r="FS33" s="37">
        <f t="shared" si="96"/>
        <v>0</v>
      </c>
      <c r="FT33" s="37">
        <f t="shared" si="97"/>
        <v>0</v>
      </c>
      <c r="FU33" s="37">
        <f t="shared" si="98"/>
        <v>0</v>
      </c>
      <c r="FV33" s="100"/>
      <c r="FW33" s="37"/>
      <c r="FX33" s="37">
        <f t="shared" si="99"/>
        <v>0</v>
      </c>
      <c r="FY33" s="37">
        <f t="shared" si="100"/>
        <v>0</v>
      </c>
      <c r="FZ33" s="37">
        <f t="shared" si="101"/>
        <v>0</v>
      </c>
      <c r="GA33" s="37">
        <f t="shared" si="102"/>
        <v>0</v>
      </c>
      <c r="GB33" s="107"/>
      <c r="GC33" s="37"/>
      <c r="GD33" s="26"/>
      <c r="GE33" s="37">
        <f t="shared" si="103"/>
        <v>0</v>
      </c>
      <c r="GF33" s="38"/>
      <c r="GG33" s="37">
        <f t="shared" si="104"/>
        <v>0</v>
      </c>
      <c r="GH33" s="26">
        <f t="shared" si="9"/>
        <v>0</v>
      </c>
      <c r="GI33" s="37">
        <f t="shared" si="10"/>
        <v>0</v>
      </c>
      <c r="GJ33" s="37">
        <f t="shared" si="11"/>
        <v>0</v>
      </c>
      <c r="GK33" s="37">
        <f t="shared" si="12"/>
        <v>0</v>
      </c>
      <c r="GL33" s="37">
        <f t="shared" si="13"/>
        <v>0</v>
      </c>
      <c r="GM33" s="107"/>
      <c r="GN33" s="115"/>
      <c r="GO33" s="113">
        <f t="shared" si="105"/>
        <v>0</v>
      </c>
      <c r="GP33" s="113"/>
      <c r="GQ33" s="113">
        <f t="shared" si="106"/>
        <v>0</v>
      </c>
      <c r="GR33" s="113"/>
      <c r="GS33" s="128">
        <v>0</v>
      </c>
      <c r="GT33" s="128"/>
      <c r="GU33" s="123"/>
      <c r="GV33" s="115"/>
      <c r="GW33" s="99"/>
      <c r="GX33" s="128">
        <f t="shared" si="108"/>
        <v>0</v>
      </c>
      <c r="GY33" s="128">
        <f t="shared" si="109"/>
        <v>0</v>
      </c>
      <c r="GZ33" s="115"/>
      <c r="HA33" s="99"/>
      <c r="HB33" s="128">
        <f t="shared" si="110"/>
        <v>0</v>
      </c>
      <c r="HC33" s="128">
        <f t="shared" si="111"/>
        <v>0</v>
      </c>
      <c r="HD33" s="128">
        <f t="shared" si="112"/>
        <v>0</v>
      </c>
      <c r="HE33" s="115"/>
      <c r="HF33" s="99"/>
      <c r="HG33" s="128">
        <f t="shared" si="126"/>
        <v>0</v>
      </c>
      <c r="HH33" s="128">
        <f t="shared" si="113"/>
        <v>0</v>
      </c>
      <c r="HI33" s="128">
        <f t="shared" si="114"/>
        <v>0</v>
      </c>
      <c r="HJ33" s="115"/>
      <c r="HK33" s="99"/>
      <c r="HL33" s="128">
        <f t="shared" si="115"/>
        <v>0</v>
      </c>
      <c r="HM33" s="128">
        <f t="shared" si="116"/>
        <v>0</v>
      </c>
      <c r="HN33" s="128">
        <f t="shared" si="117"/>
        <v>0</v>
      </c>
      <c r="HO33" s="128">
        <f t="shared" si="118"/>
        <v>0</v>
      </c>
      <c r="HP33" s="115"/>
      <c r="HQ33" s="99"/>
      <c r="HR33" s="128">
        <f t="shared" si="145"/>
        <v>0</v>
      </c>
      <c r="HS33" s="128">
        <f t="shared" si="15"/>
        <v>0</v>
      </c>
      <c r="HT33" s="128">
        <f t="shared" si="16"/>
        <v>0</v>
      </c>
      <c r="HU33" s="128">
        <f t="shared" si="17"/>
        <v>0</v>
      </c>
      <c r="HV33" s="115"/>
      <c r="HW33" s="99"/>
      <c r="HX33" s="128">
        <f t="shared" si="18"/>
        <v>0</v>
      </c>
      <c r="HY33" s="128">
        <f t="shared" si="19"/>
        <v>0</v>
      </c>
      <c r="HZ33" s="128">
        <f t="shared" si="119"/>
        <v>0</v>
      </c>
      <c r="IA33" s="115"/>
      <c r="IB33" s="99"/>
      <c r="IC33" s="115"/>
      <c r="ID33" s="128">
        <f t="shared" si="20"/>
        <v>0</v>
      </c>
      <c r="IE33" s="164">
        <f t="shared" si="21"/>
        <v>0</v>
      </c>
      <c r="IF33" s="185"/>
      <c r="IG33" s="40">
        <f t="shared" si="120"/>
        <v>0</v>
      </c>
      <c r="IH33" s="115"/>
    </row>
    <row r="34" spans="1:242" ht="12.75" hidden="1" customHeight="1" x14ac:dyDescent="0.2">
      <c r="A34" s="39" t="s">
        <v>251</v>
      </c>
      <c r="B34" s="18"/>
      <c r="C34" s="52" t="s">
        <v>250</v>
      </c>
      <c r="D34" s="20"/>
      <c r="E34" s="21"/>
      <c r="F34" s="21"/>
      <c r="G34" s="21"/>
      <c r="H34" s="21"/>
      <c r="I34" s="21"/>
      <c r="J34" s="22"/>
      <c r="K34" s="22"/>
      <c r="L34" s="22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4"/>
      <c r="X34" s="24"/>
      <c r="Y34" s="24"/>
      <c r="Z34" s="25"/>
      <c r="AA34" s="25"/>
      <c r="AB34" s="25"/>
      <c r="AC34" s="25"/>
      <c r="AD34" s="26"/>
      <c r="AE34" s="25"/>
      <c r="AF34" s="25"/>
      <c r="AG34" s="25"/>
      <c r="AH34" s="26"/>
      <c r="AI34" s="26"/>
      <c r="AJ34" s="25"/>
      <c r="AK34" s="25"/>
      <c r="AL34" s="25"/>
      <c r="AM34" s="26"/>
      <c r="AN34" s="26"/>
      <c r="AO34" s="26"/>
      <c r="AP34" s="25"/>
      <c r="AQ34" s="25"/>
      <c r="AR34" s="25"/>
      <c r="AS34" s="25"/>
      <c r="AT34" s="25"/>
      <c r="AU34" s="25"/>
      <c r="AV34" s="25"/>
      <c r="AW34" s="25"/>
      <c r="AX34" s="25"/>
      <c r="AY34" s="26"/>
      <c r="AZ34" s="26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8"/>
      <c r="BL34" s="25"/>
      <c r="BM34" s="29"/>
      <c r="BN34" s="38"/>
      <c r="BO34" s="27"/>
      <c r="BP34" s="38"/>
      <c r="BQ34" s="41"/>
      <c r="BR34" s="41"/>
      <c r="BS34" s="38"/>
      <c r="BT34" s="42"/>
      <c r="BU34" s="42"/>
      <c r="BV34" s="42"/>
      <c r="BW34" s="38"/>
      <c r="BX34" s="41"/>
      <c r="BY34" s="41"/>
      <c r="BZ34" s="41"/>
      <c r="CA34" s="38"/>
      <c r="CB34" s="8"/>
      <c r="CC34" s="8"/>
      <c r="CD34" s="8"/>
      <c r="CE34" s="8"/>
      <c r="CF34" s="38"/>
      <c r="CG34" s="8"/>
      <c r="CH34" s="8"/>
      <c r="CI34" s="8"/>
      <c r="CJ34" s="8"/>
      <c r="CK34" s="38"/>
      <c r="CL34" s="8"/>
      <c r="CM34" s="8"/>
      <c r="CN34" s="8"/>
      <c r="CO34" s="38"/>
      <c r="CP34" s="38"/>
      <c r="CQ34" s="8"/>
      <c r="CR34" s="38"/>
      <c r="CS34" s="27"/>
      <c r="CT34" s="38"/>
      <c r="CU34" s="8"/>
      <c r="CV34" s="38"/>
      <c r="CW34" s="38"/>
      <c r="CX34" s="38"/>
      <c r="CY34" s="8"/>
      <c r="CZ34" s="38"/>
      <c r="DA34" s="38"/>
      <c r="DB34" s="38"/>
      <c r="DC34" s="8"/>
      <c r="DD34" s="38"/>
      <c r="DE34" s="38"/>
      <c r="DF34" s="38"/>
      <c r="DG34" s="38"/>
      <c r="DH34" s="40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>
        <v>200000</v>
      </c>
      <c r="DY34" s="8">
        <f t="shared" si="127"/>
        <v>200000</v>
      </c>
      <c r="DZ34" s="40">
        <v>0</v>
      </c>
      <c r="EA34" s="8">
        <f t="shared" si="128"/>
        <v>0</v>
      </c>
      <c r="EB34" s="8">
        <f t="shared" si="129"/>
        <v>-200000</v>
      </c>
      <c r="EC34" s="60"/>
      <c r="ED34" s="37">
        <v>0</v>
      </c>
      <c r="EE34" s="25">
        <f t="shared" si="130"/>
        <v>0</v>
      </c>
      <c r="EF34" s="25">
        <f t="shared" si="131"/>
        <v>-200000</v>
      </c>
      <c r="EG34" s="25">
        <f t="shared" si="82"/>
        <v>0</v>
      </c>
      <c r="EH34" s="37">
        <v>0</v>
      </c>
      <c r="EI34" s="25">
        <f t="shared" si="132"/>
        <v>0</v>
      </c>
      <c r="EJ34" s="25">
        <f t="shared" si="133"/>
        <v>-200000</v>
      </c>
      <c r="EK34" s="25">
        <f t="shared" si="83"/>
        <v>0</v>
      </c>
      <c r="EL34" s="37">
        <v>0</v>
      </c>
      <c r="EM34" s="25">
        <f t="shared" si="134"/>
        <v>0</v>
      </c>
      <c r="EN34" s="25">
        <f t="shared" si="135"/>
        <v>-200000</v>
      </c>
      <c r="EO34" s="25">
        <f t="shared" si="125"/>
        <v>0</v>
      </c>
      <c r="EP34" s="25">
        <f t="shared" si="84"/>
        <v>0</v>
      </c>
      <c r="EQ34" s="37">
        <v>0</v>
      </c>
      <c r="ER34" s="25">
        <f t="shared" si="136"/>
        <v>0</v>
      </c>
      <c r="ES34" s="25">
        <f t="shared" si="137"/>
        <v>-200000</v>
      </c>
      <c r="ET34" s="25">
        <f t="shared" si="85"/>
        <v>0</v>
      </c>
      <c r="EU34" s="25">
        <f t="shared" si="86"/>
        <v>0</v>
      </c>
      <c r="EV34" s="37">
        <v>0</v>
      </c>
      <c r="EW34" s="25">
        <f t="shared" si="138"/>
        <v>0</v>
      </c>
      <c r="EX34" s="25">
        <f t="shared" si="87"/>
        <v>0</v>
      </c>
      <c r="EY34" s="25">
        <f t="shared" si="8"/>
        <v>0</v>
      </c>
      <c r="EZ34" s="37">
        <v>0</v>
      </c>
      <c r="FA34" s="25">
        <f t="shared" si="139"/>
        <v>0</v>
      </c>
      <c r="FB34" s="25"/>
      <c r="FC34" s="25">
        <f t="shared" si="88"/>
        <v>0</v>
      </c>
      <c r="FD34" s="25"/>
      <c r="FE34" s="25"/>
      <c r="FF34" s="25">
        <f t="shared" si="89"/>
        <v>0</v>
      </c>
      <c r="FG34" s="37">
        <v>0</v>
      </c>
      <c r="FH34" s="25">
        <f t="shared" si="90"/>
        <v>0</v>
      </c>
      <c r="FI34" s="25"/>
      <c r="FJ34" s="37">
        <v>0</v>
      </c>
      <c r="FK34" s="37">
        <f t="shared" si="91"/>
        <v>0</v>
      </c>
      <c r="FL34" s="37">
        <f t="shared" si="92"/>
        <v>0</v>
      </c>
      <c r="FM34" s="37">
        <v>0</v>
      </c>
      <c r="FN34" s="37">
        <f t="shared" si="146"/>
        <v>0</v>
      </c>
      <c r="FO34" s="37">
        <f t="shared" si="147"/>
        <v>0</v>
      </c>
      <c r="FP34" s="37">
        <f t="shared" si="148"/>
        <v>0</v>
      </c>
      <c r="FQ34" s="37"/>
      <c r="FR34" s="37"/>
      <c r="FS34" s="37">
        <f t="shared" si="96"/>
        <v>0</v>
      </c>
      <c r="FT34" s="37">
        <f t="shared" si="97"/>
        <v>0</v>
      </c>
      <c r="FU34" s="37">
        <f t="shared" si="98"/>
        <v>0</v>
      </c>
      <c r="FV34" s="100"/>
      <c r="FW34" s="37"/>
      <c r="FX34" s="37">
        <f t="shared" si="99"/>
        <v>0</v>
      </c>
      <c r="FY34" s="37">
        <f t="shared" si="100"/>
        <v>0</v>
      </c>
      <c r="FZ34" s="37">
        <f t="shared" si="101"/>
        <v>0</v>
      </c>
      <c r="GA34" s="37">
        <f t="shared" si="102"/>
        <v>0</v>
      </c>
      <c r="GB34" s="107"/>
      <c r="GC34" s="37"/>
      <c r="GD34" s="26"/>
      <c r="GE34" s="37">
        <f t="shared" si="103"/>
        <v>0</v>
      </c>
      <c r="GF34" s="38"/>
      <c r="GG34" s="37">
        <f t="shared" si="104"/>
        <v>0</v>
      </c>
      <c r="GH34" s="26">
        <f t="shared" si="9"/>
        <v>0</v>
      </c>
      <c r="GI34" s="37">
        <f t="shared" si="10"/>
        <v>0</v>
      </c>
      <c r="GJ34" s="37">
        <f t="shared" si="11"/>
        <v>0</v>
      </c>
      <c r="GK34" s="37">
        <f t="shared" si="12"/>
        <v>0</v>
      </c>
      <c r="GL34" s="37">
        <f t="shared" si="13"/>
        <v>0</v>
      </c>
      <c r="GM34" s="107"/>
      <c r="GN34" s="115"/>
      <c r="GO34" s="113">
        <f t="shared" si="105"/>
        <v>0</v>
      </c>
      <c r="GP34" s="113"/>
      <c r="GQ34" s="113">
        <f t="shared" si="106"/>
        <v>0</v>
      </c>
      <c r="GR34" s="113"/>
      <c r="GS34" s="128">
        <v>0</v>
      </c>
      <c r="GT34" s="128"/>
      <c r="GU34" s="123"/>
      <c r="GV34" s="115"/>
      <c r="GW34" s="99"/>
      <c r="GX34" s="128">
        <f t="shared" si="108"/>
        <v>0</v>
      </c>
      <c r="GY34" s="128">
        <f t="shared" si="109"/>
        <v>0</v>
      </c>
      <c r="GZ34" s="115"/>
      <c r="HA34" s="99"/>
      <c r="HB34" s="128">
        <f t="shared" si="110"/>
        <v>0</v>
      </c>
      <c r="HC34" s="128">
        <f t="shared" si="111"/>
        <v>0</v>
      </c>
      <c r="HD34" s="128">
        <f t="shared" si="112"/>
        <v>0</v>
      </c>
      <c r="HE34" s="115"/>
      <c r="HF34" s="99"/>
      <c r="HG34" s="128">
        <f t="shared" si="126"/>
        <v>0</v>
      </c>
      <c r="HH34" s="128">
        <f t="shared" si="113"/>
        <v>0</v>
      </c>
      <c r="HI34" s="128">
        <f t="shared" si="114"/>
        <v>0</v>
      </c>
      <c r="HJ34" s="115"/>
      <c r="HK34" s="99"/>
      <c r="HL34" s="128">
        <f t="shared" si="115"/>
        <v>0</v>
      </c>
      <c r="HM34" s="128">
        <f t="shared" si="116"/>
        <v>0</v>
      </c>
      <c r="HN34" s="128">
        <f t="shared" si="117"/>
        <v>0</v>
      </c>
      <c r="HO34" s="128">
        <f t="shared" si="118"/>
        <v>0</v>
      </c>
      <c r="HP34" s="115"/>
      <c r="HQ34" s="99"/>
      <c r="HR34" s="128">
        <f t="shared" si="145"/>
        <v>0</v>
      </c>
      <c r="HS34" s="128">
        <f t="shared" si="15"/>
        <v>0</v>
      </c>
      <c r="HT34" s="128">
        <f t="shared" si="16"/>
        <v>0</v>
      </c>
      <c r="HU34" s="128">
        <f t="shared" si="17"/>
        <v>0</v>
      </c>
      <c r="HV34" s="115"/>
      <c r="HW34" s="99"/>
      <c r="HX34" s="128">
        <f t="shared" si="18"/>
        <v>0</v>
      </c>
      <c r="HY34" s="128">
        <f t="shared" si="19"/>
        <v>0</v>
      </c>
      <c r="HZ34" s="128">
        <f t="shared" si="119"/>
        <v>0</v>
      </c>
      <c r="IA34" s="115"/>
      <c r="IB34" s="99"/>
      <c r="IC34" s="115"/>
      <c r="ID34" s="128">
        <f t="shared" si="20"/>
        <v>0</v>
      </c>
      <c r="IE34" s="164">
        <f t="shared" si="21"/>
        <v>0</v>
      </c>
      <c r="IF34" s="185"/>
      <c r="IG34" s="40">
        <f t="shared" si="120"/>
        <v>0</v>
      </c>
      <c r="IH34" s="115"/>
    </row>
    <row r="35" spans="1:242" ht="12.75" hidden="1" customHeight="1" x14ac:dyDescent="0.2">
      <c r="A35" s="17" t="s">
        <v>147</v>
      </c>
      <c r="B35" s="18"/>
      <c r="C35" s="52" t="s">
        <v>149</v>
      </c>
      <c r="D35" s="20"/>
      <c r="E35" s="21"/>
      <c r="F35" s="21"/>
      <c r="G35" s="21"/>
      <c r="H35" s="21"/>
      <c r="I35" s="21"/>
      <c r="J35" s="28"/>
      <c r="K35" s="22"/>
      <c r="L35" s="22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4"/>
      <c r="X35" s="24"/>
      <c r="Y35" s="24">
        <f t="shared" si="23"/>
        <v>0</v>
      </c>
      <c r="Z35" s="25"/>
      <c r="AA35" s="25"/>
      <c r="AB35" s="25"/>
      <c r="AC35" s="25"/>
      <c r="AD35" s="26"/>
      <c r="AE35" s="25"/>
      <c r="AF35" s="25"/>
      <c r="AG35" s="25"/>
      <c r="AH35" s="26"/>
      <c r="AI35" s="26"/>
      <c r="AJ35" s="25"/>
      <c r="AK35" s="25"/>
      <c r="AL35" s="25"/>
      <c r="AM35" s="26"/>
      <c r="AN35" s="26"/>
      <c r="AO35" s="26"/>
      <c r="AP35" s="25"/>
      <c r="AQ35" s="25"/>
      <c r="AR35" s="25"/>
      <c r="AS35" s="25"/>
      <c r="AT35" s="25"/>
      <c r="AU35" s="25">
        <f t="shared" si="31"/>
        <v>0</v>
      </c>
      <c r="AV35" s="25"/>
      <c r="AW35" s="25"/>
      <c r="AX35" s="25">
        <v>250000</v>
      </c>
      <c r="AY35" s="26">
        <f t="shared" si="123"/>
        <v>250000</v>
      </c>
      <c r="AZ35" s="26">
        <f t="shared" si="124"/>
        <v>250000</v>
      </c>
      <c r="BA35" s="25">
        <v>250000</v>
      </c>
      <c r="BB35" s="25">
        <f t="shared" si="33"/>
        <v>250000</v>
      </c>
      <c r="BC35" s="25">
        <f t="shared" si="34"/>
        <v>250000</v>
      </c>
      <c r="BD35" s="25">
        <f t="shared" si="35"/>
        <v>0</v>
      </c>
      <c r="BE35" s="25"/>
      <c r="BF35" s="25">
        <v>250000</v>
      </c>
      <c r="BG35" s="25">
        <v>250000</v>
      </c>
      <c r="BH35" s="25">
        <f t="shared" si="36"/>
        <v>250000</v>
      </c>
      <c r="BI35" s="25">
        <f t="shared" si="37"/>
        <v>250000</v>
      </c>
      <c r="BJ35" s="25">
        <f t="shared" si="38"/>
        <v>0</v>
      </c>
      <c r="BK35" s="8">
        <f t="shared" si="39"/>
        <v>250000</v>
      </c>
      <c r="BL35" s="25"/>
      <c r="BM35" s="29">
        <f t="shared" si="40"/>
        <v>250000</v>
      </c>
      <c r="BN35" s="38">
        <v>250000</v>
      </c>
      <c r="BO35" s="27">
        <f t="shared" si="41"/>
        <v>0</v>
      </c>
      <c r="BP35" s="38">
        <v>250000</v>
      </c>
      <c r="BQ35" s="41">
        <f t="shared" si="42"/>
        <v>0</v>
      </c>
      <c r="BR35" s="41">
        <f t="shared" si="43"/>
        <v>0</v>
      </c>
      <c r="BS35" s="38">
        <f>BP35</f>
        <v>250000</v>
      </c>
      <c r="BT35" s="42">
        <f t="shared" si="44"/>
        <v>0</v>
      </c>
      <c r="BU35" s="42">
        <f t="shared" si="45"/>
        <v>0</v>
      </c>
      <c r="BV35" s="42">
        <f t="shared" si="46"/>
        <v>0</v>
      </c>
      <c r="BW35" s="38">
        <v>0</v>
      </c>
      <c r="BX35" s="41">
        <f t="shared" si="47"/>
        <v>-250000</v>
      </c>
      <c r="BY35" s="41">
        <f t="shared" si="48"/>
        <v>-250000</v>
      </c>
      <c r="BZ35" s="41">
        <f t="shared" si="49"/>
        <v>-250000</v>
      </c>
      <c r="CA35" s="38">
        <v>0</v>
      </c>
      <c r="CB35" s="8">
        <f t="shared" si="50"/>
        <v>-250000</v>
      </c>
      <c r="CC35" s="8">
        <f t="shared" si="51"/>
        <v>-250000</v>
      </c>
      <c r="CD35" s="8">
        <f t="shared" si="6"/>
        <v>-250000</v>
      </c>
      <c r="CE35" s="8">
        <f t="shared" si="52"/>
        <v>0</v>
      </c>
      <c r="CF35" s="38">
        <v>250000</v>
      </c>
      <c r="CG35" s="8">
        <f t="shared" si="53"/>
        <v>0</v>
      </c>
      <c r="CH35" s="8">
        <f t="shared" si="54"/>
        <v>0</v>
      </c>
      <c r="CI35" s="8">
        <f t="shared" si="55"/>
        <v>0</v>
      </c>
      <c r="CJ35" s="8">
        <f t="shared" si="56"/>
        <v>250000</v>
      </c>
      <c r="CK35" s="38">
        <v>250000</v>
      </c>
      <c r="CL35" s="8">
        <f t="shared" si="7"/>
        <v>0</v>
      </c>
      <c r="CM35" s="8">
        <f t="shared" si="57"/>
        <v>0</v>
      </c>
      <c r="CN35" s="8">
        <f t="shared" si="58"/>
        <v>0</v>
      </c>
      <c r="CO35" s="38">
        <f>CK35</f>
        <v>250000</v>
      </c>
      <c r="CP35" s="38">
        <f t="shared" si="59"/>
        <v>0</v>
      </c>
      <c r="CQ35" s="8">
        <f t="shared" si="60"/>
        <v>0</v>
      </c>
      <c r="CR35" s="38">
        <v>250000</v>
      </c>
      <c r="CS35" s="27"/>
      <c r="CT35" s="38">
        <f t="shared" si="61"/>
        <v>250000</v>
      </c>
      <c r="CU35" s="8">
        <f t="shared" si="62"/>
        <v>0</v>
      </c>
      <c r="CV35" s="38">
        <f t="shared" si="63"/>
        <v>0</v>
      </c>
      <c r="CW35" s="38">
        <f t="shared" si="64"/>
        <v>0</v>
      </c>
      <c r="CX35" s="38">
        <v>0</v>
      </c>
      <c r="CY35" s="8">
        <f t="shared" si="65"/>
        <v>-250000</v>
      </c>
      <c r="CZ35" s="38">
        <f t="shared" si="66"/>
        <v>-250000</v>
      </c>
      <c r="DA35" s="38">
        <f t="shared" si="67"/>
        <v>-250000</v>
      </c>
      <c r="DB35" s="38">
        <v>250000</v>
      </c>
      <c r="DC35" s="8">
        <f t="shared" si="68"/>
        <v>0</v>
      </c>
      <c r="DD35" s="38">
        <f t="shared" si="69"/>
        <v>0</v>
      </c>
      <c r="DE35" s="38">
        <f t="shared" si="70"/>
        <v>0</v>
      </c>
      <c r="DF35" s="38">
        <f t="shared" si="71"/>
        <v>250000</v>
      </c>
      <c r="DG35" s="38">
        <v>250000</v>
      </c>
      <c r="DH35" s="40">
        <f t="shared" si="72"/>
        <v>0</v>
      </c>
      <c r="DI35" s="38">
        <f t="shared" si="73"/>
        <v>0</v>
      </c>
      <c r="DJ35" s="38">
        <f t="shared" si="74"/>
        <v>0</v>
      </c>
      <c r="DK35" s="38">
        <f t="shared" si="75"/>
        <v>0</v>
      </c>
      <c r="DL35" s="38"/>
      <c r="DM35" s="38">
        <f t="shared" si="76"/>
        <v>250000</v>
      </c>
      <c r="DN35" s="38">
        <v>250000</v>
      </c>
      <c r="DO35" s="38">
        <f t="shared" si="77"/>
        <v>0</v>
      </c>
      <c r="DP35" s="38"/>
      <c r="DQ35" s="38">
        <v>-3750</v>
      </c>
      <c r="DR35" s="38">
        <f t="shared" si="78"/>
        <v>246250</v>
      </c>
      <c r="DS35" s="38">
        <f t="shared" si="79"/>
        <v>-3750</v>
      </c>
      <c r="DT35" s="38"/>
      <c r="DU35" s="38">
        <f t="shared" si="80"/>
        <v>246250</v>
      </c>
      <c r="DV35" s="38">
        <f t="shared" si="81"/>
        <v>-3750</v>
      </c>
      <c r="DW35" s="38">
        <v>246250</v>
      </c>
      <c r="DX35" s="38">
        <v>0</v>
      </c>
      <c r="DY35" s="8">
        <f t="shared" si="127"/>
        <v>-246250</v>
      </c>
      <c r="DZ35" s="40"/>
      <c r="EA35" s="8">
        <f t="shared" si="128"/>
        <v>-246250</v>
      </c>
      <c r="EB35" s="8">
        <f t="shared" si="129"/>
        <v>0</v>
      </c>
      <c r="EC35" s="60"/>
      <c r="ED35" s="37">
        <v>0</v>
      </c>
      <c r="EE35" s="25">
        <f t="shared" si="130"/>
        <v>-246250</v>
      </c>
      <c r="EF35" s="25">
        <f t="shared" si="131"/>
        <v>0</v>
      </c>
      <c r="EG35" s="25">
        <f t="shared" si="82"/>
        <v>0</v>
      </c>
      <c r="EH35" s="37">
        <v>222000</v>
      </c>
      <c r="EI35" s="25">
        <f t="shared" si="132"/>
        <v>-24250</v>
      </c>
      <c r="EJ35" s="25">
        <f t="shared" si="133"/>
        <v>222000</v>
      </c>
      <c r="EK35" s="25">
        <f t="shared" si="83"/>
        <v>222000</v>
      </c>
      <c r="EL35" s="37">
        <v>222000</v>
      </c>
      <c r="EM35" s="25">
        <f t="shared" si="134"/>
        <v>-24250</v>
      </c>
      <c r="EN35" s="25">
        <f t="shared" si="135"/>
        <v>222000</v>
      </c>
      <c r="EO35" s="25">
        <f t="shared" si="125"/>
        <v>222000</v>
      </c>
      <c r="EP35" s="25">
        <f t="shared" si="84"/>
        <v>0</v>
      </c>
      <c r="EQ35" s="37">
        <v>0</v>
      </c>
      <c r="ER35" s="25">
        <f t="shared" si="136"/>
        <v>-246250</v>
      </c>
      <c r="ES35" s="25">
        <f t="shared" si="137"/>
        <v>0</v>
      </c>
      <c r="ET35" s="25">
        <f t="shared" si="85"/>
        <v>0</v>
      </c>
      <c r="EU35" s="25">
        <f t="shared" si="86"/>
        <v>-222000</v>
      </c>
      <c r="EV35" s="37">
        <v>0</v>
      </c>
      <c r="EW35" s="25">
        <f t="shared" si="138"/>
        <v>-246250</v>
      </c>
      <c r="EX35" s="25">
        <f t="shared" si="87"/>
        <v>0</v>
      </c>
      <c r="EY35" s="25">
        <f t="shared" si="8"/>
        <v>0</v>
      </c>
      <c r="EZ35" s="37">
        <v>0</v>
      </c>
      <c r="FA35" s="25">
        <f t="shared" si="139"/>
        <v>-246250</v>
      </c>
      <c r="FB35" s="25"/>
      <c r="FC35" s="25">
        <f t="shared" si="88"/>
        <v>0</v>
      </c>
      <c r="FD35" s="25"/>
      <c r="FE35" s="25"/>
      <c r="FF35" s="25">
        <f t="shared" si="89"/>
        <v>0</v>
      </c>
      <c r="FG35" s="37">
        <v>0</v>
      </c>
      <c r="FH35" s="25">
        <f t="shared" si="90"/>
        <v>0</v>
      </c>
      <c r="FI35" s="25"/>
      <c r="FJ35" s="37">
        <v>0</v>
      </c>
      <c r="FK35" s="37">
        <f t="shared" si="91"/>
        <v>0</v>
      </c>
      <c r="FL35" s="37">
        <f t="shared" si="92"/>
        <v>0</v>
      </c>
      <c r="FM35" s="37"/>
      <c r="FN35" s="37">
        <f t="shared" si="146"/>
        <v>0</v>
      </c>
      <c r="FO35" s="37">
        <f t="shared" si="147"/>
        <v>0</v>
      </c>
      <c r="FP35" s="37">
        <f t="shared" si="148"/>
        <v>0</v>
      </c>
      <c r="FQ35" s="37"/>
      <c r="FR35" s="37"/>
      <c r="FS35" s="37">
        <f t="shared" si="96"/>
        <v>0</v>
      </c>
      <c r="FT35" s="37">
        <f t="shared" si="97"/>
        <v>0</v>
      </c>
      <c r="FU35" s="37">
        <f t="shared" si="98"/>
        <v>0</v>
      </c>
      <c r="FV35" s="100"/>
      <c r="FW35" s="37"/>
      <c r="FX35" s="37">
        <f t="shared" si="99"/>
        <v>0</v>
      </c>
      <c r="FY35" s="37">
        <f t="shared" si="100"/>
        <v>0</v>
      </c>
      <c r="FZ35" s="37">
        <f t="shared" si="101"/>
        <v>0</v>
      </c>
      <c r="GA35" s="37">
        <f t="shared" si="102"/>
        <v>0</v>
      </c>
      <c r="GB35" s="107"/>
      <c r="GC35" s="37"/>
      <c r="GD35" s="25"/>
      <c r="GE35" s="37">
        <f t="shared" si="103"/>
        <v>0</v>
      </c>
      <c r="GF35" s="38"/>
      <c r="GG35" s="37">
        <f t="shared" si="104"/>
        <v>0</v>
      </c>
      <c r="GH35" s="26">
        <f t="shared" si="9"/>
        <v>0</v>
      </c>
      <c r="GI35" s="37">
        <f t="shared" si="10"/>
        <v>0</v>
      </c>
      <c r="GJ35" s="37">
        <f t="shared" si="11"/>
        <v>0</v>
      </c>
      <c r="GK35" s="37">
        <f t="shared" si="12"/>
        <v>0</v>
      </c>
      <c r="GL35" s="37">
        <f t="shared" si="13"/>
        <v>0</v>
      </c>
      <c r="GM35" s="107"/>
      <c r="GN35" s="115"/>
      <c r="GO35" s="113">
        <f t="shared" si="105"/>
        <v>0</v>
      </c>
      <c r="GP35" s="113"/>
      <c r="GQ35" s="113">
        <f t="shared" si="106"/>
        <v>0</v>
      </c>
      <c r="GR35" s="113"/>
      <c r="GS35" s="128">
        <v>0</v>
      </c>
      <c r="GT35" s="128"/>
      <c r="GU35" s="123"/>
      <c r="GV35" s="115"/>
      <c r="GW35" s="99"/>
      <c r="GX35" s="128">
        <f t="shared" si="108"/>
        <v>0</v>
      </c>
      <c r="GY35" s="128">
        <f t="shared" si="109"/>
        <v>0</v>
      </c>
      <c r="GZ35" s="115"/>
      <c r="HA35" s="99"/>
      <c r="HB35" s="128">
        <f t="shared" si="110"/>
        <v>0</v>
      </c>
      <c r="HC35" s="128">
        <f t="shared" si="111"/>
        <v>0</v>
      </c>
      <c r="HD35" s="128">
        <f t="shared" si="112"/>
        <v>0</v>
      </c>
      <c r="HE35" s="115"/>
      <c r="HF35" s="99"/>
      <c r="HG35" s="128">
        <f t="shared" si="126"/>
        <v>0</v>
      </c>
      <c r="HH35" s="128">
        <f t="shared" si="113"/>
        <v>0</v>
      </c>
      <c r="HI35" s="128">
        <f t="shared" si="114"/>
        <v>0</v>
      </c>
      <c r="HJ35" s="115"/>
      <c r="HK35" s="99"/>
      <c r="HL35" s="128">
        <f t="shared" si="115"/>
        <v>0</v>
      </c>
      <c r="HM35" s="128">
        <f t="shared" si="116"/>
        <v>0</v>
      </c>
      <c r="HN35" s="128">
        <f t="shared" si="117"/>
        <v>0</v>
      </c>
      <c r="HO35" s="128">
        <f t="shared" si="118"/>
        <v>0</v>
      </c>
      <c r="HP35" s="115"/>
      <c r="HQ35" s="99"/>
      <c r="HR35" s="128">
        <f t="shared" si="145"/>
        <v>0</v>
      </c>
      <c r="HS35" s="128">
        <f t="shared" si="15"/>
        <v>0</v>
      </c>
      <c r="HT35" s="128">
        <f t="shared" si="16"/>
        <v>0</v>
      </c>
      <c r="HU35" s="128">
        <f t="shared" si="17"/>
        <v>0</v>
      </c>
      <c r="HV35" s="115"/>
      <c r="HW35" s="99"/>
      <c r="HX35" s="128">
        <f t="shared" si="18"/>
        <v>0</v>
      </c>
      <c r="HY35" s="128">
        <f t="shared" si="19"/>
        <v>0</v>
      </c>
      <c r="HZ35" s="128">
        <f t="shared" si="119"/>
        <v>0</v>
      </c>
      <c r="IA35" s="115"/>
      <c r="IB35" s="99"/>
      <c r="IC35" s="115"/>
      <c r="ID35" s="128">
        <f t="shared" si="20"/>
        <v>0</v>
      </c>
      <c r="IE35" s="164">
        <f t="shared" si="21"/>
        <v>0</v>
      </c>
      <c r="IF35" s="185"/>
      <c r="IG35" s="40">
        <f t="shared" si="120"/>
        <v>0</v>
      </c>
      <c r="IH35" s="115"/>
    </row>
    <row r="36" spans="1:242" ht="25.5" x14ac:dyDescent="0.2">
      <c r="A36" s="19" t="s">
        <v>7</v>
      </c>
      <c r="B36" s="19"/>
      <c r="C36" s="51" t="s">
        <v>244</v>
      </c>
      <c r="D36" s="20">
        <v>73790525</v>
      </c>
      <c r="E36" s="21">
        <v>79751579</v>
      </c>
      <c r="F36" s="21">
        <v>76536610</v>
      </c>
      <c r="G36" s="21">
        <v>79751579</v>
      </c>
      <c r="H36" s="21"/>
      <c r="I36" s="21">
        <f t="shared" si="0"/>
        <v>79751579</v>
      </c>
      <c r="J36" s="22">
        <v>-5174307</v>
      </c>
      <c r="K36" s="22"/>
      <c r="L36" s="22">
        <f t="shared" si="1"/>
        <v>-5174307</v>
      </c>
      <c r="M36" s="23">
        <f t="shared" si="22"/>
        <v>74577272</v>
      </c>
      <c r="N36" s="23">
        <v>74577272</v>
      </c>
      <c r="O36" s="23">
        <v>74082992</v>
      </c>
      <c r="P36" s="23">
        <v>71554914</v>
      </c>
      <c r="Q36" s="23">
        <v>71554914</v>
      </c>
      <c r="R36" s="23">
        <v>71554914</v>
      </c>
      <c r="S36" s="23">
        <v>0</v>
      </c>
      <c r="T36" s="23">
        <f t="shared" si="121"/>
        <v>0</v>
      </c>
      <c r="U36" s="23">
        <f t="shared" si="122"/>
        <v>71554914</v>
      </c>
      <c r="V36" s="23">
        <f t="shared" si="2"/>
        <v>-3022358</v>
      </c>
      <c r="W36" s="24">
        <v>71554914</v>
      </c>
      <c r="X36" s="24"/>
      <c r="Y36" s="24">
        <f t="shared" si="23"/>
        <v>71554914</v>
      </c>
      <c r="Z36" s="25">
        <v>71554914</v>
      </c>
      <c r="AA36" s="25">
        <f t="shared" si="24"/>
        <v>0</v>
      </c>
      <c r="AB36" s="25">
        <v>73215427</v>
      </c>
      <c r="AC36" s="25">
        <v>73215427</v>
      </c>
      <c r="AD36" s="26">
        <v>71554914</v>
      </c>
      <c r="AE36" s="25"/>
      <c r="AF36" s="25">
        <f>AC36-SUM(W36:X36)</f>
        <v>1660513</v>
      </c>
      <c r="AG36" s="25">
        <f>AC36-Z36</f>
        <v>1660513</v>
      </c>
      <c r="AH36" s="26">
        <v>71554914</v>
      </c>
      <c r="AI36" s="26">
        <v>71554914</v>
      </c>
      <c r="AJ36" s="25">
        <f t="shared" si="141"/>
        <v>0</v>
      </c>
      <c r="AK36" s="25">
        <f t="shared" si="25"/>
        <v>0</v>
      </c>
      <c r="AL36" s="25">
        <f t="shared" si="26"/>
        <v>-1660513</v>
      </c>
      <c r="AM36" s="26">
        <f t="shared" si="27"/>
        <v>0</v>
      </c>
      <c r="AN36" s="26">
        <f t="shared" si="28"/>
        <v>0</v>
      </c>
      <c r="AO36" s="26">
        <f t="shared" si="4"/>
        <v>-1660513</v>
      </c>
      <c r="AP36" s="25">
        <v>71554914</v>
      </c>
      <c r="AQ36" s="25">
        <f t="shared" si="5"/>
        <v>0</v>
      </c>
      <c r="AR36" s="25">
        <f t="shared" si="29"/>
        <v>0</v>
      </c>
      <c r="AS36" s="25">
        <f t="shared" si="30"/>
        <v>0</v>
      </c>
      <c r="AT36" s="25"/>
      <c r="AU36" s="25">
        <f t="shared" si="31"/>
        <v>71554914</v>
      </c>
      <c r="AV36" s="25">
        <v>71454914</v>
      </c>
      <c r="AW36" s="25">
        <f t="shared" si="32"/>
        <v>-100000</v>
      </c>
      <c r="AX36" s="25">
        <v>71554914</v>
      </c>
      <c r="AY36" s="26">
        <f t="shared" si="123"/>
        <v>0</v>
      </c>
      <c r="AZ36" s="26">
        <f t="shared" si="124"/>
        <v>100000</v>
      </c>
      <c r="BA36" s="25">
        <v>71554914</v>
      </c>
      <c r="BB36" s="25">
        <f t="shared" si="33"/>
        <v>0</v>
      </c>
      <c r="BC36" s="25">
        <f t="shared" si="34"/>
        <v>100000</v>
      </c>
      <c r="BD36" s="25">
        <f t="shared" si="35"/>
        <v>0</v>
      </c>
      <c r="BE36" s="25">
        <v>71454914</v>
      </c>
      <c r="BF36" s="25">
        <v>71454914</v>
      </c>
      <c r="BG36" s="25">
        <v>71454914</v>
      </c>
      <c r="BH36" s="25">
        <f t="shared" si="36"/>
        <v>-100000</v>
      </c>
      <c r="BI36" s="25">
        <f t="shared" si="37"/>
        <v>0</v>
      </c>
      <c r="BJ36" s="25">
        <f t="shared" si="38"/>
        <v>-100000</v>
      </c>
      <c r="BK36" s="8">
        <f t="shared" si="39"/>
        <v>0</v>
      </c>
      <c r="BL36" s="25">
        <v>1000000</v>
      </c>
      <c r="BM36" s="29">
        <f>BG36-BL36+8000000</f>
        <v>78454914</v>
      </c>
      <c r="BN36" s="38">
        <v>80270928</v>
      </c>
      <c r="BO36" s="27">
        <f t="shared" si="41"/>
        <v>1816014</v>
      </c>
      <c r="BP36" s="38">
        <v>70454914</v>
      </c>
      <c r="BQ36" s="41">
        <f t="shared" si="42"/>
        <v>-8000000</v>
      </c>
      <c r="BR36" s="41">
        <f t="shared" si="43"/>
        <v>-9816014</v>
      </c>
      <c r="BS36" s="38">
        <f t="shared" ref="BS36:BS43" si="149">BP36</f>
        <v>70454914</v>
      </c>
      <c r="BT36" s="42">
        <f t="shared" si="44"/>
        <v>-8000000</v>
      </c>
      <c r="BU36" s="42">
        <f t="shared" si="45"/>
        <v>-9816014</v>
      </c>
      <c r="BV36" s="42">
        <f t="shared" si="46"/>
        <v>0</v>
      </c>
      <c r="BW36" s="38">
        <v>76354914</v>
      </c>
      <c r="BX36" s="41">
        <f t="shared" si="47"/>
        <v>-2100000</v>
      </c>
      <c r="BY36" s="41">
        <f t="shared" si="48"/>
        <v>-3916014</v>
      </c>
      <c r="BZ36" s="41">
        <f t="shared" si="49"/>
        <v>5900000</v>
      </c>
      <c r="CA36" s="38">
        <v>76354914</v>
      </c>
      <c r="CB36" s="8">
        <f t="shared" si="50"/>
        <v>-2100000</v>
      </c>
      <c r="CC36" s="8">
        <f t="shared" si="51"/>
        <v>-3916014</v>
      </c>
      <c r="CD36" s="8">
        <f t="shared" si="6"/>
        <v>5900000</v>
      </c>
      <c r="CE36" s="8">
        <f t="shared" si="52"/>
        <v>0</v>
      </c>
      <c r="CF36" s="38">
        <v>75000000</v>
      </c>
      <c r="CG36" s="8">
        <f t="shared" si="53"/>
        <v>-3454914</v>
      </c>
      <c r="CH36" s="8">
        <f t="shared" si="54"/>
        <v>-5270928</v>
      </c>
      <c r="CI36" s="8">
        <f t="shared" si="55"/>
        <v>4545086</v>
      </c>
      <c r="CJ36" s="8">
        <f t="shared" si="56"/>
        <v>-1354914</v>
      </c>
      <c r="CK36" s="38">
        <f>75000000+27595074</f>
        <v>102595074</v>
      </c>
      <c r="CL36" s="8">
        <f t="shared" si="7"/>
        <v>24140160</v>
      </c>
      <c r="CM36" s="8">
        <f t="shared" si="57"/>
        <v>22324146</v>
      </c>
      <c r="CN36" s="8">
        <f t="shared" si="58"/>
        <v>27595074</v>
      </c>
      <c r="CO36" s="38">
        <f>CK36</f>
        <v>102595074</v>
      </c>
      <c r="CP36" s="38">
        <f t="shared" si="59"/>
        <v>22324146</v>
      </c>
      <c r="CQ36" s="8">
        <f t="shared" si="60"/>
        <v>0</v>
      </c>
      <c r="CR36" s="38">
        <v>80000000</v>
      </c>
      <c r="CS36" s="27"/>
      <c r="CT36" s="38">
        <f t="shared" si="61"/>
        <v>80000000</v>
      </c>
      <c r="CU36" s="8">
        <f t="shared" si="62"/>
        <v>-22595074</v>
      </c>
      <c r="CV36" s="38">
        <f t="shared" si="63"/>
        <v>-22595074</v>
      </c>
      <c r="CW36" s="38">
        <f t="shared" si="64"/>
        <v>0</v>
      </c>
      <c r="CX36" s="38">
        <v>80000000</v>
      </c>
      <c r="CY36" s="8">
        <f t="shared" si="65"/>
        <v>-22595074</v>
      </c>
      <c r="CZ36" s="38">
        <f t="shared" si="66"/>
        <v>-22595074</v>
      </c>
      <c r="DA36" s="38">
        <f t="shared" si="67"/>
        <v>0</v>
      </c>
      <c r="DB36" s="38">
        <v>80000000</v>
      </c>
      <c r="DC36" s="8">
        <f t="shared" si="68"/>
        <v>-22595074</v>
      </c>
      <c r="DD36" s="38">
        <f t="shared" si="69"/>
        <v>-22595074</v>
      </c>
      <c r="DE36" s="38">
        <f t="shared" si="70"/>
        <v>0</v>
      </c>
      <c r="DF36" s="38">
        <f t="shared" si="71"/>
        <v>0</v>
      </c>
      <c r="DG36" s="38">
        <v>80000000</v>
      </c>
      <c r="DH36" s="40">
        <f t="shared" si="72"/>
        <v>-22595074</v>
      </c>
      <c r="DI36" s="38">
        <f t="shared" si="73"/>
        <v>-22595074</v>
      </c>
      <c r="DJ36" s="38">
        <f t="shared" si="74"/>
        <v>0</v>
      </c>
      <c r="DK36" s="38">
        <f t="shared" si="75"/>
        <v>0</v>
      </c>
      <c r="DL36" s="38"/>
      <c r="DM36" s="38">
        <f t="shared" si="76"/>
        <v>80000000</v>
      </c>
      <c r="DN36" s="38">
        <v>80000000</v>
      </c>
      <c r="DO36" s="38">
        <f t="shared" si="77"/>
        <v>-22595074</v>
      </c>
      <c r="DP36" s="38"/>
      <c r="DQ36" s="38">
        <v>-1200000</v>
      </c>
      <c r="DR36" s="38">
        <f t="shared" si="78"/>
        <v>78800000</v>
      </c>
      <c r="DS36" s="38">
        <f t="shared" si="79"/>
        <v>-23795074</v>
      </c>
      <c r="DT36" s="38">
        <v>-1940000</v>
      </c>
      <c r="DU36" s="38">
        <f t="shared" si="80"/>
        <v>76860000</v>
      </c>
      <c r="DV36" s="38">
        <f t="shared" si="81"/>
        <v>-25735074</v>
      </c>
      <c r="DW36" s="38">
        <v>76860000</v>
      </c>
      <c r="DX36" s="38">
        <v>76860000</v>
      </c>
      <c r="DY36" s="8">
        <f t="shared" si="127"/>
        <v>0</v>
      </c>
      <c r="DZ36" s="40">
        <v>76860000</v>
      </c>
      <c r="EA36" s="8">
        <f t="shared" si="128"/>
        <v>0</v>
      </c>
      <c r="EB36" s="8">
        <f t="shared" si="129"/>
        <v>0</v>
      </c>
      <c r="EC36" s="60"/>
      <c r="ED36" s="37">
        <v>76860000</v>
      </c>
      <c r="EE36" s="25">
        <f t="shared" si="130"/>
        <v>0</v>
      </c>
      <c r="EF36" s="25">
        <f t="shared" si="131"/>
        <v>0</v>
      </c>
      <c r="EG36" s="25">
        <f t="shared" si="82"/>
        <v>0</v>
      </c>
      <c r="EH36" s="37">
        <v>80000000</v>
      </c>
      <c r="EI36" s="25">
        <f t="shared" si="132"/>
        <v>3140000</v>
      </c>
      <c r="EJ36" s="25">
        <f t="shared" si="133"/>
        <v>3140000</v>
      </c>
      <c r="EK36" s="25">
        <f t="shared" si="83"/>
        <v>3140000</v>
      </c>
      <c r="EL36" s="37">
        <f>80000000+4500000</f>
        <v>84500000</v>
      </c>
      <c r="EM36" s="25">
        <f t="shared" si="134"/>
        <v>7640000</v>
      </c>
      <c r="EN36" s="25">
        <f t="shared" si="135"/>
        <v>7640000</v>
      </c>
      <c r="EO36" s="25">
        <f t="shared" si="125"/>
        <v>7640000</v>
      </c>
      <c r="EP36" s="25">
        <f t="shared" si="84"/>
        <v>4500000</v>
      </c>
      <c r="EQ36" s="37">
        <v>80500000</v>
      </c>
      <c r="ER36" s="25">
        <f t="shared" si="136"/>
        <v>3640000</v>
      </c>
      <c r="ES36" s="25">
        <f t="shared" si="137"/>
        <v>3640000</v>
      </c>
      <c r="ET36" s="25">
        <f t="shared" si="85"/>
        <v>3640000</v>
      </c>
      <c r="EU36" s="25">
        <f t="shared" si="86"/>
        <v>-4000000</v>
      </c>
      <c r="EV36" s="37">
        <v>80500000</v>
      </c>
      <c r="EW36" s="25">
        <f t="shared" si="138"/>
        <v>3640000</v>
      </c>
      <c r="EX36" s="25">
        <f t="shared" si="87"/>
        <v>0</v>
      </c>
      <c r="EY36" s="25">
        <f t="shared" si="8"/>
        <v>0</v>
      </c>
      <c r="EZ36" s="37">
        <v>80500000</v>
      </c>
      <c r="FA36" s="25">
        <f t="shared" si="139"/>
        <v>3640000</v>
      </c>
      <c r="FB36" s="25"/>
      <c r="FC36" s="25">
        <f t="shared" si="88"/>
        <v>80500000</v>
      </c>
      <c r="FD36" s="25"/>
      <c r="FE36" s="25"/>
      <c r="FF36" s="25">
        <f t="shared" si="89"/>
        <v>80500000</v>
      </c>
      <c r="FG36" s="37">
        <v>100975474</v>
      </c>
      <c r="FH36" s="25">
        <f t="shared" si="90"/>
        <v>20475474</v>
      </c>
      <c r="FI36" s="25"/>
      <c r="FJ36" s="37">
        <v>85500000</v>
      </c>
      <c r="FK36" s="37">
        <f t="shared" si="91"/>
        <v>5000000</v>
      </c>
      <c r="FL36" s="37">
        <f t="shared" si="92"/>
        <v>-15475474</v>
      </c>
      <c r="FM36" s="37">
        <v>85500000</v>
      </c>
      <c r="FN36" s="37">
        <f t="shared" si="93"/>
        <v>5000000</v>
      </c>
      <c r="FO36" s="37">
        <f t="shared" si="94"/>
        <v>-15475474</v>
      </c>
      <c r="FP36" s="37">
        <f t="shared" si="95"/>
        <v>0</v>
      </c>
      <c r="FQ36" s="37" t="s">
        <v>306</v>
      </c>
      <c r="FR36" s="37">
        <v>87500000</v>
      </c>
      <c r="FS36" s="37">
        <f t="shared" si="96"/>
        <v>7000000</v>
      </c>
      <c r="FT36" s="37">
        <f t="shared" si="97"/>
        <v>-13475474</v>
      </c>
      <c r="FU36" s="37">
        <f t="shared" si="98"/>
        <v>2000000</v>
      </c>
      <c r="FV36" s="100"/>
      <c r="FW36" s="37">
        <v>90000000</v>
      </c>
      <c r="FX36" s="37">
        <f t="shared" si="99"/>
        <v>9500000</v>
      </c>
      <c r="FY36" s="37">
        <f t="shared" si="100"/>
        <v>-10975474</v>
      </c>
      <c r="FZ36" s="37">
        <f t="shared" si="101"/>
        <v>4500000</v>
      </c>
      <c r="GA36" s="37">
        <f t="shared" si="102"/>
        <v>2500000</v>
      </c>
      <c r="GB36" s="107"/>
      <c r="GC36" s="37">
        <v>80500000</v>
      </c>
      <c r="GD36" s="26"/>
      <c r="GE36" s="37">
        <f t="shared" si="103"/>
        <v>80500000</v>
      </c>
      <c r="GF36" s="38"/>
      <c r="GG36" s="37">
        <f t="shared" si="104"/>
        <v>80500000</v>
      </c>
      <c r="GH36" s="26">
        <f t="shared" si="9"/>
        <v>0</v>
      </c>
      <c r="GI36" s="37">
        <f t="shared" si="10"/>
        <v>-20475474</v>
      </c>
      <c r="GJ36" s="37">
        <f t="shared" si="11"/>
        <v>-5000000</v>
      </c>
      <c r="GK36" s="37">
        <f t="shared" si="12"/>
        <v>-9500000</v>
      </c>
      <c r="GL36" s="37">
        <f t="shared" si="13"/>
        <v>0</v>
      </c>
      <c r="GM36" s="107"/>
      <c r="GN36" s="115"/>
      <c r="GO36" s="113">
        <f t="shared" si="105"/>
        <v>80500000</v>
      </c>
      <c r="GP36" s="113"/>
      <c r="GQ36" s="113">
        <f t="shared" si="106"/>
        <v>80500000</v>
      </c>
      <c r="GR36" s="113"/>
      <c r="GS36" s="128">
        <v>80500000</v>
      </c>
      <c r="GT36" s="128">
        <v>80500000</v>
      </c>
      <c r="GU36" s="123">
        <f t="shared" ref="GU36:GU39" si="150">GT36-GS36</f>
        <v>0</v>
      </c>
      <c r="GV36" s="115"/>
      <c r="GW36" s="99">
        <v>80500000</v>
      </c>
      <c r="GX36" s="128">
        <f t="shared" si="108"/>
        <v>0</v>
      </c>
      <c r="GY36" s="128">
        <f t="shared" si="109"/>
        <v>0</v>
      </c>
      <c r="GZ36" s="115"/>
      <c r="HA36" s="99">
        <v>80500000</v>
      </c>
      <c r="HB36" s="128">
        <f t="shared" si="110"/>
        <v>0</v>
      </c>
      <c r="HC36" s="128">
        <f t="shared" si="111"/>
        <v>0</v>
      </c>
      <c r="HD36" s="128">
        <f t="shared" si="112"/>
        <v>0</v>
      </c>
      <c r="HE36" s="115"/>
      <c r="HF36" s="99">
        <v>80500000</v>
      </c>
      <c r="HG36" s="128">
        <f t="shared" si="126"/>
        <v>0</v>
      </c>
      <c r="HH36" s="128">
        <f t="shared" si="113"/>
        <v>0</v>
      </c>
      <c r="HI36" s="128">
        <f t="shared" si="114"/>
        <v>0</v>
      </c>
      <c r="HJ36" s="115"/>
      <c r="HK36" s="99">
        <v>80500000</v>
      </c>
      <c r="HL36" s="128">
        <f t="shared" si="115"/>
        <v>0</v>
      </c>
      <c r="HM36" s="128">
        <f t="shared" si="116"/>
        <v>0</v>
      </c>
      <c r="HN36" s="128">
        <f t="shared" si="117"/>
        <v>0</v>
      </c>
      <c r="HO36" s="128">
        <f t="shared" si="118"/>
        <v>0</v>
      </c>
      <c r="HP36" s="115"/>
      <c r="HQ36" s="99">
        <v>80500000</v>
      </c>
      <c r="HR36" s="128">
        <f t="shared" si="145"/>
        <v>0</v>
      </c>
      <c r="HS36" s="128">
        <f t="shared" si="15"/>
        <v>0</v>
      </c>
      <c r="HT36" s="128">
        <f t="shared" si="16"/>
        <v>0</v>
      </c>
      <c r="HU36" s="128">
        <f t="shared" si="17"/>
        <v>0</v>
      </c>
      <c r="HV36" s="115"/>
      <c r="HW36" s="99">
        <v>80500000</v>
      </c>
      <c r="HX36" s="128">
        <f t="shared" si="18"/>
        <v>0</v>
      </c>
      <c r="HY36" s="128">
        <f t="shared" si="19"/>
        <v>0</v>
      </c>
      <c r="HZ36" s="128">
        <f t="shared" si="119"/>
        <v>0</v>
      </c>
      <c r="IA36" s="115"/>
      <c r="IB36" s="99">
        <v>80500000</v>
      </c>
      <c r="IC36" s="115"/>
      <c r="ID36" s="128">
        <f t="shared" si="20"/>
        <v>80500000</v>
      </c>
      <c r="IE36" s="164">
        <f t="shared" si="21"/>
        <v>0</v>
      </c>
      <c r="IF36" s="185">
        <v>80500000</v>
      </c>
      <c r="IG36" s="40">
        <f t="shared" si="120"/>
        <v>0</v>
      </c>
      <c r="IH36" s="115"/>
    </row>
    <row r="37" spans="1:242" ht="12.75" x14ac:dyDescent="0.2">
      <c r="A37" s="19" t="s">
        <v>172</v>
      </c>
      <c r="B37" s="19"/>
      <c r="C37" s="51" t="s">
        <v>205</v>
      </c>
      <c r="D37" s="20"/>
      <c r="E37" s="21"/>
      <c r="F37" s="21"/>
      <c r="G37" s="21"/>
      <c r="H37" s="21"/>
      <c r="I37" s="21"/>
      <c r="J37" s="22"/>
      <c r="K37" s="22"/>
      <c r="L37" s="22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4"/>
      <c r="X37" s="24"/>
      <c r="Y37" s="24"/>
      <c r="Z37" s="25"/>
      <c r="AA37" s="25"/>
      <c r="AB37" s="25"/>
      <c r="AC37" s="25"/>
      <c r="AD37" s="26"/>
      <c r="AE37" s="25"/>
      <c r="AF37" s="25"/>
      <c r="AG37" s="25"/>
      <c r="AH37" s="26"/>
      <c r="AI37" s="26"/>
      <c r="AJ37" s="25"/>
      <c r="AK37" s="25"/>
      <c r="AL37" s="25"/>
      <c r="AM37" s="26"/>
      <c r="AN37" s="26"/>
      <c r="AO37" s="26"/>
      <c r="AP37" s="25"/>
      <c r="AQ37" s="25"/>
      <c r="AR37" s="25"/>
      <c r="AS37" s="25"/>
      <c r="AT37" s="25"/>
      <c r="AU37" s="25"/>
      <c r="AV37" s="25"/>
      <c r="AW37" s="25"/>
      <c r="AX37" s="25"/>
      <c r="AY37" s="26"/>
      <c r="AZ37" s="26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8"/>
      <c r="BL37" s="25"/>
      <c r="BM37" s="29"/>
      <c r="BN37" s="38">
        <v>1465000</v>
      </c>
      <c r="BO37" s="27">
        <f t="shared" si="41"/>
        <v>1465000</v>
      </c>
      <c r="BP37" s="38">
        <v>0</v>
      </c>
      <c r="BQ37" s="41">
        <f t="shared" si="42"/>
        <v>0</v>
      </c>
      <c r="BR37" s="41">
        <f t="shared" si="43"/>
        <v>-1465000</v>
      </c>
      <c r="BS37" s="38">
        <f t="shared" si="149"/>
        <v>0</v>
      </c>
      <c r="BT37" s="42">
        <f t="shared" si="44"/>
        <v>0</v>
      </c>
      <c r="BU37" s="42">
        <f t="shared" si="45"/>
        <v>-1465000</v>
      </c>
      <c r="BV37" s="42">
        <f t="shared" si="46"/>
        <v>0</v>
      </c>
      <c r="BW37" s="38">
        <v>0</v>
      </c>
      <c r="BX37" s="41">
        <f t="shared" si="47"/>
        <v>0</v>
      </c>
      <c r="BY37" s="41">
        <f t="shared" si="48"/>
        <v>-1465000</v>
      </c>
      <c r="BZ37" s="41">
        <f t="shared" si="49"/>
        <v>0</v>
      </c>
      <c r="CA37" s="38">
        <v>1000000</v>
      </c>
      <c r="CB37" s="8">
        <f t="shared" si="50"/>
        <v>1000000</v>
      </c>
      <c r="CC37" s="8">
        <f t="shared" si="51"/>
        <v>-465000</v>
      </c>
      <c r="CD37" s="8">
        <f t="shared" si="6"/>
        <v>1000000</v>
      </c>
      <c r="CE37" s="8">
        <f t="shared" si="52"/>
        <v>1000000</v>
      </c>
      <c r="CF37" s="38">
        <v>1000000</v>
      </c>
      <c r="CG37" s="8">
        <f t="shared" si="53"/>
        <v>1000000</v>
      </c>
      <c r="CH37" s="8">
        <f t="shared" si="54"/>
        <v>-465000</v>
      </c>
      <c r="CI37" s="8">
        <f t="shared" si="55"/>
        <v>1000000</v>
      </c>
      <c r="CJ37" s="8">
        <f t="shared" si="56"/>
        <v>0</v>
      </c>
      <c r="CK37" s="38">
        <v>1000000</v>
      </c>
      <c r="CL37" s="8">
        <f t="shared" si="7"/>
        <v>1000000</v>
      </c>
      <c r="CM37" s="8">
        <f t="shared" si="57"/>
        <v>-465000</v>
      </c>
      <c r="CN37" s="8">
        <f t="shared" si="58"/>
        <v>0</v>
      </c>
      <c r="CO37" s="38">
        <v>4604123</v>
      </c>
      <c r="CP37" s="38">
        <f t="shared" si="59"/>
        <v>3139123</v>
      </c>
      <c r="CQ37" s="8">
        <f t="shared" si="60"/>
        <v>3604123</v>
      </c>
      <c r="CR37" s="38">
        <v>0</v>
      </c>
      <c r="CS37" s="27"/>
      <c r="CT37" s="38">
        <f t="shared" si="61"/>
        <v>0</v>
      </c>
      <c r="CU37" s="8">
        <f t="shared" si="62"/>
        <v>-1000000</v>
      </c>
      <c r="CV37" s="38">
        <f t="shared" si="63"/>
        <v>-4604123</v>
      </c>
      <c r="CW37" s="38">
        <f t="shared" si="64"/>
        <v>0</v>
      </c>
      <c r="CX37" s="38">
        <v>1000000</v>
      </c>
      <c r="CY37" s="8">
        <f t="shared" si="65"/>
        <v>0</v>
      </c>
      <c r="CZ37" s="38">
        <f t="shared" si="66"/>
        <v>-3604123</v>
      </c>
      <c r="DA37" s="38">
        <f t="shared" si="67"/>
        <v>1000000</v>
      </c>
      <c r="DB37" s="38">
        <v>1000000</v>
      </c>
      <c r="DC37" s="8">
        <f t="shared" si="68"/>
        <v>0</v>
      </c>
      <c r="DD37" s="38">
        <f t="shared" si="69"/>
        <v>-3604123</v>
      </c>
      <c r="DE37" s="38">
        <f t="shared" si="70"/>
        <v>1000000</v>
      </c>
      <c r="DF37" s="38">
        <f t="shared" si="71"/>
        <v>0</v>
      </c>
      <c r="DG37" s="38">
        <v>1000000</v>
      </c>
      <c r="DH37" s="40">
        <f t="shared" si="72"/>
        <v>0</v>
      </c>
      <c r="DI37" s="38">
        <f t="shared" si="73"/>
        <v>-3604123</v>
      </c>
      <c r="DJ37" s="38">
        <f t="shared" si="74"/>
        <v>1000000</v>
      </c>
      <c r="DK37" s="38">
        <f t="shared" si="75"/>
        <v>0</v>
      </c>
      <c r="DL37" s="38"/>
      <c r="DM37" s="38">
        <f t="shared" si="76"/>
        <v>1000000</v>
      </c>
      <c r="DN37" s="38">
        <v>1000000</v>
      </c>
      <c r="DO37" s="38">
        <f t="shared" si="77"/>
        <v>0</v>
      </c>
      <c r="DP37" s="38"/>
      <c r="DQ37" s="38">
        <v>-18375</v>
      </c>
      <c r="DR37" s="38">
        <f t="shared" si="78"/>
        <v>981625</v>
      </c>
      <c r="DS37" s="38">
        <f t="shared" si="79"/>
        <v>-18375</v>
      </c>
      <c r="DT37" s="38">
        <v>-250000</v>
      </c>
      <c r="DU37" s="38">
        <f t="shared" si="80"/>
        <v>731625</v>
      </c>
      <c r="DV37" s="38">
        <f t="shared" si="81"/>
        <v>-268375</v>
      </c>
      <c r="DW37" s="38">
        <v>731625</v>
      </c>
      <c r="DX37" s="38">
        <v>0</v>
      </c>
      <c r="DY37" s="8">
        <f t="shared" si="127"/>
        <v>-731625</v>
      </c>
      <c r="DZ37" s="40">
        <v>0</v>
      </c>
      <c r="EA37" s="8">
        <f t="shared" si="128"/>
        <v>-731625</v>
      </c>
      <c r="EB37" s="8">
        <f t="shared" si="129"/>
        <v>0</v>
      </c>
      <c r="EC37" s="58" t="s">
        <v>256</v>
      </c>
      <c r="ED37" s="37">
        <v>0</v>
      </c>
      <c r="EE37" s="25">
        <f t="shared" si="130"/>
        <v>-731625</v>
      </c>
      <c r="EF37" s="25">
        <f t="shared" si="131"/>
        <v>0</v>
      </c>
      <c r="EG37" s="25">
        <f t="shared" si="82"/>
        <v>0</v>
      </c>
      <c r="EH37" s="37">
        <v>736898</v>
      </c>
      <c r="EI37" s="25">
        <f t="shared" si="132"/>
        <v>5273</v>
      </c>
      <c r="EJ37" s="25">
        <f t="shared" si="133"/>
        <v>736898</v>
      </c>
      <c r="EK37" s="25">
        <f t="shared" si="83"/>
        <v>736898</v>
      </c>
      <c r="EL37" s="37">
        <v>736898</v>
      </c>
      <c r="EM37" s="25">
        <f t="shared" si="134"/>
        <v>5273</v>
      </c>
      <c r="EN37" s="25">
        <f t="shared" si="135"/>
        <v>736898</v>
      </c>
      <c r="EO37" s="25">
        <f t="shared" si="125"/>
        <v>736898</v>
      </c>
      <c r="EP37" s="25">
        <f t="shared" si="84"/>
        <v>0</v>
      </c>
      <c r="EQ37" s="37">
        <v>736898</v>
      </c>
      <c r="ER37" s="25">
        <f t="shared" si="136"/>
        <v>5273</v>
      </c>
      <c r="ES37" s="25">
        <f t="shared" si="137"/>
        <v>736898</v>
      </c>
      <c r="ET37" s="25">
        <f t="shared" si="85"/>
        <v>736898</v>
      </c>
      <c r="EU37" s="25">
        <f t="shared" si="86"/>
        <v>0</v>
      </c>
      <c r="EV37" s="37">
        <v>736898</v>
      </c>
      <c r="EW37" s="25">
        <f t="shared" si="138"/>
        <v>5273</v>
      </c>
      <c r="EX37" s="25">
        <f t="shared" si="87"/>
        <v>0</v>
      </c>
      <c r="EY37" s="25">
        <f t="shared" si="8"/>
        <v>0</v>
      </c>
      <c r="EZ37" s="37">
        <v>736898</v>
      </c>
      <c r="FA37" s="25">
        <f t="shared" si="139"/>
        <v>5273</v>
      </c>
      <c r="FB37" s="25"/>
      <c r="FC37" s="25">
        <f t="shared" si="88"/>
        <v>736898</v>
      </c>
      <c r="FD37" s="25"/>
      <c r="FE37" s="25">
        <v>-440000</v>
      </c>
      <c r="FF37" s="25">
        <f t="shared" si="89"/>
        <v>296898</v>
      </c>
      <c r="FG37" s="37">
        <v>0</v>
      </c>
      <c r="FH37" s="25">
        <f t="shared" si="90"/>
        <v>-296898</v>
      </c>
      <c r="FI37" s="25"/>
      <c r="FJ37" s="37">
        <v>0</v>
      </c>
      <c r="FK37" s="37">
        <f t="shared" si="91"/>
        <v>-296898</v>
      </c>
      <c r="FL37" s="37">
        <f t="shared" si="92"/>
        <v>0</v>
      </c>
      <c r="FM37" s="37">
        <v>0</v>
      </c>
      <c r="FN37" s="37">
        <f t="shared" si="93"/>
        <v>-296898</v>
      </c>
      <c r="FO37" s="37">
        <f t="shared" si="94"/>
        <v>0</v>
      </c>
      <c r="FP37" s="37">
        <f t="shared" si="95"/>
        <v>0</v>
      </c>
      <c r="FQ37" s="37"/>
      <c r="FR37" s="37">
        <v>500000</v>
      </c>
      <c r="FS37" s="37">
        <f t="shared" si="96"/>
        <v>203102</v>
      </c>
      <c r="FT37" s="37">
        <f t="shared" si="97"/>
        <v>500000</v>
      </c>
      <c r="FU37" s="37">
        <f t="shared" si="98"/>
        <v>500000</v>
      </c>
      <c r="FV37" s="100" t="s">
        <v>324</v>
      </c>
      <c r="FW37" s="37">
        <v>700000</v>
      </c>
      <c r="FX37" s="37">
        <f t="shared" si="99"/>
        <v>403102</v>
      </c>
      <c r="FY37" s="37">
        <f t="shared" si="100"/>
        <v>700000</v>
      </c>
      <c r="FZ37" s="37">
        <f t="shared" si="101"/>
        <v>700000</v>
      </c>
      <c r="GA37" s="37">
        <f t="shared" si="102"/>
        <v>200000</v>
      </c>
      <c r="GB37" s="107"/>
      <c r="GC37" s="37">
        <v>350000</v>
      </c>
      <c r="GD37" s="26">
        <v>-350000</v>
      </c>
      <c r="GE37" s="37">
        <f t="shared" si="103"/>
        <v>0</v>
      </c>
      <c r="GF37" s="38">
        <v>350000</v>
      </c>
      <c r="GG37" s="37">
        <f t="shared" si="104"/>
        <v>350000</v>
      </c>
      <c r="GH37" s="26">
        <f t="shared" si="9"/>
        <v>53102</v>
      </c>
      <c r="GI37" s="37">
        <f t="shared" si="10"/>
        <v>350000</v>
      </c>
      <c r="GJ37" s="37">
        <f t="shared" si="11"/>
        <v>350000</v>
      </c>
      <c r="GK37" s="37">
        <f t="shared" si="12"/>
        <v>-350000</v>
      </c>
      <c r="GL37" s="37">
        <f t="shared" si="13"/>
        <v>0</v>
      </c>
      <c r="GM37" s="115" t="s">
        <v>364</v>
      </c>
      <c r="GN37" s="115"/>
      <c r="GO37" s="113">
        <f t="shared" si="105"/>
        <v>350000</v>
      </c>
      <c r="GP37" s="113"/>
      <c r="GQ37" s="113">
        <f t="shared" si="106"/>
        <v>350000</v>
      </c>
      <c r="GR37" s="113">
        <v>-350000</v>
      </c>
      <c r="GS37" s="128">
        <v>0</v>
      </c>
      <c r="GT37" s="128">
        <v>0</v>
      </c>
      <c r="GU37" s="123">
        <f t="shared" si="150"/>
        <v>0</v>
      </c>
      <c r="GV37" s="115"/>
      <c r="GW37" s="99">
        <v>0</v>
      </c>
      <c r="GX37" s="128">
        <f t="shared" si="108"/>
        <v>0</v>
      </c>
      <c r="GY37" s="128">
        <f t="shared" si="109"/>
        <v>0</v>
      </c>
      <c r="GZ37" s="115"/>
      <c r="HA37" s="99">
        <v>0</v>
      </c>
      <c r="HB37" s="128">
        <f t="shared" si="110"/>
        <v>0</v>
      </c>
      <c r="HC37" s="128">
        <f t="shared" si="111"/>
        <v>0</v>
      </c>
      <c r="HD37" s="128">
        <f t="shared" si="112"/>
        <v>0</v>
      </c>
      <c r="HE37" s="115"/>
      <c r="HF37" s="99">
        <v>300000</v>
      </c>
      <c r="HG37" s="128">
        <f t="shared" si="126"/>
        <v>300000</v>
      </c>
      <c r="HH37" s="128">
        <f t="shared" si="113"/>
        <v>300000</v>
      </c>
      <c r="HI37" s="128">
        <f t="shared" si="114"/>
        <v>300000</v>
      </c>
      <c r="HJ37" s="115"/>
      <c r="HK37" s="99">
        <v>300000</v>
      </c>
      <c r="HL37" s="128">
        <f t="shared" si="115"/>
        <v>300000</v>
      </c>
      <c r="HM37" s="128">
        <f t="shared" si="116"/>
        <v>300000</v>
      </c>
      <c r="HN37" s="128">
        <f t="shared" si="117"/>
        <v>300000</v>
      </c>
      <c r="HO37" s="128">
        <f t="shared" si="118"/>
        <v>0</v>
      </c>
      <c r="HP37" s="115"/>
      <c r="HQ37" s="99">
        <v>165000</v>
      </c>
      <c r="HR37" s="128">
        <f t="shared" si="145"/>
        <v>165000</v>
      </c>
      <c r="HS37" s="128">
        <f t="shared" si="15"/>
        <v>165000</v>
      </c>
      <c r="HT37" s="128">
        <f t="shared" si="16"/>
        <v>165000</v>
      </c>
      <c r="HU37" s="128">
        <f t="shared" si="17"/>
        <v>-135000</v>
      </c>
      <c r="HV37" s="115" t="s">
        <v>504</v>
      </c>
      <c r="HW37" s="99">
        <v>0</v>
      </c>
      <c r="HX37" s="128">
        <f t="shared" si="18"/>
        <v>0</v>
      </c>
      <c r="HY37" s="128">
        <f t="shared" si="19"/>
        <v>0</v>
      </c>
      <c r="HZ37" s="128">
        <f t="shared" si="119"/>
        <v>-165000</v>
      </c>
      <c r="IA37" s="115"/>
      <c r="IB37" s="99">
        <v>165000</v>
      </c>
      <c r="IC37" s="115" t="s">
        <v>504</v>
      </c>
      <c r="ID37" s="128">
        <f t="shared" si="20"/>
        <v>165000</v>
      </c>
      <c r="IE37" s="164">
        <f t="shared" si="21"/>
        <v>165000</v>
      </c>
      <c r="IF37" s="185">
        <v>0</v>
      </c>
      <c r="IG37" s="40">
        <f t="shared" si="120"/>
        <v>-165000</v>
      </c>
      <c r="IH37" s="115" t="s">
        <v>544</v>
      </c>
    </row>
    <row r="38" spans="1:242" ht="18" customHeight="1" x14ac:dyDescent="0.2">
      <c r="A38" s="17" t="s">
        <v>22</v>
      </c>
      <c r="B38" s="18"/>
      <c r="C38" s="52" t="s">
        <v>177</v>
      </c>
      <c r="D38" s="20">
        <v>5515000</v>
      </c>
      <c r="E38" s="21">
        <v>5448093</v>
      </c>
      <c r="F38" s="21">
        <v>5239173</v>
      </c>
      <c r="G38" s="21">
        <v>657526</v>
      </c>
      <c r="H38" s="22"/>
      <c r="I38" s="21">
        <f t="shared" si="0"/>
        <v>657526</v>
      </c>
      <c r="J38" s="22">
        <v>-68362</v>
      </c>
      <c r="K38" s="22"/>
      <c r="L38" s="22">
        <f t="shared" si="1"/>
        <v>-68362</v>
      </c>
      <c r="M38" s="23">
        <f t="shared" si="22"/>
        <v>589164</v>
      </c>
      <c r="N38" s="23">
        <v>925806</v>
      </c>
      <c r="O38" s="23">
        <v>894719</v>
      </c>
      <c r="P38" s="23">
        <v>894719</v>
      </c>
      <c r="Q38" s="23">
        <v>813352</v>
      </c>
      <c r="R38" s="23">
        <v>894550</v>
      </c>
      <c r="S38" s="23">
        <v>0</v>
      </c>
      <c r="T38" s="23">
        <f t="shared" si="121"/>
        <v>0</v>
      </c>
      <c r="U38" s="23">
        <f t="shared" si="122"/>
        <v>894550</v>
      </c>
      <c r="V38" s="23">
        <f t="shared" si="2"/>
        <v>305386</v>
      </c>
      <c r="W38" s="24">
        <v>894550</v>
      </c>
      <c r="X38" s="24"/>
      <c r="Y38" s="24">
        <f t="shared" si="23"/>
        <v>894550</v>
      </c>
      <c r="Z38" s="25">
        <v>894550</v>
      </c>
      <c r="AA38" s="25">
        <f t="shared" si="24"/>
        <v>0</v>
      </c>
      <c r="AB38" s="25">
        <v>861405</v>
      </c>
      <c r="AC38" s="25">
        <v>861405</v>
      </c>
      <c r="AD38" s="26">
        <v>876659</v>
      </c>
      <c r="AE38" s="25"/>
      <c r="AF38" s="25">
        <f>AC38-SUM(W38:X38)</f>
        <v>-33145</v>
      </c>
      <c r="AG38" s="25">
        <f>AC38-Z38</f>
        <v>-33145</v>
      </c>
      <c r="AH38" s="26">
        <v>876659</v>
      </c>
      <c r="AI38" s="26">
        <v>861405</v>
      </c>
      <c r="AJ38" s="25">
        <f t="shared" si="141"/>
        <v>-17891</v>
      </c>
      <c r="AK38" s="25">
        <f t="shared" si="25"/>
        <v>-17891</v>
      </c>
      <c r="AL38" s="25">
        <f t="shared" si="26"/>
        <v>15254</v>
      </c>
      <c r="AM38" s="26">
        <f t="shared" si="27"/>
        <v>-17891</v>
      </c>
      <c r="AN38" s="26">
        <f t="shared" si="28"/>
        <v>-17891</v>
      </c>
      <c r="AO38" s="26">
        <f t="shared" si="4"/>
        <v>15254</v>
      </c>
      <c r="AP38" s="25">
        <v>861405</v>
      </c>
      <c r="AQ38" s="25">
        <f t="shared" si="5"/>
        <v>-33145</v>
      </c>
      <c r="AR38" s="25">
        <f t="shared" si="29"/>
        <v>-33145</v>
      </c>
      <c r="AS38" s="25">
        <f t="shared" si="30"/>
        <v>-33145</v>
      </c>
      <c r="AT38" s="25"/>
      <c r="AU38" s="25">
        <f t="shared" si="31"/>
        <v>861405</v>
      </c>
      <c r="AV38" s="25">
        <v>898474</v>
      </c>
      <c r="AW38" s="25">
        <f t="shared" si="32"/>
        <v>37069</v>
      </c>
      <c r="AX38" s="25">
        <v>872383</v>
      </c>
      <c r="AY38" s="26">
        <f t="shared" si="123"/>
        <v>10978</v>
      </c>
      <c r="AZ38" s="26">
        <f t="shared" si="124"/>
        <v>-26091</v>
      </c>
      <c r="BA38" s="25">
        <v>872383</v>
      </c>
      <c r="BB38" s="25">
        <f t="shared" si="33"/>
        <v>10978</v>
      </c>
      <c r="BC38" s="25">
        <f t="shared" si="34"/>
        <v>-26091</v>
      </c>
      <c r="BD38" s="25">
        <f t="shared" si="35"/>
        <v>0</v>
      </c>
      <c r="BE38" s="25">
        <v>901178</v>
      </c>
      <c r="BF38" s="25">
        <v>887543</v>
      </c>
      <c r="BG38" s="25">
        <v>887543</v>
      </c>
      <c r="BH38" s="25">
        <f t="shared" si="36"/>
        <v>26138</v>
      </c>
      <c r="BI38" s="25">
        <f t="shared" si="37"/>
        <v>-10931</v>
      </c>
      <c r="BJ38" s="25">
        <f t="shared" si="38"/>
        <v>15160</v>
      </c>
      <c r="BK38" s="8">
        <f t="shared" si="39"/>
        <v>-13635</v>
      </c>
      <c r="BL38" s="25">
        <v>25000</v>
      </c>
      <c r="BM38" s="29">
        <f t="shared" si="40"/>
        <v>862543</v>
      </c>
      <c r="BN38" s="38">
        <v>795441</v>
      </c>
      <c r="BO38" s="27">
        <f t="shared" si="41"/>
        <v>-67102</v>
      </c>
      <c r="BP38" s="38">
        <v>795548</v>
      </c>
      <c r="BQ38" s="41">
        <f t="shared" si="42"/>
        <v>-66995</v>
      </c>
      <c r="BR38" s="41">
        <f t="shared" si="43"/>
        <v>107</v>
      </c>
      <c r="BS38" s="38">
        <f t="shared" si="149"/>
        <v>795548</v>
      </c>
      <c r="BT38" s="42">
        <f t="shared" si="44"/>
        <v>-66995</v>
      </c>
      <c r="BU38" s="42">
        <f t="shared" si="45"/>
        <v>107</v>
      </c>
      <c r="BV38" s="42">
        <f t="shared" si="46"/>
        <v>0</v>
      </c>
      <c r="BW38" s="38">
        <v>795548</v>
      </c>
      <c r="BX38" s="41">
        <f t="shared" si="47"/>
        <v>-66995</v>
      </c>
      <c r="BY38" s="41">
        <f t="shared" si="48"/>
        <v>107</v>
      </c>
      <c r="BZ38" s="41">
        <f t="shared" si="49"/>
        <v>0</v>
      </c>
      <c r="CA38" s="38">
        <v>795548</v>
      </c>
      <c r="CB38" s="8">
        <f t="shared" si="50"/>
        <v>-66995</v>
      </c>
      <c r="CC38" s="8">
        <f t="shared" si="51"/>
        <v>107</v>
      </c>
      <c r="CD38" s="8">
        <f t="shared" si="6"/>
        <v>0</v>
      </c>
      <c r="CE38" s="8">
        <f t="shared" si="52"/>
        <v>0</v>
      </c>
      <c r="CF38" s="38">
        <v>795548</v>
      </c>
      <c r="CG38" s="8">
        <f t="shared" si="53"/>
        <v>-66995</v>
      </c>
      <c r="CH38" s="8">
        <f t="shared" si="54"/>
        <v>107</v>
      </c>
      <c r="CI38" s="8">
        <f t="shared" si="55"/>
        <v>0</v>
      </c>
      <c r="CJ38" s="8">
        <f t="shared" si="56"/>
        <v>0</v>
      </c>
      <c r="CK38" s="38">
        <v>795548</v>
      </c>
      <c r="CL38" s="8">
        <f t="shared" si="7"/>
        <v>-66995</v>
      </c>
      <c r="CM38" s="8">
        <f t="shared" si="57"/>
        <v>107</v>
      </c>
      <c r="CN38" s="8">
        <f t="shared" si="58"/>
        <v>0</v>
      </c>
      <c r="CO38" s="38">
        <v>0</v>
      </c>
      <c r="CP38" s="38">
        <f t="shared" si="59"/>
        <v>-795441</v>
      </c>
      <c r="CQ38" s="8">
        <f t="shared" si="60"/>
        <v>-795548</v>
      </c>
      <c r="CR38" s="38">
        <v>0</v>
      </c>
      <c r="CS38" s="27"/>
      <c r="CT38" s="38">
        <f t="shared" si="61"/>
        <v>0</v>
      </c>
      <c r="CU38" s="8">
        <f t="shared" si="62"/>
        <v>-795548</v>
      </c>
      <c r="CV38" s="38">
        <f t="shared" si="63"/>
        <v>0</v>
      </c>
      <c r="CW38" s="38">
        <f t="shared" si="64"/>
        <v>0</v>
      </c>
      <c r="CX38" s="38">
        <v>795548</v>
      </c>
      <c r="CY38" s="8">
        <f t="shared" si="65"/>
        <v>0</v>
      </c>
      <c r="CZ38" s="38">
        <f t="shared" si="66"/>
        <v>795548</v>
      </c>
      <c r="DA38" s="38">
        <f t="shared" si="67"/>
        <v>795548</v>
      </c>
      <c r="DB38" s="38">
        <v>795548</v>
      </c>
      <c r="DC38" s="8">
        <f t="shared" si="68"/>
        <v>0</v>
      </c>
      <c r="DD38" s="38">
        <f t="shared" si="69"/>
        <v>795548</v>
      </c>
      <c r="DE38" s="38">
        <f t="shared" si="70"/>
        <v>795548</v>
      </c>
      <c r="DF38" s="38">
        <f t="shared" si="71"/>
        <v>0</v>
      </c>
      <c r="DG38" s="38">
        <v>795548</v>
      </c>
      <c r="DH38" s="40">
        <f t="shared" si="72"/>
        <v>0</v>
      </c>
      <c r="DI38" s="38">
        <f t="shared" si="73"/>
        <v>795548</v>
      </c>
      <c r="DJ38" s="38">
        <f t="shared" si="74"/>
        <v>795548</v>
      </c>
      <c r="DK38" s="38">
        <f t="shared" si="75"/>
        <v>0</v>
      </c>
      <c r="DL38" s="38"/>
      <c r="DM38" s="38">
        <f t="shared" si="76"/>
        <v>795548</v>
      </c>
      <c r="DN38" s="38">
        <v>795548</v>
      </c>
      <c r="DO38" s="38">
        <f t="shared" si="77"/>
        <v>0</v>
      </c>
      <c r="DP38" s="38"/>
      <c r="DQ38" s="38">
        <v>0</v>
      </c>
      <c r="DR38" s="38">
        <f t="shared" si="78"/>
        <v>795548</v>
      </c>
      <c r="DS38" s="38">
        <f t="shared" si="79"/>
        <v>0</v>
      </c>
      <c r="DT38" s="38">
        <v>-23866</v>
      </c>
      <c r="DU38" s="38">
        <f t="shared" si="80"/>
        <v>771682</v>
      </c>
      <c r="DV38" s="38">
        <f t="shared" si="81"/>
        <v>-23866</v>
      </c>
      <c r="DW38" s="38">
        <v>771682</v>
      </c>
      <c r="DX38" s="38">
        <v>771681</v>
      </c>
      <c r="DY38" s="8">
        <f t="shared" si="127"/>
        <v>-1</v>
      </c>
      <c r="DZ38" s="40">
        <v>771681</v>
      </c>
      <c r="EA38" s="8">
        <f t="shared" si="128"/>
        <v>-1</v>
      </c>
      <c r="EB38" s="8">
        <f t="shared" si="129"/>
        <v>0</v>
      </c>
      <c r="EC38" s="60"/>
      <c r="ED38" s="37">
        <v>771681</v>
      </c>
      <c r="EE38" s="25">
        <f t="shared" si="130"/>
        <v>-1</v>
      </c>
      <c r="EF38" s="25">
        <f t="shared" si="131"/>
        <v>0</v>
      </c>
      <c r="EG38" s="25">
        <f t="shared" si="82"/>
        <v>0</v>
      </c>
      <c r="EH38" s="37">
        <v>0</v>
      </c>
      <c r="EI38" s="25">
        <f t="shared" si="132"/>
        <v>-771682</v>
      </c>
      <c r="EJ38" s="25">
        <f t="shared" si="133"/>
        <v>-771681</v>
      </c>
      <c r="EK38" s="25">
        <f t="shared" si="83"/>
        <v>-771681</v>
      </c>
      <c r="EL38" s="37">
        <v>0</v>
      </c>
      <c r="EM38" s="25">
        <f t="shared" si="134"/>
        <v>-771682</v>
      </c>
      <c r="EN38" s="25">
        <f t="shared" si="135"/>
        <v>-771681</v>
      </c>
      <c r="EO38" s="25">
        <f t="shared" si="125"/>
        <v>-771681</v>
      </c>
      <c r="EP38" s="25">
        <f t="shared" si="84"/>
        <v>0</v>
      </c>
      <c r="EQ38" s="37">
        <v>771681</v>
      </c>
      <c r="ER38" s="25">
        <f t="shared" si="136"/>
        <v>-1</v>
      </c>
      <c r="ES38" s="25">
        <f t="shared" si="137"/>
        <v>0</v>
      </c>
      <c r="ET38" s="25">
        <f t="shared" si="85"/>
        <v>0</v>
      </c>
      <c r="EU38" s="25">
        <f t="shared" si="86"/>
        <v>771681</v>
      </c>
      <c r="EV38" s="37">
        <v>771681</v>
      </c>
      <c r="EW38" s="25">
        <f t="shared" si="138"/>
        <v>-1</v>
      </c>
      <c r="EX38" s="25">
        <f t="shared" si="87"/>
        <v>0</v>
      </c>
      <c r="EY38" s="25">
        <f t="shared" si="8"/>
        <v>0</v>
      </c>
      <c r="EZ38" s="37">
        <v>771681</v>
      </c>
      <c r="FA38" s="25">
        <f t="shared" si="139"/>
        <v>-1</v>
      </c>
      <c r="FB38" s="25"/>
      <c r="FC38" s="25">
        <f t="shared" si="88"/>
        <v>771681</v>
      </c>
      <c r="FD38" s="25"/>
      <c r="FE38" s="25"/>
      <c r="FF38" s="25">
        <f t="shared" si="89"/>
        <v>771681</v>
      </c>
      <c r="FG38" s="37">
        <v>770481</v>
      </c>
      <c r="FH38" s="25">
        <f t="shared" si="90"/>
        <v>-1200</v>
      </c>
      <c r="FI38" s="25"/>
      <c r="FJ38" s="37">
        <v>770481</v>
      </c>
      <c r="FK38" s="37">
        <f t="shared" si="91"/>
        <v>-1200</v>
      </c>
      <c r="FL38" s="37">
        <f t="shared" si="92"/>
        <v>0</v>
      </c>
      <c r="FM38" s="37">
        <v>770481</v>
      </c>
      <c r="FN38" s="37">
        <f t="shared" si="93"/>
        <v>-1200</v>
      </c>
      <c r="FO38" s="37">
        <f t="shared" si="94"/>
        <v>0</v>
      </c>
      <c r="FP38" s="37">
        <f t="shared" si="95"/>
        <v>0</v>
      </c>
      <c r="FQ38" s="37"/>
      <c r="FR38" s="37">
        <v>770481</v>
      </c>
      <c r="FS38" s="37">
        <f t="shared" si="96"/>
        <v>-1200</v>
      </c>
      <c r="FT38" s="37" t="s">
        <v>47</v>
      </c>
      <c r="FU38" s="37">
        <f t="shared" si="98"/>
        <v>0</v>
      </c>
      <c r="FV38" s="100"/>
      <c r="FW38" s="37">
        <v>770481</v>
      </c>
      <c r="FX38" s="37">
        <f t="shared" si="99"/>
        <v>-1200</v>
      </c>
      <c r="FY38" s="37">
        <f t="shared" si="100"/>
        <v>0</v>
      </c>
      <c r="FZ38" s="37">
        <f t="shared" si="101"/>
        <v>0</v>
      </c>
      <c r="GA38" s="37">
        <f t="shared" si="102"/>
        <v>0</v>
      </c>
      <c r="GB38" s="107"/>
      <c r="GC38" s="37">
        <v>770481</v>
      </c>
      <c r="GD38" s="26"/>
      <c r="GE38" s="37">
        <f t="shared" si="103"/>
        <v>770481</v>
      </c>
      <c r="GF38" s="38"/>
      <c r="GG38" s="37">
        <f t="shared" si="104"/>
        <v>770481</v>
      </c>
      <c r="GH38" s="26">
        <f t="shared" si="9"/>
        <v>-1200</v>
      </c>
      <c r="GI38" s="37">
        <f t="shared" si="10"/>
        <v>0</v>
      </c>
      <c r="GJ38" s="37">
        <f t="shared" si="11"/>
        <v>0</v>
      </c>
      <c r="GK38" s="37">
        <f t="shared" si="12"/>
        <v>0</v>
      </c>
      <c r="GL38" s="37">
        <f t="shared" si="13"/>
        <v>0</v>
      </c>
      <c r="GM38" s="107"/>
      <c r="GN38" s="115"/>
      <c r="GO38" s="113">
        <f t="shared" si="105"/>
        <v>770481</v>
      </c>
      <c r="GP38" s="113">
        <v>-7705</v>
      </c>
      <c r="GQ38" s="113">
        <f t="shared" si="106"/>
        <v>762776</v>
      </c>
      <c r="GR38" s="113"/>
      <c r="GS38" s="128">
        <v>762776</v>
      </c>
      <c r="GT38" s="128">
        <v>788088</v>
      </c>
      <c r="GU38" s="123">
        <f t="shared" si="150"/>
        <v>25312</v>
      </c>
      <c r="GV38" s="115"/>
      <c r="GW38" s="99">
        <v>788087</v>
      </c>
      <c r="GX38" s="128">
        <f t="shared" si="108"/>
        <v>25311</v>
      </c>
      <c r="GY38" s="128">
        <f t="shared" si="109"/>
        <v>-1</v>
      </c>
      <c r="GZ38" s="115"/>
      <c r="HA38" s="99">
        <v>788087</v>
      </c>
      <c r="HB38" s="128">
        <f t="shared" si="110"/>
        <v>25311</v>
      </c>
      <c r="HC38" s="128">
        <f t="shared" si="111"/>
        <v>-1</v>
      </c>
      <c r="HD38" s="128">
        <f t="shared" si="112"/>
        <v>0</v>
      </c>
      <c r="HE38" s="115"/>
      <c r="HF38" s="99">
        <v>788088</v>
      </c>
      <c r="HG38" s="128">
        <f t="shared" si="126"/>
        <v>25312</v>
      </c>
      <c r="HH38" s="128">
        <f t="shared" si="113"/>
        <v>0</v>
      </c>
      <c r="HI38" s="128">
        <f t="shared" si="114"/>
        <v>1</v>
      </c>
      <c r="HJ38" s="115"/>
      <c r="HK38" s="99">
        <v>788088</v>
      </c>
      <c r="HL38" s="128">
        <f t="shared" si="115"/>
        <v>25312</v>
      </c>
      <c r="HM38" s="128">
        <f t="shared" si="116"/>
        <v>0</v>
      </c>
      <c r="HN38" s="128">
        <f t="shared" si="117"/>
        <v>1</v>
      </c>
      <c r="HO38" s="128">
        <f t="shared" si="118"/>
        <v>0</v>
      </c>
      <c r="HP38" s="115"/>
      <c r="HQ38" s="99">
        <v>520481</v>
      </c>
      <c r="HR38" s="128">
        <f t="shared" si="145"/>
        <v>-242295</v>
      </c>
      <c r="HS38" s="128">
        <f t="shared" si="15"/>
        <v>-267607</v>
      </c>
      <c r="HT38" s="128">
        <f t="shared" si="16"/>
        <v>-267606</v>
      </c>
      <c r="HU38" s="128">
        <f t="shared" si="17"/>
        <v>-267607</v>
      </c>
      <c r="HV38" s="160" t="s">
        <v>503</v>
      </c>
      <c r="HW38" s="99">
        <v>520481</v>
      </c>
      <c r="HX38" s="128">
        <f t="shared" si="18"/>
        <v>-242295</v>
      </c>
      <c r="HY38" s="128">
        <f t="shared" si="19"/>
        <v>-267607</v>
      </c>
      <c r="HZ38" s="128">
        <f t="shared" si="119"/>
        <v>0</v>
      </c>
      <c r="IA38" s="160" t="s">
        <v>503</v>
      </c>
      <c r="IB38" s="99">
        <v>520481</v>
      </c>
      <c r="IC38" s="187" t="s">
        <v>503</v>
      </c>
      <c r="ID38" s="128">
        <f t="shared" si="20"/>
        <v>520481</v>
      </c>
      <c r="IE38" s="164">
        <f t="shared" si="21"/>
        <v>-242295</v>
      </c>
      <c r="IF38" s="185">
        <v>524492</v>
      </c>
      <c r="IG38" s="40">
        <f t="shared" si="120"/>
        <v>4011</v>
      </c>
      <c r="IH38" s="122"/>
    </row>
    <row r="39" spans="1:242" ht="36" x14ac:dyDescent="0.2">
      <c r="A39" s="17" t="s">
        <v>8</v>
      </c>
      <c r="B39" s="18"/>
      <c r="C39" s="52" t="s">
        <v>154</v>
      </c>
      <c r="D39" s="20">
        <v>27749039</v>
      </c>
      <c r="E39" s="21">
        <v>29310695</v>
      </c>
      <c r="F39" s="21">
        <v>28124478</v>
      </c>
      <c r="G39" s="21">
        <v>25290411</v>
      </c>
      <c r="H39" s="22"/>
      <c r="I39" s="21">
        <f t="shared" si="0"/>
        <v>25290411</v>
      </c>
      <c r="J39" s="22">
        <v>-22557</v>
      </c>
      <c r="K39" s="22"/>
      <c r="L39" s="22">
        <f t="shared" si="1"/>
        <v>-22557</v>
      </c>
      <c r="M39" s="23">
        <f t="shared" si="22"/>
        <v>25267854</v>
      </c>
      <c r="N39" s="23">
        <v>25267854</v>
      </c>
      <c r="O39" s="23">
        <v>25162278</v>
      </c>
      <c r="P39" s="23">
        <v>25162278</v>
      </c>
      <c r="Q39" s="23">
        <v>24862278</v>
      </c>
      <c r="R39" s="23">
        <v>25162278</v>
      </c>
      <c r="S39" s="23">
        <v>3.1789999999999999E-2</v>
      </c>
      <c r="T39" s="23">
        <f t="shared" si="121"/>
        <v>-799908.81761999999</v>
      </c>
      <c r="U39" s="23">
        <f t="shared" si="122"/>
        <v>24362369.182379998</v>
      </c>
      <c r="V39" s="23">
        <f t="shared" si="2"/>
        <v>-905484.81762000173</v>
      </c>
      <c r="W39" s="24">
        <v>24362278</v>
      </c>
      <c r="X39" s="24"/>
      <c r="Y39" s="24">
        <f t="shared" si="23"/>
        <v>24362278</v>
      </c>
      <c r="Z39" s="25">
        <v>24362278</v>
      </c>
      <c r="AA39" s="25">
        <f t="shared" si="24"/>
        <v>0</v>
      </c>
      <c r="AB39" s="25">
        <v>24362278</v>
      </c>
      <c r="AC39" s="25">
        <v>24362278</v>
      </c>
      <c r="AD39" s="26">
        <v>24362278</v>
      </c>
      <c r="AE39" s="25"/>
      <c r="AF39" s="25"/>
      <c r="AG39" s="25"/>
      <c r="AH39" s="26">
        <v>24362278</v>
      </c>
      <c r="AI39" s="26">
        <v>24362278</v>
      </c>
      <c r="AJ39" s="25">
        <f t="shared" si="141"/>
        <v>0</v>
      </c>
      <c r="AK39" s="25">
        <f t="shared" si="25"/>
        <v>0</v>
      </c>
      <c r="AL39" s="25">
        <f t="shared" si="26"/>
        <v>0</v>
      </c>
      <c r="AM39" s="26">
        <f t="shared" si="27"/>
        <v>0</v>
      </c>
      <c r="AN39" s="26">
        <f t="shared" si="28"/>
        <v>0</v>
      </c>
      <c r="AO39" s="26">
        <f t="shared" si="4"/>
        <v>0</v>
      </c>
      <c r="AP39" s="25">
        <v>24362278</v>
      </c>
      <c r="AQ39" s="25">
        <f t="shared" si="5"/>
        <v>0</v>
      </c>
      <c r="AR39" s="25">
        <f t="shared" si="29"/>
        <v>0</v>
      </c>
      <c r="AS39" s="25">
        <f t="shared" si="30"/>
        <v>0</v>
      </c>
      <c r="AT39" s="25"/>
      <c r="AU39" s="25">
        <f t="shared" si="31"/>
        <v>24362278</v>
      </c>
      <c r="AV39" s="25">
        <v>24403482</v>
      </c>
      <c r="AW39" s="25">
        <f t="shared" si="32"/>
        <v>41204</v>
      </c>
      <c r="AX39" s="25">
        <v>24371335</v>
      </c>
      <c r="AY39" s="26">
        <f t="shared" si="123"/>
        <v>9057</v>
      </c>
      <c r="AZ39" s="26">
        <f t="shared" si="124"/>
        <v>-32147</v>
      </c>
      <c r="BA39" s="25">
        <v>24371335</v>
      </c>
      <c r="BB39" s="25">
        <f t="shared" si="33"/>
        <v>9057</v>
      </c>
      <c r="BC39" s="25">
        <f t="shared" si="34"/>
        <v>-32147</v>
      </c>
      <c r="BD39" s="25">
        <f t="shared" si="35"/>
        <v>0</v>
      </c>
      <c r="BE39" s="25">
        <v>23903482</v>
      </c>
      <c r="BF39" s="25">
        <v>24385395</v>
      </c>
      <c r="BG39" s="25">
        <v>24385395</v>
      </c>
      <c r="BH39" s="25">
        <f t="shared" si="36"/>
        <v>23117</v>
      </c>
      <c r="BI39" s="25">
        <f t="shared" si="37"/>
        <v>-18087</v>
      </c>
      <c r="BJ39" s="25">
        <f t="shared" si="38"/>
        <v>14060</v>
      </c>
      <c r="BK39" s="8">
        <f t="shared" si="39"/>
        <v>481913</v>
      </c>
      <c r="BL39" s="25">
        <f>25000+104847</f>
        <v>129847</v>
      </c>
      <c r="BM39" s="29">
        <f t="shared" si="40"/>
        <v>24255548</v>
      </c>
      <c r="BN39" s="38">
        <v>24276033</v>
      </c>
      <c r="BO39" s="27">
        <f t="shared" si="41"/>
        <v>20485</v>
      </c>
      <c r="BP39" s="38">
        <v>23974543</v>
      </c>
      <c r="BQ39" s="41">
        <f t="shared" si="42"/>
        <v>-281005</v>
      </c>
      <c r="BR39" s="41">
        <f t="shared" si="43"/>
        <v>-301490</v>
      </c>
      <c r="BS39" s="38">
        <f t="shared" si="149"/>
        <v>23974543</v>
      </c>
      <c r="BT39" s="42">
        <f t="shared" si="44"/>
        <v>-281005</v>
      </c>
      <c r="BU39" s="42">
        <f t="shared" si="45"/>
        <v>-301490</v>
      </c>
      <c r="BV39" s="42">
        <f t="shared" si="46"/>
        <v>0</v>
      </c>
      <c r="BW39" s="38">
        <v>24248033</v>
      </c>
      <c r="BX39" s="41">
        <f t="shared" si="47"/>
        <v>-7515</v>
      </c>
      <c r="BY39" s="41">
        <f t="shared" si="48"/>
        <v>-28000</v>
      </c>
      <c r="BZ39" s="41">
        <f t="shared" si="49"/>
        <v>273490</v>
      </c>
      <c r="CA39" s="38">
        <v>24248033</v>
      </c>
      <c r="CB39" s="8">
        <f t="shared" si="50"/>
        <v>-7515</v>
      </c>
      <c r="CC39" s="8">
        <f t="shared" si="51"/>
        <v>-28000</v>
      </c>
      <c r="CD39" s="8">
        <f t="shared" si="6"/>
        <v>273490</v>
      </c>
      <c r="CE39" s="8">
        <f t="shared" si="52"/>
        <v>0</v>
      </c>
      <c r="CF39" s="38">
        <v>23974543</v>
      </c>
      <c r="CG39" s="8">
        <f t="shared" si="53"/>
        <v>-281005</v>
      </c>
      <c r="CH39" s="8">
        <f t="shared" si="54"/>
        <v>-301490</v>
      </c>
      <c r="CI39" s="8">
        <f t="shared" si="55"/>
        <v>0</v>
      </c>
      <c r="CJ39" s="8">
        <f t="shared" si="56"/>
        <v>-273490</v>
      </c>
      <c r="CK39" s="38">
        <v>23974543</v>
      </c>
      <c r="CL39" s="8">
        <f t="shared" si="7"/>
        <v>-281005</v>
      </c>
      <c r="CM39" s="8">
        <f t="shared" si="57"/>
        <v>-301490</v>
      </c>
      <c r="CN39" s="8">
        <f t="shared" si="58"/>
        <v>0</v>
      </c>
      <c r="CO39" s="38">
        <v>29026034</v>
      </c>
      <c r="CP39" s="38">
        <f t="shared" si="59"/>
        <v>4750001</v>
      </c>
      <c r="CQ39" s="8">
        <f t="shared" si="60"/>
        <v>5051491</v>
      </c>
      <c r="CR39" s="38">
        <v>28906725</v>
      </c>
      <c r="CS39" s="27"/>
      <c r="CT39" s="38">
        <f t="shared" si="61"/>
        <v>28906725</v>
      </c>
      <c r="CU39" s="8">
        <f t="shared" si="62"/>
        <v>4932182</v>
      </c>
      <c r="CV39" s="38">
        <f t="shared" si="63"/>
        <v>-119309</v>
      </c>
      <c r="CW39" s="38">
        <f t="shared" si="64"/>
        <v>0</v>
      </c>
      <c r="CX39" s="38">
        <v>28980158</v>
      </c>
      <c r="CY39" s="8">
        <f t="shared" si="65"/>
        <v>5005615</v>
      </c>
      <c r="CZ39" s="38">
        <f t="shared" si="66"/>
        <v>-45876</v>
      </c>
      <c r="DA39" s="38">
        <f t="shared" si="67"/>
        <v>73433</v>
      </c>
      <c r="DB39" s="38">
        <v>28980158</v>
      </c>
      <c r="DC39" s="8">
        <f t="shared" si="68"/>
        <v>5005615</v>
      </c>
      <c r="DD39" s="38">
        <f t="shared" si="69"/>
        <v>-45876</v>
      </c>
      <c r="DE39" s="38">
        <f t="shared" si="70"/>
        <v>73433</v>
      </c>
      <c r="DF39" s="38">
        <f t="shared" si="71"/>
        <v>0</v>
      </c>
      <c r="DG39" s="38">
        <v>28906725</v>
      </c>
      <c r="DH39" s="40">
        <f t="shared" si="72"/>
        <v>4932182</v>
      </c>
      <c r="DI39" s="38">
        <f t="shared" si="73"/>
        <v>-119309</v>
      </c>
      <c r="DJ39" s="38">
        <f t="shared" si="74"/>
        <v>0</v>
      </c>
      <c r="DK39" s="38">
        <f t="shared" si="75"/>
        <v>-73433</v>
      </c>
      <c r="DL39" s="38"/>
      <c r="DM39" s="38">
        <f t="shared" si="76"/>
        <v>28906725</v>
      </c>
      <c r="DN39" s="38">
        <v>28906725</v>
      </c>
      <c r="DO39" s="38">
        <f t="shared" si="77"/>
        <v>4932182</v>
      </c>
      <c r="DP39" s="38"/>
      <c r="DQ39" s="38">
        <v>0</v>
      </c>
      <c r="DR39" s="38">
        <f t="shared" si="78"/>
        <v>28906725</v>
      </c>
      <c r="DS39" s="38">
        <f t="shared" si="79"/>
        <v>4932182</v>
      </c>
      <c r="DT39" s="38"/>
      <c r="DU39" s="38">
        <f t="shared" si="80"/>
        <v>28906725</v>
      </c>
      <c r="DV39" s="38">
        <f t="shared" si="81"/>
        <v>4932182</v>
      </c>
      <c r="DW39" s="38">
        <v>28906725</v>
      </c>
      <c r="DX39" s="38">
        <v>28906725</v>
      </c>
      <c r="DY39" s="8">
        <f t="shared" si="127"/>
        <v>0</v>
      </c>
      <c r="DZ39" s="40">
        <v>23920227</v>
      </c>
      <c r="EA39" s="8">
        <f t="shared" si="128"/>
        <v>-4986498</v>
      </c>
      <c r="EB39" s="8">
        <f t="shared" si="129"/>
        <v>-4986498</v>
      </c>
      <c r="EC39" s="60"/>
      <c r="ED39" s="37">
        <v>23920227</v>
      </c>
      <c r="EE39" s="25">
        <f t="shared" si="130"/>
        <v>-4986498</v>
      </c>
      <c r="EF39" s="25">
        <f t="shared" si="131"/>
        <v>-4986498</v>
      </c>
      <c r="EG39" s="25">
        <f t="shared" si="82"/>
        <v>0</v>
      </c>
      <c r="EH39" s="37">
        <v>28473125</v>
      </c>
      <c r="EI39" s="25">
        <f t="shared" si="132"/>
        <v>-433600</v>
      </c>
      <c r="EJ39" s="25">
        <f t="shared" si="133"/>
        <v>-433600</v>
      </c>
      <c r="EK39" s="25">
        <f t="shared" si="83"/>
        <v>4552898</v>
      </c>
      <c r="EL39" s="37">
        <v>28473125</v>
      </c>
      <c r="EM39" s="25">
        <f t="shared" si="134"/>
        <v>-433600</v>
      </c>
      <c r="EN39" s="25">
        <f t="shared" si="135"/>
        <v>-433600</v>
      </c>
      <c r="EO39" s="25">
        <f t="shared" si="125"/>
        <v>4552898</v>
      </c>
      <c r="EP39" s="25">
        <f t="shared" si="84"/>
        <v>0</v>
      </c>
      <c r="EQ39" s="37">
        <v>23920227</v>
      </c>
      <c r="ER39" s="25">
        <f t="shared" si="136"/>
        <v>-4986498</v>
      </c>
      <c r="ES39" s="25">
        <f t="shared" si="137"/>
        <v>-4986498</v>
      </c>
      <c r="ET39" s="25">
        <f t="shared" si="85"/>
        <v>0</v>
      </c>
      <c r="EU39" s="25">
        <f t="shared" si="86"/>
        <v>-4552898</v>
      </c>
      <c r="EV39" s="37">
        <v>23920227</v>
      </c>
      <c r="EW39" s="25">
        <f t="shared" si="138"/>
        <v>-4986498</v>
      </c>
      <c r="EX39" s="25">
        <f t="shared" si="87"/>
        <v>0</v>
      </c>
      <c r="EY39" s="25">
        <f t="shared" si="8"/>
        <v>0</v>
      </c>
      <c r="EZ39" s="37">
        <v>23920227</v>
      </c>
      <c r="FA39" s="25">
        <f t="shared" si="139"/>
        <v>-4986498</v>
      </c>
      <c r="FB39" s="25">
        <v>1800000</v>
      </c>
      <c r="FC39" s="25">
        <f t="shared" si="88"/>
        <v>25720227</v>
      </c>
      <c r="FD39" s="25"/>
      <c r="FE39" s="25"/>
      <c r="FF39" s="25">
        <f>FC39+FE39+FD39</f>
        <v>25720227</v>
      </c>
      <c r="FG39" s="37">
        <v>29500000</v>
      </c>
      <c r="FH39" s="25">
        <f t="shared" si="90"/>
        <v>3779773</v>
      </c>
      <c r="FI39" s="25"/>
      <c r="FJ39" s="37">
        <v>25720227</v>
      </c>
      <c r="FK39" s="37">
        <f t="shared" si="91"/>
        <v>0</v>
      </c>
      <c r="FL39" s="37">
        <f t="shared" si="92"/>
        <v>-3779773</v>
      </c>
      <c r="FM39" s="37">
        <v>25720227</v>
      </c>
      <c r="FN39" s="37">
        <f t="shared" si="93"/>
        <v>0</v>
      </c>
      <c r="FO39" s="37">
        <f t="shared" si="94"/>
        <v>-3779773</v>
      </c>
      <c r="FP39" s="37">
        <f t="shared" si="95"/>
        <v>0</v>
      </c>
      <c r="FQ39" s="37"/>
      <c r="FR39" s="37">
        <v>25720227</v>
      </c>
      <c r="FS39" s="37">
        <f t="shared" si="96"/>
        <v>0</v>
      </c>
      <c r="FT39" s="37">
        <f t="shared" si="97"/>
        <v>-3779773</v>
      </c>
      <c r="FU39" s="37">
        <f t="shared" si="98"/>
        <v>0</v>
      </c>
      <c r="FV39" s="100"/>
      <c r="FW39" s="37">
        <v>25720227</v>
      </c>
      <c r="FX39" s="37">
        <f t="shared" si="99"/>
        <v>0</v>
      </c>
      <c r="FY39" s="37">
        <f t="shared" si="100"/>
        <v>-3779773</v>
      </c>
      <c r="FZ39" s="37">
        <f t="shared" si="101"/>
        <v>0</v>
      </c>
      <c r="GA39" s="37">
        <f t="shared" si="102"/>
        <v>0</v>
      </c>
      <c r="GB39" s="107"/>
      <c r="GC39" s="37">
        <v>25720227</v>
      </c>
      <c r="GD39" s="26"/>
      <c r="GE39" s="37">
        <f t="shared" si="103"/>
        <v>25720227</v>
      </c>
      <c r="GF39" s="38"/>
      <c r="GG39" s="37">
        <f>+GE39+GF39</f>
        <v>25720227</v>
      </c>
      <c r="GH39" s="26">
        <f t="shared" si="9"/>
        <v>0</v>
      </c>
      <c r="GI39" s="37">
        <f t="shared" si="10"/>
        <v>-3779773</v>
      </c>
      <c r="GJ39" s="37">
        <f t="shared" si="11"/>
        <v>0</v>
      </c>
      <c r="GK39" s="37">
        <f t="shared" si="12"/>
        <v>0</v>
      </c>
      <c r="GL39" s="37">
        <f t="shared" si="13"/>
        <v>0</v>
      </c>
      <c r="GM39" s="107"/>
      <c r="GN39" s="101">
        <v>8751555</v>
      </c>
      <c r="GO39" s="113">
        <f t="shared" si="105"/>
        <v>34471782</v>
      </c>
      <c r="GP39" s="113"/>
      <c r="GQ39" s="113">
        <f t="shared" si="106"/>
        <v>34471782</v>
      </c>
      <c r="GR39" s="113"/>
      <c r="GS39" s="128">
        <v>34471782</v>
      </c>
      <c r="GT39" s="128">
        <v>31094275</v>
      </c>
      <c r="GU39" s="123">
        <f t="shared" si="150"/>
        <v>-3377507</v>
      </c>
      <c r="GV39" s="115" t="s">
        <v>383</v>
      </c>
      <c r="GW39" s="99">
        <v>31094275</v>
      </c>
      <c r="GX39" s="128">
        <f t="shared" si="108"/>
        <v>-3377507</v>
      </c>
      <c r="GY39" s="128">
        <f t="shared" si="109"/>
        <v>0</v>
      </c>
      <c r="GZ39" s="115" t="s">
        <v>383</v>
      </c>
      <c r="HA39" s="99">
        <v>31094275</v>
      </c>
      <c r="HB39" s="128">
        <f t="shared" si="110"/>
        <v>-3377507</v>
      </c>
      <c r="HC39" s="128">
        <f t="shared" si="111"/>
        <v>0</v>
      </c>
      <c r="HD39" s="128">
        <f t="shared" si="112"/>
        <v>0</v>
      </c>
      <c r="HE39" s="115" t="s">
        <v>383</v>
      </c>
      <c r="HF39" s="99">
        <v>27094275</v>
      </c>
      <c r="HG39" s="128">
        <f t="shared" si="126"/>
        <v>-7377507</v>
      </c>
      <c r="HH39" s="128">
        <f t="shared" si="113"/>
        <v>-4000000</v>
      </c>
      <c r="HI39" s="127">
        <f t="shared" si="114"/>
        <v>-4000000</v>
      </c>
      <c r="HJ39" s="115"/>
      <c r="HK39" s="99">
        <v>27094275</v>
      </c>
      <c r="HL39" s="128">
        <f t="shared" si="115"/>
        <v>-7377507</v>
      </c>
      <c r="HM39" s="128">
        <f t="shared" si="116"/>
        <v>-4000000</v>
      </c>
      <c r="HN39" s="128">
        <f t="shared" si="117"/>
        <v>-4000000</v>
      </c>
      <c r="HO39" s="128">
        <f t="shared" si="118"/>
        <v>0</v>
      </c>
      <c r="HP39" s="115"/>
      <c r="HQ39" s="99">
        <v>26994275</v>
      </c>
      <c r="HR39" s="128">
        <f t="shared" si="145"/>
        <v>-7477507</v>
      </c>
      <c r="HS39" s="128">
        <f t="shared" si="15"/>
        <v>-4100000</v>
      </c>
      <c r="HT39" s="128">
        <f t="shared" si="16"/>
        <v>-4100000</v>
      </c>
      <c r="HU39" s="128">
        <f t="shared" si="17"/>
        <v>-100000</v>
      </c>
      <c r="HV39" s="160" t="s">
        <v>509</v>
      </c>
      <c r="HW39" s="99">
        <v>26994275</v>
      </c>
      <c r="HX39" s="128">
        <f t="shared" si="18"/>
        <v>-7477507</v>
      </c>
      <c r="HY39" s="128">
        <f t="shared" si="19"/>
        <v>-4100000</v>
      </c>
      <c r="HZ39" s="128">
        <f t="shared" si="119"/>
        <v>0</v>
      </c>
      <c r="IA39" s="160" t="s">
        <v>509</v>
      </c>
      <c r="IB39" s="99">
        <v>26994275</v>
      </c>
      <c r="IC39" s="122" t="s">
        <v>509</v>
      </c>
      <c r="ID39" s="128">
        <f>IB39+4100000</f>
        <v>31094275</v>
      </c>
      <c r="IE39" s="164">
        <f t="shared" si="21"/>
        <v>-3377507</v>
      </c>
      <c r="IF39" s="185">
        <v>32134648</v>
      </c>
      <c r="IG39" s="40">
        <f t="shared" si="120"/>
        <v>1040373</v>
      </c>
      <c r="IH39" s="115" t="s">
        <v>545</v>
      </c>
    </row>
    <row r="40" spans="1:242" ht="12.75" x14ac:dyDescent="0.2">
      <c r="A40" s="39" t="s">
        <v>325</v>
      </c>
      <c r="B40" s="18"/>
      <c r="C40" s="52" t="s">
        <v>326</v>
      </c>
      <c r="D40" s="20"/>
      <c r="E40" s="21"/>
      <c r="F40" s="21"/>
      <c r="G40" s="21"/>
      <c r="H40" s="22"/>
      <c r="I40" s="21"/>
      <c r="J40" s="22"/>
      <c r="K40" s="22"/>
      <c r="L40" s="22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94"/>
      <c r="X40" s="94"/>
      <c r="Y40" s="94"/>
      <c r="Z40" s="29"/>
      <c r="AA40" s="29"/>
      <c r="AB40" s="29"/>
      <c r="AC40" s="29"/>
      <c r="AD40" s="27"/>
      <c r="AE40" s="29"/>
      <c r="AF40" s="29"/>
      <c r="AG40" s="29"/>
      <c r="AH40" s="27"/>
      <c r="AI40" s="27"/>
      <c r="AJ40" s="29"/>
      <c r="AK40" s="29"/>
      <c r="AL40" s="29"/>
      <c r="AM40" s="27"/>
      <c r="AN40" s="27"/>
      <c r="AO40" s="27"/>
      <c r="AP40" s="29"/>
      <c r="AQ40" s="29"/>
      <c r="AR40" s="29"/>
      <c r="AS40" s="29"/>
      <c r="AT40" s="29"/>
      <c r="AU40" s="29"/>
      <c r="AV40" s="29"/>
      <c r="AW40" s="29"/>
      <c r="AX40" s="29"/>
      <c r="AY40" s="27"/>
      <c r="AZ40" s="27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41"/>
      <c r="BL40" s="29"/>
      <c r="BM40" s="29"/>
      <c r="BN40" s="38"/>
      <c r="BO40" s="27"/>
      <c r="BP40" s="38"/>
      <c r="BQ40" s="41"/>
      <c r="BR40" s="41"/>
      <c r="BS40" s="38"/>
      <c r="BT40" s="42"/>
      <c r="BU40" s="42"/>
      <c r="BV40" s="42"/>
      <c r="BW40" s="38"/>
      <c r="BX40" s="41"/>
      <c r="BY40" s="41"/>
      <c r="BZ40" s="41"/>
      <c r="CA40" s="38"/>
      <c r="CB40" s="41"/>
      <c r="CC40" s="41"/>
      <c r="CD40" s="41"/>
      <c r="CE40" s="41"/>
      <c r="CF40" s="38"/>
      <c r="CG40" s="41"/>
      <c r="CH40" s="41"/>
      <c r="CI40" s="41"/>
      <c r="CJ40" s="41"/>
      <c r="CK40" s="38"/>
      <c r="CL40" s="41"/>
      <c r="CM40" s="41"/>
      <c r="CN40" s="41"/>
      <c r="CO40" s="38"/>
      <c r="CP40" s="38"/>
      <c r="CQ40" s="41"/>
      <c r="CR40" s="38"/>
      <c r="CS40" s="27"/>
      <c r="CT40" s="38"/>
      <c r="CU40" s="41"/>
      <c r="CV40" s="38"/>
      <c r="CW40" s="38"/>
      <c r="CX40" s="38"/>
      <c r="CY40" s="41"/>
      <c r="CZ40" s="38"/>
      <c r="DA40" s="38"/>
      <c r="DB40" s="38"/>
      <c r="DC40" s="41"/>
      <c r="DD40" s="38"/>
      <c r="DE40" s="38"/>
      <c r="DF40" s="38"/>
      <c r="DG40" s="38"/>
      <c r="DH40" s="42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41"/>
      <c r="DZ40" s="42"/>
      <c r="EA40" s="41"/>
      <c r="EB40" s="41"/>
      <c r="EC40" s="67"/>
      <c r="ED40" s="38"/>
      <c r="EE40" s="29"/>
      <c r="EF40" s="29"/>
      <c r="EG40" s="29"/>
      <c r="EH40" s="38"/>
      <c r="EI40" s="29"/>
      <c r="EJ40" s="29"/>
      <c r="EK40" s="29"/>
      <c r="EL40" s="38"/>
      <c r="EM40" s="29"/>
      <c r="EN40" s="29"/>
      <c r="EO40" s="29"/>
      <c r="EP40" s="29"/>
      <c r="EQ40" s="38"/>
      <c r="ER40" s="29"/>
      <c r="ES40" s="29"/>
      <c r="ET40" s="29"/>
      <c r="EU40" s="29"/>
      <c r="EV40" s="38"/>
      <c r="EW40" s="29"/>
      <c r="EX40" s="29"/>
      <c r="EY40" s="29"/>
      <c r="EZ40" s="38"/>
      <c r="FA40" s="29"/>
      <c r="FB40" s="29"/>
      <c r="FC40" s="29"/>
      <c r="FD40" s="29"/>
      <c r="FE40" s="29"/>
      <c r="FF40" s="29">
        <v>0</v>
      </c>
      <c r="FG40" s="38">
        <v>0</v>
      </c>
      <c r="FH40" s="29"/>
      <c r="FI40" s="29"/>
      <c r="FJ40" s="38"/>
      <c r="FK40" s="38"/>
      <c r="FL40" s="38"/>
      <c r="FM40" s="38">
        <v>0</v>
      </c>
      <c r="FN40" s="38"/>
      <c r="FO40" s="38">
        <f t="shared" si="94"/>
        <v>0</v>
      </c>
      <c r="FP40" s="38"/>
      <c r="FQ40" s="38"/>
      <c r="FR40" s="38">
        <v>350000</v>
      </c>
      <c r="FS40" s="38">
        <f t="shared" si="96"/>
        <v>350000</v>
      </c>
      <c r="FT40" s="38">
        <f t="shared" si="97"/>
        <v>350000</v>
      </c>
      <c r="FU40" s="38">
        <f t="shared" si="98"/>
        <v>350000</v>
      </c>
      <c r="FV40" s="106"/>
      <c r="FW40" s="38">
        <v>350000</v>
      </c>
      <c r="FX40" s="37">
        <f t="shared" si="99"/>
        <v>350000</v>
      </c>
      <c r="FY40" s="37">
        <f t="shared" si="100"/>
        <v>350000</v>
      </c>
      <c r="FZ40" s="37">
        <f t="shared" si="101"/>
        <v>350000</v>
      </c>
      <c r="GA40" s="37">
        <f t="shared" si="102"/>
        <v>0</v>
      </c>
      <c r="GB40" s="107"/>
      <c r="GC40" s="38">
        <v>350000</v>
      </c>
      <c r="GD40" s="27">
        <v>-350000</v>
      </c>
      <c r="GE40" s="37">
        <f t="shared" si="103"/>
        <v>0</v>
      </c>
      <c r="GF40" s="38">
        <v>350000</v>
      </c>
      <c r="GG40" s="37">
        <f t="shared" si="104"/>
        <v>350000</v>
      </c>
      <c r="GH40" s="26">
        <f t="shared" ref="GH40:GH59" si="151">+GG40-FF40</f>
        <v>350000</v>
      </c>
      <c r="GI40" s="37">
        <f t="shared" ref="GI40:GI59" si="152">+GG40-FG40</f>
        <v>350000</v>
      </c>
      <c r="GJ40" s="37">
        <f t="shared" ref="GJ40:GJ59" si="153">+GG40-FM40</f>
        <v>350000</v>
      </c>
      <c r="GK40" s="37">
        <f t="shared" ref="GK40:GK59" si="154">+GG40-FW40</f>
        <v>0</v>
      </c>
      <c r="GL40" s="37">
        <f t="shared" ref="GL40:GL59" si="155">+GG40-GC40</f>
        <v>0</v>
      </c>
      <c r="GM40" s="107"/>
      <c r="GN40" s="115"/>
      <c r="GO40" s="113">
        <f t="shared" si="105"/>
        <v>350000</v>
      </c>
      <c r="GP40" s="113"/>
      <c r="GQ40" s="113">
        <f t="shared" si="106"/>
        <v>350000</v>
      </c>
      <c r="GR40" s="113">
        <v>-350000</v>
      </c>
      <c r="GS40" s="128">
        <v>0</v>
      </c>
      <c r="GT40" s="128">
        <v>0</v>
      </c>
      <c r="GU40" s="123"/>
      <c r="GV40" s="115"/>
      <c r="GW40" s="99">
        <v>0</v>
      </c>
      <c r="GX40" s="128">
        <f t="shared" si="108"/>
        <v>0</v>
      </c>
      <c r="GY40" s="128">
        <f t="shared" si="109"/>
        <v>0</v>
      </c>
      <c r="GZ40" s="115"/>
      <c r="HA40" s="99">
        <v>0</v>
      </c>
      <c r="HB40" s="128">
        <f t="shared" si="110"/>
        <v>0</v>
      </c>
      <c r="HC40" s="128">
        <f t="shared" si="111"/>
        <v>0</v>
      </c>
      <c r="HD40" s="128">
        <f t="shared" si="112"/>
        <v>0</v>
      </c>
      <c r="HE40" s="115"/>
      <c r="HF40" s="99">
        <v>400000</v>
      </c>
      <c r="HG40" s="128">
        <f t="shared" si="126"/>
        <v>400000</v>
      </c>
      <c r="HH40" s="128">
        <f t="shared" si="113"/>
        <v>400000</v>
      </c>
      <c r="HI40" s="128">
        <f t="shared" si="114"/>
        <v>400000</v>
      </c>
      <c r="HJ40" s="115"/>
      <c r="HK40" s="99">
        <v>400000</v>
      </c>
      <c r="HL40" s="128">
        <f t="shared" si="115"/>
        <v>400000</v>
      </c>
      <c r="HM40" s="128">
        <f t="shared" si="116"/>
        <v>400000</v>
      </c>
      <c r="HN40" s="128">
        <f t="shared" si="117"/>
        <v>400000</v>
      </c>
      <c r="HO40" s="128">
        <f t="shared" si="118"/>
        <v>0</v>
      </c>
      <c r="HP40" s="115"/>
      <c r="HQ40" s="99">
        <v>200000</v>
      </c>
      <c r="HR40" s="128">
        <f t="shared" si="145"/>
        <v>200000</v>
      </c>
      <c r="HS40" s="128">
        <f t="shared" ref="HS40:HS59" si="156">HQ40-GT40</f>
        <v>200000</v>
      </c>
      <c r="HT40" s="128">
        <f t="shared" ref="HT40:HT59" si="157">HQ40-HA40</f>
        <v>200000</v>
      </c>
      <c r="HU40" s="128">
        <f t="shared" ref="HU40:HU59" si="158">HQ40-HK40</f>
        <v>-200000</v>
      </c>
      <c r="HV40" s="115"/>
      <c r="HW40" s="99">
        <v>0</v>
      </c>
      <c r="HX40" s="128">
        <f t="shared" ref="HX40:HX59" si="159">HW40-GS40</f>
        <v>0</v>
      </c>
      <c r="HY40" s="128">
        <f t="shared" ref="HY40:HY59" si="160">HW40-GT40</f>
        <v>0</v>
      </c>
      <c r="HZ40" s="128">
        <f t="shared" si="119"/>
        <v>-200000</v>
      </c>
      <c r="IA40" s="115"/>
      <c r="IB40" s="99">
        <v>200000</v>
      </c>
      <c r="IC40" s="115"/>
      <c r="ID40" s="128">
        <f t="shared" ref="ID40:ID47" si="161">IB40</f>
        <v>200000</v>
      </c>
      <c r="IE40" s="164">
        <f t="shared" si="21"/>
        <v>200000</v>
      </c>
      <c r="IF40" s="185">
        <v>0</v>
      </c>
      <c r="IG40" s="40">
        <f t="shared" si="120"/>
        <v>-200000</v>
      </c>
      <c r="IH40" s="115" t="s">
        <v>544</v>
      </c>
    </row>
    <row r="41" spans="1:242" ht="12.75" hidden="1" x14ac:dyDescent="0.2">
      <c r="A41" s="17" t="s">
        <v>9</v>
      </c>
      <c r="B41" s="18"/>
      <c r="C41" s="52" t="s">
        <v>130</v>
      </c>
      <c r="D41" s="20">
        <v>13215863</v>
      </c>
      <c r="E41" s="21">
        <v>13391393</v>
      </c>
      <c r="F41" s="21">
        <v>12562938</v>
      </c>
      <c r="G41" s="21">
        <v>9294804</v>
      </c>
      <c r="H41" s="22"/>
      <c r="I41" s="21">
        <f t="shared" si="0"/>
        <v>9294804</v>
      </c>
      <c r="J41" s="22"/>
      <c r="K41" s="22"/>
      <c r="L41" s="22">
        <f t="shared" si="1"/>
        <v>0</v>
      </c>
      <c r="M41" s="23">
        <f t="shared" si="22"/>
        <v>9294804</v>
      </c>
      <c r="N41" s="23">
        <v>9294804</v>
      </c>
      <c r="O41" s="23">
        <v>9294804</v>
      </c>
      <c r="P41" s="23">
        <v>9294804</v>
      </c>
      <c r="Q41" s="23">
        <v>9294804</v>
      </c>
      <c r="R41" s="23">
        <v>9294804</v>
      </c>
      <c r="S41" s="23">
        <v>2.1520000000000001E-2</v>
      </c>
      <c r="T41" s="23">
        <f t="shared" si="121"/>
        <v>-200024.18208</v>
      </c>
      <c r="U41" s="23">
        <f t="shared" si="122"/>
        <v>9094779.8179199994</v>
      </c>
      <c r="V41" s="23">
        <f t="shared" si="2"/>
        <v>-200024.18208000064</v>
      </c>
      <c r="W41" s="24">
        <v>9094804</v>
      </c>
      <c r="X41" s="24"/>
      <c r="Y41" s="24">
        <f t="shared" si="23"/>
        <v>9094804</v>
      </c>
      <c r="Z41" s="25">
        <v>9655545</v>
      </c>
      <c r="AA41" s="25">
        <f t="shared" si="24"/>
        <v>560741</v>
      </c>
      <c r="AB41" s="25">
        <v>9094805</v>
      </c>
      <c r="AC41" s="25">
        <v>9575175</v>
      </c>
      <c r="AD41" s="26">
        <v>8344804</v>
      </c>
      <c r="AE41" s="25">
        <f t="shared" ref="AE41:AE57" si="162">AC41-AB41</f>
        <v>480370</v>
      </c>
      <c r="AF41" s="25">
        <f>AC41-W41+X41</f>
        <v>480371</v>
      </c>
      <c r="AG41" s="25">
        <f>AC41-Z41</f>
        <v>-80370</v>
      </c>
      <c r="AH41" s="26">
        <v>8344804</v>
      </c>
      <c r="AI41" s="26">
        <v>9575175</v>
      </c>
      <c r="AJ41" s="25">
        <f t="shared" si="141"/>
        <v>-750000</v>
      </c>
      <c r="AK41" s="25">
        <f t="shared" si="25"/>
        <v>-1310741</v>
      </c>
      <c r="AL41" s="25">
        <f t="shared" si="26"/>
        <v>-1230371</v>
      </c>
      <c r="AM41" s="26">
        <f t="shared" si="27"/>
        <v>-750000</v>
      </c>
      <c r="AN41" s="26">
        <f t="shared" si="28"/>
        <v>-1310741</v>
      </c>
      <c r="AO41" s="26">
        <f t="shared" si="4"/>
        <v>-1230371</v>
      </c>
      <c r="AP41" s="25">
        <v>9575175</v>
      </c>
      <c r="AQ41" s="25">
        <f t="shared" si="5"/>
        <v>480371</v>
      </c>
      <c r="AR41" s="25">
        <f t="shared" si="29"/>
        <v>-80370</v>
      </c>
      <c r="AS41" s="25">
        <f t="shared" si="30"/>
        <v>480371</v>
      </c>
      <c r="AT41" s="25"/>
      <c r="AU41" s="25">
        <f t="shared" si="31"/>
        <v>9575175</v>
      </c>
      <c r="AV41" s="25">
        <v>9575175</v>
      </c>
      <c r="AW41" s="25">
        <f t="shared" si="32"/>
        <v>0</v>
      </c>
      <c r="AX41" s="25">
        <v>9094804</v>
      </c>
      <c r="AY41" s="26">
        <f t="shared" si="123"/>
        <v>-480371</v>
      </c>
      <c r="AZ41" s="26">
        <f t="shared" si="124"/>
        <v>-480371</v>
      </c>
      <c r="BA41" s="25">
        <v>9575175</v>
      </c>
      <c r="BB41" s="25">
        <f t="shared" si="33"/>
        <v>0</v>
      </c>
      <c r="BC41" s="25">
        <f t="shared" si="34"/>
        <v>0</v>
      </c>
      <c r="BD41" s="25">
        <f t="shared" si="35"/>
        <v>480371</v>
      </c>
      <c r="BE41" s="25">
        <v>9094804</v>
      </c>
      <c r="BF41" s="25">
        <v>9575175</v>
      </c>
      <c r="BG41" s="25">
        <v>9575175</v>
      </c>
      <c r="BH41" s="25">
        <f t="shared" si="36"/>
        <v>0</v>
      </c>
      <c r="BI41" s="25">
        <f t="shared" si="37"/>
        <v>0</v>
      </c>
      <c r="BJ41" s="25">
        <f t="shared" si="38"/>
        <v>0</v>
      </c>
      <c r="BK41" s="8">
        <f t="shared" si="39"/>
        <v>480371</v>
      </c>
      <c r="BL41" s="25"/>
      <c r="BM41" s="29">
        <f t="shared" si="40"/>
        <v>9575175</v>
      </c>
      <c r="BN41" s="38">
        <v>9575175</v>
      </c>
      <c r="BO41" s="27">
        <f t="shared" si="41"/>
        <v>0</v>
      </c>
      <c r="BP41" s="38">
        <v>9094804</v>
      </c>
      <c r="BQ41" s="41">
        <f t="shared" si="42"/>
        <v>-480371</v>
      </c>
      <c r="BR41" s="41">
        <f t="shared" si="43"/>
        <v>-480371</v>
      </c>
      <c r="BS41" s="38">
        <f t="shared" si="149"/>
        <v>9094804</v>
      </c>
      <c r="BT41" s="42">
        <f t="shared" si="44"/>
        <v>-480371</v>
      </c>
      <c r="BU41" s="42">
        <f t="shared" si="45"/>
        <v>-480371</v>
      </c>
      <c r="BV41" s="42">
        <f t="shared" si="46"/>
        <v>0</v>
      </c>
      <c r="BW41" s="38">
        <v>9094804</v>
      </c>
      <c r="BX41" s="41">
        <f t="shared" si="47"/>
        <v>-480371</v>
      </c>
      <c r="BY41" s="41">
        <f t="shared" si="48"/>
        <v>-480371</v>
      </c>
      <c r="BZ41" s="41">
        <f t="shared" si="49"/>
        <v>0</v>
      </c>
      <c r="CA41" s="38">
        <v>9094804</v>
      </c>
      <c r="CB41" s="8">
        <f t="shared" si="50"/>
        <v>-480371</v>
      </c>
      <c r="CC41" s="8">
        <f t="shared" si="51"/>
        <v>-480371</v>
      </c>
      <c r="CD41" s="8">
        <f t="shared" si="6"/>
        <v>0</v>
      </c>
      <c r="CE41" s="8">
        <f t="shared" si="52"/>
        <v>0</v>
      </c>
      <c r="CF41" s="38">
        <v>9094804</v>
      </c>
      <c r="CG41" s="8">
        <f t="shared" si="53"/>
        <v>-480371</v>
      </c>
      <c r="CH41" s="8">
        <f t="shared" si="54"/>
        <v>-480371</v>
      </c>
      <c r="CI41" s="8">
        <f t="shared" si="55"/>
        <v>0</v>
      </c>
      <c r="CJ41" s="8">
        <f t="shared" si="56"/>
        <v>0</v>
      </c>
      <c r="CK41" s="38">
        <v>9094804</v>
      </c>
      <c r="CL41" s="8">
        <f t="shared" si="7"/>
        <v>-480371</v>
      </c>
      <c r="CM41" s="8">
        <f t="shared" si="57"/>
        <v>-480371</v>
      </c>
      <c r="CN41" s="8">
        <f t="shared" si="58"/>
        <v>0</v>
      </c>
      <c r="CO41" s="38">
        <f>8894804-3100000</f>
        <v>5794804</v>
      </c>
      <c r="CP41" s="38">
        <f t="shared" si="59"/>
        <v>-3780371</v>
      </c>
      <c r="CQ41" s="8">
        <f t="shared" si="60"/>
        <v>-3300000</v>
      </c>
      <c r="CR41" s="38">
        <v>5994804</v>
      </c>
      <c r="CS41" s="27"/>
      <c r="CT41" s="38">
        <f t="shared" si="61"/>
        <v>5994804</v>
      </c>
      <c r="CU41" s="8">
        <f t="shared" si="62"/>
        <v>-3100000</v>
      </c>
      <c r="CV41" s="38">
        <f t="shared" si="63"/>
        <v>200000</v>
      </c>
      <c r="CW41" s="38">
        <f t="shared" si="64"/>
        <v>0</v>
      </c>
      <c r="CX41" s="38">
        <v>5794804</v>
      </c>
      <c r="CY41" s="8">
        <f t="shared" si="65"/>
        <v>-3300000</v>
      </c>
      <c r="CZ41" s="38">
        <f t="shared" si="66"/>
        <v>0</v>
      </c>
      <c r="DA41" s="38">
        <f t="shared" si="67"/>
        <v>-200000</v>
      </c>
      <c r="DB41" s="38">
        <v>5794804</v>
      </c>
      <c r="DC41" s="8">
        <f t="shared" si="68"/>
        <v>-3300000</v>
      </c>
      <c r="DD41" s="38">
        <f t="shared" si="69"/>
        <v>0</v>
      </c>
      <c r="DE41" s="38">
        <f t="shared" si="70"/>
        <v>-200000</v>
      </c>
      <c r="DF41" s="38">
        <f t="shared" si="71"/>
        <v>0</v>
      </c>
      <c r="DG41" s="38">
        <v>5994804</v>
      </c>
      <c r="DH41" s="40">
        <f t="shared" si="72"/>
        <v>-3100000</v>
      </c>
      <c r="DI41" s="38">
        <f t="shared" si="73"/>
        <v>200000</v>
      </c>
      <c r="DJ41" s="38">
        <f t="shared" si="74"/>
        <v>0</v>
      </c>
      <c r="DK41" s="38">
        <f t="shared" si="75"/>
        <v>200000</v>
      </c>
      <c r="DL41" s="38"/>
      <c r="DM41" s="38">
        <f t="shared" si="76"/>
        <v>5994804</v>
      </c>
      <c r="DN41" s="38">
        <v>5994804</v>
      </c>
      <c r="DO41" s="38">
        <f t="shared" si="77"/>
        <v>-3100000</v>
      </c>
      <c r="DP41" s="38"/>
      <c r="DQ41" s="38">
        <v>-132000</v>
      </c>
      <c r="DR41" s="38">
        <f t="shared" si="78"/>
        <v>5862804</v>
      </c>
      <c r="DS41" s="38">
        <f t="shared" si="79"/>
        <v>-3232000</v>
      </c>
      <c r="DT41" s="38">
        <v>-1700000</v>
      </c>
      <c r="DU41" s="38">
        <f t="shared" si="80"/>
        <v>4162804</v>
      </c>
      <c r="DV41" s="38">
        <f t="shared" si="81"/>
        <v>-4932000</v>
      </c>
      <c r="DW41" s="38">
        <v>4162804</v>
      </c>
      <c r="DX41" s="38">
        <v>0</v>
      </c>
      <c r="DY41" s="8">
        <f t="shared" ref="DY41:DY52" si="163">DX41-DU41</f>
        <v>-4162804</v>
      </c>
      <c r="DZ41" s="40">
        <v>4094804</v>
      </c>
      <c r="EA41" s="8">
        <f t="shared" ref="EA41:EA52" si="164">DZ41-DU41</f>
        <v>-68000</v>
      </c>
      <c r="EB41" s="8">
        <f t="shared" ref="EB41:EB52" si="165">DZ41-DX41</f>
        <v>4094804</v>
      </c>
      <c r="EC41" s="58" t="s">
        <v>256</v>
      </c>
      <c r="ED41" s="37">
        <v>4094804</v>
      </c>
      <c r="EE41" s="25">
        <f t="shared" ref="EE41:EE52" si="166">ED41-DU41</f>
        <v>-68000</v>
      </c>
      <c r="EF41" s="25">
        <f t="shared" ref="EF41:EF52" si="167">ED41-DX41</f>
        <v>4094804</v>
      </c>
      <c r="EG41" s="25">
        <f t="shared" si="82"/>
        <v>0</v>
      </c>
      <c r="EH41" s="37">
        <v>4094804</v>
      </c>
      <c r="EI41" s="25">
        <f t="shared" ref="EI41:EI52" si="168">EH41-DU41</f>
        <v>-68000</v>
      </c>
      <c r="EJ41" s="25">
        <f t="shared" ref="EJ41:EJ52" si="169">EH41-DX41</f>
        <v>4094804</v>
      </c>
      <c r="EK41" s="25">
        <f t="shared" si="83"/>
        <v>0</v>
      </c>
      <c r="EL41" s="37">
        <v>4094804</v>
      </c>
      <c r="EM41" s="25">
        <f t="shared" ref="EM41:EM52" si="170">EL41-DU41</f>
        <v>-68000</v>
      </c>
      <c r="EN41" s="25">
        <f t="shared" ref="EN41:EN52" si="171">EL41-DX41</f>
        <v>4094804</v>
      </c>
      <c r="EO41" s="25">
        <f t="shared" si="125"/>
        <v>0</v>
      </c>
      <c r="EP41" s="25">
        <f t="shared" si="84"/>
        <v>0</v>
      </c>
      <c r="EQ41" s="37">
        <v>4294804</v>
      </c>
      <c r="ER41" s="25">
        <f t="shared" ref="ER41:ER52" si="172">EQ41-DW41</f>
        <v>132000</v>
      </c>
      <c r="ES41" s="25">
        <f t="shared" ref="ES41:ES52" si="173">EQ41-DX41</f>
        <v>4294804</v>
      </c>
      <c r="ET41" s="25">
        <f t="shared" si="85"/>
        <v>200000</v>
      </c>
      <c r="EU41" s="25">
        <f t="shared" si="86"/>
        <v>200000</v>
      </c>
      <c r="EV41" s="37">
        <v>4294804</v>
      </c>
      <c r="EW41" s="25">
        <f t="shared" ref="EW41:EW52" si="174">EV41-DW41</f>
        <v>132000</v>
      </c>
      <c r="EX41" s="25">
        <f t="shared" si="87"/>
        <v>0</v>
      </c>
      <c r="EY41" s="25">
        <f t="shared" si="8"/>
        <v>0</v>
      </c>
      <c r="EZ41" s="37">
        <v>4294804</v>
      </c>
      <c r="FA41" s="25">
        <f t="shared" ref="FA41:FA52" si="175">EZ41-DW41</f>
        <v>132000</v>
      </c>
      <c r="FB41" s="25"/>
      <c r="FC41" s="25">
        <f t="shared" si="88"/>
        <v>4294804</v>
      </c>
      <c r="FD41" s="25"/>
      <c r="FE41" s="25"/>
      <c r="FF41" s="25">
        <f t="shared" si="89"/>
        <v>4294804</v>
      </c>
      <c r="FG41" s="37">
        <v>0</v>
      </c>
      <c r="FH41" s="25">
        <f t="shared" si="90"/>
        <v>-4294804</v>
      </c>
      <c r="FI41" s="25"/>
      <c r="FJ41" s="37">
        <v>0</v>
      </c>
      <c r="FK41" s="37">
        <f t="shared" si="91"/>
        <v>-4294804</v>
      </c>
      <c r="FL41" s="37">
        <f t="shared" si="92"/>
        <v>0</v>
      </c>
      <c r="FM41" s="37">
        <v>0</v>
      </c>
      <c r="FN41" s="37">
        <f t="shared" si="93"/>
        <v>-4294804</v>
      </c>
      <c r="FO41" s="37">
        <f t="shared" si="94"/>
        <v>0</v>
      </c>
      <c r="FP41" s="37">
        <f t="shared" si="95"/>
        <v>0</v>
      </c>
      <c r="FQ41" s="37"/>
      <c r="FR41" s="37">
        <v>0</v>
      </c>
      <c r="FS41" s="37">
        <f t="shared" si="96"/>
        <v>-4294804</v>
      </c>
      <c r="FT41" s="37">
        <f t="shared" si="97"/>
        <v>0</v>
      </c>
      <c r="FU41" s="37">
        <f t="shared" si="98"/>
        <v>0</v>
      </c>
      <c r="FV41" s="100"/>
      <c r="FW41" s="37">
        <v>0</v>
      </c>
      <c r="FX41" s="37">
        <f t="shared" si="99"/>
        <v>-4294804</v>
      </c>
      <c r="FY41" s="37">
        <f t="shared" si="100"/>
        <v>0</v>
      </c>
      <c r="FZ41" s="37">
        <f t="shared" si="101"/>
        <v>0</v>
      </c>
      <c r="GA41" s="37">
        <f t="shared" si="102"/>
        <v>0</v>
      </c>
      <c r="GB41" s="107"/>
      <c r="GC41" s="37">
        <v>0</v>
      </c>
      <c r="GD41" s="26"/>
      <c r="GE41" s="37">
        <f t="shared" si="103"/>
        <v>0</v>
      </c>
      <c r="GF41" s="38"/>
      <c r="GG41" s="37">
        <f t="shared" si="104"/>
        <v>0</v>
      </c>
      <c r="GH41" s="26">
        <f t="shared" si="151"/>
        <v>-4294804</v>
      </c>
      <c r="GI41" s="37">
        <f t="shared" si="152"/>
        <v>0</v>
      </c>
      <c r="GJ41" s="37">
        <f t="shared" si="153"/>
        <v>0</v>
      </c>
      <c r="GK41" s="37">
        <f t="shared" si="154"/>
        <v>0</v>
      </c>
      <c r="GL41" s="37">
        <f t="shared" si="155"/>
        <v>0</v>
      </c>
      <c r="GM41" s="107"/>
      <c r="GN41" s="115"/>
      <c r="GO41" s="113">
        <f t="shared" si="105"/>
        <v>0</v>
      </c>
      <c r="GP41" s="113"/>
      <c r="GQ41" s="113">
        <f t="shared" si="106"/>
        <v>0</v>
      </c>
      <c r="GR41" s="113"/>
      <c r="GS41" s="128">
        <v>0</v>
      </c>
      <c r="GT41" s="128">
        <v>0</v>
      </c>
      <c r="GU41" s="123">
        <f t="shared" ref="GU41:GU44" si="176">GT41-GS41</f>
        <v>0</v>
      </c>
      <c r="GV41" s="115"/>
      <c r="GW41" s="99">
        <v>0</v>
      </c>
      <c r="GX41" s="128">
        <f t="shared" si="108"/>
        <v>0</v>
      </c>
      <c r="GY41" s="128">
        <f t="shared" si="109"/>
        <v>0</v>
      </c>
      <c r="GZ41" s="115"/>
      <c r="HA41" s="99">
        <v>0</v>
      </c>
      <c r="HB41" s="128">
        <f t="shared" si="110"/>
        <v>0</v>
      </c>
      <c r="HC41" s="128">
        <f t="shared" si="111"/>
        <v>0</v>
      </c>
      <c r="HD41" s="128">
        <f t="shared" si="112"/>
        <v>0</v>
      </c>
      <c r="HE41" s="115"/>
      <c r="HF41" s="99"/>
      <c r="HG41" s="128">
        <f t="shared" si="126"/>
        <v>0</v>
      </c>
      <c r="HH41" s="128">
        <f t="shared" si="113"/>
        <v>0</v>
      </c>
      <c r="HI41" s="128">
        <f t="shared" si="114"/>
        <v>0</v>
      </c>
      <c r="HJ41" s="115"/>
      <c r="HK41" s="99"/>
      <c r="HL41" s="128">
        <f t="shared" si="115"/>
        <v>0</v>
      </c>
      <c r="HM41" s="128">
        <f t="shared" si="116"/>
        <v>0</v>
      </c>
      <c r="HN41" s="128">
        <f t="shared" si="117"/>
        <v>0</v>
      </c>
      <c r="HO41" s="128">
        <f t="shared" si="118"/>
        <v>0</v>
      </c>
      <c r="HP41" s="115"/>
      <c r="HQ41" s="99"/>
      <c r="HR41" s="128">
        <f t="shared" si="145"/>
        <v>0</v>
      </c>
      <c r="HS41" s="128">
        <f t="shared" si="156"/>
        <v>0</v>
      </c>
      <c r="HT41" s="128">
        <f t="shared" si="157"/>
        <v>0</v>
      </c>
      <c r="HU41" s="128">
        <f t="shared" si="158"/>
        <v>0</v>
      </c>
      <c r="HV41" s="115"/>
      <c r="HW41" s="99"/>
      <c r="HX41" s="128">
        <f t="shared" si="159"/>
        <v>0</v>
      </c>
      <c r="HY41" s="128">
        <f t="shared" si="160"/>
        <v>0</v>
      </c>
      <c r="HZ41" s="128">
        <f t="shared" si="119"/>
        <v>0</v>
      </c>
      <c r="IA41" s="115"/>
      <c r="IB41" s="99"/>
      <c r="IC41" s="115"/>
      <c r="ID41" s="128">
        <f t="shared" si="161"/>
        <v>0</v>
      </c>
      <c r="IE41" s="164">
        <f t="shared" si="21"/>
        <v>0</v>
      </c>
      <c r="IF41" s="185">
        <v>0</v>
      </c>
      <c r="IG41" s="40">
        <f t="shared" si="120"/>
        <v>0</v>
      </c>
      <c r="IH41" s="115"/>
    </row>
    <row r="42" spans="1:242" ht="24" customHeight="1" x14ac:dyDescent="0.2">
      <c r="A42" s="39" t="s">
        <v>235</v>
      </c>
      <c r="B42" s="18"/>
      <c r="C42" s="51" t="s">
        <v>236</v>
      </c>
      <c r="D42" s="20"/>
      <c r="E42" s="21"/>
      <c r="F42" s="21"/>
      <c r="G42" s="21"/>
      <c r="H42" s="22"/>
      <c r="I42" s="21"/>
      <c r="J42" s="22"/>
      <c r="K42" s="22"/>
      <c r="L42" s="22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/>
      <c r="X42" s="24"/>
      <c r="Y42" s="24"/>
      <c r="Z42" s="25"/>
      <c r="AA42" s="25"/>
      <c r="AB42" s="25"/>
      <c r="AC42" s="25"/>
      <c r="AD42" s="26"/>
      <c r="AE42" s="25"/>
      <c r="AF42" s="25"/>
      <c r="AG42" s="25"/>
      <c r="AH42" s="26"/>
      <c r="AI42" s="26"/>
      <c r="AJ42" s="25"/>
      <c r="AK42" s="25"/>
      <c r="AL42" s="25"/>
      <c r="AM42" s="26"/>
      <c r="AN42" s="26"/>
      <c r="AO42" s="26"/>
      <c r="AP42" s="25"/>
      <c r="AQ42" s="25"/>
      <c r="AR42" s="25"/>
      <c r="AS42" s="25"/>
      <c r="AT42" s="25"/>
      <c r="AU42" s="25"/>
      <c r="AV42" s="25"/>
      <c r="AW42" s="25"/>
      <c r="AX42" s="25"/>
      <c r="AY42" s="26"/>
      <c r="AZ42" s="26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8"/>
      <c r="BL42" s="25"/>
      <c r="BM42" s="29"/>
      <c r="BN42" s="38"/>
      <c r="BO42" s="27"/>
      <c r="BP42" s="38"/>
      <c r="BQ42" s="41"/>
      <c r="BR42" s="41"/>
      <c r="BS42" s="38"/>
      <c r="BT42" s="42"/>
      <c r="BU42" s="42"/>
      <c r="BV42" s="42"/>
      <c r="BW42" s="38"/>
      <c r="BX42" s="41"/>
      <c r="BY42" s="41"/>
      <c r="BZ42" s="41"/>
      <c r="CA42" s="38"/>
      <c r="CB42" s="8"/>
      <c r="CC42" s="8"/>
      <c r="CD42" s="8"/>
      <c r="CE42" s="8"/>
      <c r="CF42" s="38"/>
      <c r="CG42" s="8"/>
      <c r="CH42" s="8"/>
      <c r="CI42" s="8"/>
      <c r="CJ42" s="8"/>
      <c r="CK42" s="38"/>
      <c r="CL42" s="8"/>
      <c r="CM42" s="8"/>
      <c r="CN42" s="8"/>
      <c r="CO42" s="38"/>
      <c r="CP42" s="38"/>
      <c r="CQ42" s="8"/>
      <c r="CR42" s="38"/>
      <c r="CS42" s="27"/>
      <c r="CT42" s="38"/>
      <c r="CU42" s="8"/>
      <c r="CV42" s="38"/>
      <c r="CW42" s="38"/>
      <c r="CX42" s="38"/>
      <c r="CY42" s="8"/>
      <c r="CZ42" s="38"/>
      <c r="DA42" s="38"/>
      <c r="DB42" s="38"/>
      <c r="DC42" s="8"/>
      <c r="DD42" s="38"/>
      <c r="DE42" s="38"/>
      <c r="DF42" s="38"/>
      <c r="DG42" s="38"/>
      <c r="DH42" s="40"/>
      <c r="DI42" s="38"/>
      <c r="DJ42" s="38"/>
      <c r="DK42" s="38"/>
      <c r="DL42" s="38"/>
      <c r="DM42" s="38"/>
      <c r="DN42" s="38">
        <v>1000000</v>
      </c>
      <c r="DO42" s="38"/>
      <c r="DP42" s="38"/>
      <c r="DQ42" s="38">
        <v>-500000</v>
      </c>
      <c r="DR42" s="38">
        <f t="shared" si="78"/>
        <v>500000</v>
      </c>
      <c r="DS42" s="38">
        <f t="shared" si="79"/>
        <v>500000</v>
      </c>
      <c r="DT42" s="38">
        <v>-139661</v>
      </c>
      <c r="DU42" s="38">
        <f t="shared" si="80"/>
        <v>360339</v>
      </c>
      <c r="DV42" s="38">
        <f t="shared" si="81"/>
        <v>360339</v>
      </c>
      <c r="DW42" s="38">
        <v>360339</v>
      </c>
      <c r="DX42" s="38">
        <v>0</v>
      </c>
      <c r="DY42" s="8">
        <f t="shared" si="163"/>
        <v>-360339</v>
      </c>
      <c r="DZ42" s="40">
        <v>0</v>
      </c>
      <c r="EA42" s="8">
        <f t="shared" si="164"/>
        <v>-360339</v>
      </c>
      <c r="EB42" s="8">
        <f t="shared" si="165"/>
        <v>0</v>
      </c>
      <c r="EC42" s="58" t="s">
        <v>256</v>
      </c>
      <c r="ED42" s="37">
        <v>500000</v>
      </c>
      <c r="EE42" s="25">
        <f t="shared" si="166"/>
        <v>139661</v>
      </c>
      <c r="EF42" s="25">
        <f t="shared" si="167"/>
        <v>500000</v>
      </c>
      <c r="EG42" s="25">
        <f t="shared" si="82"/>
        <v>500000</v>
      </c>
      <c r="EH42" s="37">
        <v>0</v>
      </c>
      <c r="EI42" s="25">
        <f t="shared" si="168"/>
        <v>-360339</v>
      </c>
      <c r="EJ42" s="25">
        <f t="shared" si="169"/>
        <v>0</v>
      </c>
      <c r="EK42" s="25">
        <f t="shared" si="83"/>
        <v>-500000</v>
      </c>
      <c r="EL42" s="37">
        <v>0</v>
      </c>
      <c r="EM42" s="25">
        <f t="shared" si="170"/>
        <v>-360339</v>
      </c>
      <c r="EN42" s="25">
        <f t="shared" si="171"/>
        <v>0</v>
      </c>
      <c r="EO42" s="25">
        <f t="shared" si="125"/>
        <v>-500000</v>
      </c>
      <c r="EP42" s="25">
        <f t="shared" si="84"/>
        <v>0</v>
      </c>
      <c r="EQ42" s="37">
        <v>500000</v>
      </c>
      <c r="ER42" s="25">
        <f t="shared" si="172"/>
        <v>139661</v>
      </c>
      <c r="ES42" s="25">
        <f t="shared" si="173"/>
        <v>500000</v>
      </c>
      <c r="ET42" s="25">
        <f t="shared" si="85"/>
        <v>0</v>
      </c>
      <c r="EU42" s="25">
        <f t="shared" si="86"/>
        <v>500000</v>
      </c>
      <c r="EV42" s="37">
        <v>500000</v>
      </c>
      <c r="EW42" s="25">
        <f t="shared" si="174"/>
        <v>139661</v>
      </c>
      <c r="EX42" s="25">
        <f t="shared" si="87"/>
        <v>0</v>
      </c>
      <c r="EY42" s="25">
        <f t="shared" ref="EY42:EY59" si="177">EZ42-EV42</f>
        <v>0</v>
      </c>
      <c r="EZ42" s="37">
        <v>500000</v>
      </c>
      <c r="FA42" s="25">
        <f t="shared" si="175"/>
        <v>139661</v>
      </c>
      <c r="FB42" s="25"/>
      <c r="FC42" s="25">
        <f t="shared" si="88"/>
        <v>500000</v>
      </c>
      <c r="FD42" s="25"/>
      <c r="FE42" s="25"/>
      <c r="FF42" s="25">
        <f t="shared" si="89"/>
        <v>500000</v>
      </c>
      <c r="FG42" s="37">
        <v>0</v>
      </c>
      <c r="FH42" s="25">
        <f t="shared" si="90"/>
        <v>-500000</v>
      </c>
      <c r="FI42" s="25"/>
      <c r="FJ42" s="37">
        <v>700000</v>
      </c>
      <c r="FK42" s="37">
        <f t="shared" si="91"/>
        <v>200000</v>
      </c>
      <c r="FL42" s="37">
        <f t="shared" si="92"/>
        <v>700000</v>
      </c>
      <c r="FM42" s="37">
        <v>700000</v>
      </c>
      <c r="FN42" s="37">
        <f t="shared" si="93"/>
        <v>200000</v>
      </c>
      <c r="FO42" s="37">
        <f t="shared" si="94"/>
        <v>700000</v>
      </c>
      <c r="FP42" s="37">
        <f t="shared" si="95"/>
        <v>0</v>
      </c>
      <c r="FQ42" s="37" t="s">
        <v>318</v>
      </c>
      <c r="FR42" s="37">
        <v>0</v>
      </c>
      <c r="FS42" s="37">
        <f t="shared" si="96"/>
        <v>-500000</v>
      </c>
      <c r="FT42" s="37">
        <f t="shared" si="97"/>
        <v>0</v>
      </c>
      <c r="FU42" s="37">
        <f t="shared" si="98"/>
        <v>-700000</v>
      </c>
      <c r="FV42" s="100"/>
      <c r="FW42" s="37">
        <v>0</v>
      </c>
      <c r="FX42" s="37">
        <f t="shared" si="99"/>
        <v>-500000</v>
      </c>
      <c r="FY42" s="37">
        <f t="shared" si="100"/>
        <v>0</v>
      </c>
      <c r="FZ42" s="37">
        <f t="shared" si="101"/>
        <v>-700000</v>
      </c>
      <c r="GA42" s="37">
        <f t="shared" si="102"/>
        <v>0</v>
      </c>
      <c r="GB42" s="107"/>
      <c r="GC42" s="37">
        <v>700000</v>
      </c>
      <c r="GD42" s="26">
        <v>-200000</v>
      </c>
      <c r="GE42" s="37">
        <f t="shared" si="103"/>
        <v>500000</v>
      </c>
      <c r="GF42" s="38">
        <v>200000</v>
      </c>
      <c r="GG42" s="37">
        <f t="shared" si="104"/>
        <v>700000</v>
      </c>
      <c r="GH42" s="26">
        <f t="shared" si="151"/>
        <v>200000</v>
      </c>
      <c r="GI42" s="37">
        <f t="shared" si="152"/>
        <v>700000</v>
      </c>
      <c r="GJ42" s="37">
        <f t="shared" si="153"/>
        <v>0</v>
      </c>
      <c r="GK42" s="37">
        <f t="shared" si="154"/>
        <v>700000</v>
      </c>
      <c r="GL42" s="37">
        <f t="shared" si="155"/>
        <v>0</v>
      </c>
      <c r="GM42" s="107" t="s">
        <v>356</v>
      </c>
      <c r="GN42" s="115"/>
      <c r="GO42" s="113">
        <f t="shared" si="105"/>
        <v>700000</v>
      </c>
      <c r="GP42" s="113"/>
      <c r="GQ42" s="113">
        <f t="shared" si="106"/>
        <v>700000</v>
      </c>
      <c r="GR42" s="113">
        <v>-466666</v>
      </c>
      <c r="GS42" s="128">
        <v>233334</v>
      </c>
      <c r="GT42" s="128">
        <v>0</v>
      </c>
      <c r="GU42" s="123">
        <f t="shared" si="176"/>
        <v>-233334</v>
      </c>
      <c r="GV42" s="115" t="s">
        <v>377</v>
      </c>
      <c r="GW42" s="99">
        <v>700000</v>
      </c>
      <c r="GX42" s="128">
        <f t="shared" si="108"/>
        <v>466666</v>
      </c>
      <c r="GY42" s="128">
        <f t="shared" si="109"/>
        <v>700000</v>
      </c>
      <c r="GZ42" s="133" t="s">
        <v>402</v>
      </c>
      <c r="HA42" s="99">
        <v>700000</v>
      </c>
      <c r="HB42" s="128">
        <f t="shared" si="110"/>
        <v>466666</v>
      </c>
      <c r="HC42" s="128">
        <f t="shared" si="111"/>
        <v>700000</v>
      </c>
      <c r="HD42" s="128">
        <f t="shared" si="112"/>
        <v>0</v>
      </c>
      <c r="HE42" s="133" t="s">
        <v>444</v>
      </c>
      <c r="HF42" s="99">
        <v>0</v>
      </c>
      <c r="HG42" s="128">
        <f t="shared" si="126"/>
        <v>-233334</v>
      </c>
      <c r="HH42" s="128">
        <f t="shared" si="113"/>
        <v>0</v>
      </c>
      <c r="HI42" s="128">
        <f t="shared" si="114"/>
        <v>-700000</v>
      </c>
      <c r="HJ42" s="133" t="s">
        <v>458</v>
      </c>
      <c r="HK42" s="99">
        <v>0</v>
      </c>
      <c r="HL42" s="128">
        <f t="shared" si="115"/>
        <v>-233334</v>
      </c>
      <c r="HM42" s="128">
        <f t="shared" si="116"/>
        <v>0</v>
      </c>
      <c r="HN42" s="128">
        <f t="shared" si="117"/>
        <v>-700000</v>
      </c>
      <c r="HO42" s="128">
        <f t="shared" si="118"/>
        <v>0</v>
      </c>
      <c r="HP42" s="133" t="s">
        <v>458</v>
      </c>
      <c r="HQ42" s="99">
        <v>700000</v>
      </c>
      <c r="HR42" s="128">
        <f t="shared" si="145"/>
        <v>466666</v>
      </c>
      <c r="HS42" s="128">
        <f t="shared" si="156"/>
        <v>700000</v>
      </c>
      <c r="HT42" s="128">
        <f t="shared" si="157"/>
        <v>0</v>
      </c>
      <c r="HU42" s="128">
        <f t="shared" si="158"/>
        <v>700000</v>
      </c>
      <c r="HV42" s="133" t="s">
        <v>444</v>
      </c>
      <c r="HW42" s="99">
        <v>233334</v>
      </c>
      <c r="HX42" s="128">
        <f t="shared" si="159"/>
        <v>0</v>
      </c>
      <c r="HY42" s="128">
        <f t="shared" si="160"/>
        <v>233334</v>
      </c>
      <c r="HZ42" s="128">
        <f t="shared" si="119"/>
        <v>-466666</v>
      </c>
      <c r="IA42" s="133" t="s">
        <v>444</v>
      </c>
      <c r="IB42" s="99">
        <v>700000</v>
      </c>
      <c r="IC42" s="167" t="s">
        <v>444</v>
      </c>
      <c r="ID42" s="128">
        <f t="shared" si="161"/>
        <v>700000</v>
      </c>
      <c r="IE42" s="164">
        <f t="shared" si="21"/>
        <v>466666</v>
      </c>
      <c r="IF42" s="185">
        <v>0</v>
      </c>
      <c r="IG42" s="40">
        <f t="shared" si="120"/>
        <v>-700000</v>
      </c>
      <c r="IH42" s="133" t="s">
        <v>544</v>
      </c>
    </row>
    <row r="43" spans="1:242" ht="48.75" customHeight="1" x14ac:dyDescent="0.2">
      <c r="A43" s="17" t="s">
        <v>30</v>
      </c>
      <c r="B43" s="18"/>
      <c r="C43" s="51" t="s">
        <v>301</v>
      </c>
      <c r="D43" s="20">
        <v>9100434</v>
      </c>
      <c r="E43" s="21">
        <v>9175041</v>
      </c>
      <c r="F43" s="21">
        <v>7723259</v>
      </c>
      <c r="G43" s="21">
        <v>6900841</v>
      </c>
      <c r="H43" s="22"/>
      <c r="I43" s="21">
        <f t="shared" si="0"/>
        <v>6900841</v>
      </c>
      <c r="J43" s="22">
        <v>-26365</v>
      </c>
      <c r="K43" s="22"/>
      <c r="L43" s="22">
        <f t="shared" si="1"/>
        <v>-26365</v>
      </c>
      <c r="M43" s="23">
        <f t="shared" si="22"/>
        <v>6874476</v>
      </c>
      <c r="N43" s="23">
        <v>6900841</v>
      </c>
      <c r="O43" s="23">
        <v>6740746</v>
      </c>
      <c r="P43" s="23">
        <v>6740746</v>
      </c>
      <c r="Q43" s="23">
        <v>6874476</v>
      </c>
      <c r="R43" s="23">
        <v>6874476</v>
      </c>
      <c r="S43" s="23">
        <v>1.9449999999999999E-2</v>
      </c>
      <c r="T43" s="23">
        <f t="shared" si="121"/>
        <v>-133708.5582</v>
      </c>
      <c r="U43" s="23">
        <f t="shared" si="122"/>
        <v>6740767.4418000001</v>
      </c>
      <c r="V43" s="23">
        <f t="shared" si="2"/>
        <v>-133708.55819999985</v>
      </c>
      <c r="W43" s="24">
        <v>6740746</v>
      </c>
      <c r="X43" s="24"/>
      <c r="Y43" s="24">
        <f t="shared" si="23"/>
        <v>6740746</v>
      </c>
      <c r="Z43" s="25">
        <v>7692193</v>
      </c>
      <c r="AA43" s="25">
        <f t="shared" si="24"/>
        <v>951447</v>
      </c>
      <c r="AB43" s="25">
        <v>6740746</v>
      </c>
      <c r="AC43" s="25">
        <v>7692193</v>
      </c>
      <c r="AD43" s="26">
        <v>6740746</v>
      </c>
      <c r="AE43" s="25">
        <f t="shared" si="162"/>
        <v>951447</v>
      </c>
      <c r="AF43" s="25">
        <f>AC43-W43+X43</f>
        <v>951447</v>
      </c>
      <c r="AG43" s="25"/>
      <c r="AH43" s="26">
        <v>6740746</v>
      </c>
      <c r="AI43" s="26">
        <v>6740746</v>
      </c>
      <c r="AJ43" s="25">
        <f t="shared" si="141"/>
        <v>0</v>
      </c>
      <c r="AK43" s="25">
        <f t="shared" si="25"/>
        <v>-951447</v>
      </c>
      <c r="AL43" s="25">
        <f t="shared" si="26"/>
        <v>-951447</v>
      </c>
      <c r="AM43" s="26">
        <f t="shared" si="27"/>
        <v>0</v>
      </c>
      <c r="AN43" s="26">
        <f t="shared" si="28"/>
        <v>-951447</v>
      </c>
      <c r="AO43" s="26">
        <f t="shared" si="4"/>
        <v>-951447</v>
      </c>
      <c r="AP43" s="25">
        <v>6740746</v>
      </c>
      <c r="AQ43" s="25">
        <f t="shared" si="5"/>
        <v>0</v>
      </c>
      <c r="AR43" s="25">
        <f t="shared" si="29"/>
        <v>-951447</v>
      </c>
      <c r="AS43" s="25">
        <f t="shared" si="30"/>
        <v>0</v>
      </c>
      <c r="AT43" s="25"/>
      <c r="AU43" s="25">
        <f t="shared" si="31"/>
        <v>6740746</v>
      </c>
      <c r="AV43" s="25">
        <v>9323711</v>
      </c>
      <c r="AW43" s="25">
        <f t="shared" si="32"/>
        <v>2582965</v>
      </c>
      <c r="AX43" s="25">
        <v>7650410</v>
      </c>
      <c r="AY43" s="26">
        <f t="shared" si="123"/>
        <v>909664</v>
      </c>
      <c r="AZ43" s="26">
        <f t="shared" si="124"/>
        <v>-1673301</v>
      </c>
      <c r="BA43" s="25">
        <v>7650410</v>
      </c>
      <c r="BB43" s="25">
        <f t="shared" si="33"/>
        <v>909664</v>
      </c>
      <c r="BC43" s="25">
        <f t="shared" si="34"/>
        <v>-1673301</v>
      </c>
      <c r="BD43" s="25">
        <f t="shared" si="35"/>
        <v>0</v>
      </c>
      <c r="BE43" s="25">
        <v>6849037</v>
      </c>
      <c r="BF43" s="25">
        <v>7667618</v>
      </c>
      <c r="BG43" s="25">
        <v>7667618</v>
      </c>
      <c r="BH43" s="25">
        <f t="shared" si="36"/>
        <v>926872</v>
      </c>
      <c r="BI43" s="25">
        <f t="shared" si="37"/>
        <v>-1656093</v>
      </c>
      <c r="BJ43" s="25">
        <f t="shared" si="38"/>
        <v>17208</v>
      </c>
      <c r="BK43" s="8">
        <f t="shared" si="39"/>
        <v>818581</v>
      </c>
      <c r="BL43" s="25">
        <v>50000</v>
      </c>
      <c r="BM43" s="29">
        <f t="shared" si="40"/>
        <v>7617618</v>
      </c>
      <c r="BN43" s="38">
        <v>9755007</v>
      </c>
      <c r="BO43" s="27">
        <f t="shared" si="41"/>
        <v>2137389</v>
      </c>
      <c r="BP43" s="38">
        <v>7677989</v>
      </c>
      <c r="BQ43" s="41">
        <f t="shared" si="42"/>
        <v>60371</v>
      </c>
      <c r="BR43" s="41">
        <f t="shared" si="43"/>
        <v>-2077018</v>
      </c>
      <c r="BS43" s="38">
        <f t="shared" si="149"/>
        <v>7677989</v>
      </c>
      <c r="BT43" s="42">
        <f t="shared" si="44"/>
        <v>60371</v>
      </c>
      <c r="BU43" s="42">
        <f t="shared" si="45"/>
        <v>-2077018</v>
      </c>
      <c r="BV43" s="42">
        <f t="shared" si="46"/>
        <v>0</v>
      </c>
      <c r="BW43" s="38">
        <v>7640268</v>
      </c>
      <c r="BX43" s="41">
        <f t="shared" si="47"/>
        <v>22650</v>
      </c>
      <c r="BY43" s="41">
        <f t="shared" si="48"/>
        <v>-2114739</v>
      </c>
      <c r="BZ43" s="41">
        <f t="shared" si="49"/>
        <v>-37721</v>
      </c>
      <c r="CA43" s="38">
        <f>7640268+250000</f>
        <v>7890268</v>
      </c>
      <c r="CB43" s="8">
        <f t="shared" si="50"/>
        <v>272650</v>
      </c>
      <c r="CC43" s="8">
        <f t="shared" si="51"/>
        <v>-1864739</v>
      </c>
      <c r="CD43" s="8">
        <f t="shared" si="6"/>
        <v>212279</v>
      </c>
      <c r="CE43" s="8">
        <f t="shared" si="52"/>
        <v>250000</v>
      </c>
      <c r="CF43" s="38">
        <v>7890268</v>
      </c>
      <c r="CG43" s="8">
        <f t="shared" si="53"/>
        <v>272650</v>
      </c>
      <c r="CH43" s="8">
        <f t="shared" si="54"/>
        <v>-1864739</v>
      </c>
      <c r="CI43" s="8">
        <f t="shared" si="55"/>
        <v>212279</v>
      </c>
      <c r="CJ43" s="8">
        <f t="shared" si="56"/>
        <v>0</v>
      </c>
      <c r="CK43" s="38">
        <v>7890268</v>
      </c>
      <c r="CL43" s="8">
        <f t="shared" si="7"/>
        <v>272650</v>
      </c>
      <c r="CM43" s="8">
        <f t="shared" si="57"/>
        <v>-1864739</v>
      </c>
      <c r="CN43" s="8">
        <f t="shared" si="58"/>
        <v>0</v>
      </c>
      <c r="CO43" s="38">
        <f>7706297</f>
        <v>7706297</v>
      </c>
      <c r="CP43" s="38">
        <f t="shared" si="59"/>
        <v>-2048710</v>
      </c>
      <c r="CQ43" s="8">
        <f t="shared" si="60"/>
        <v>-183971</v>
      </c>
      <c r="CR43" s="38">
        <v>7706297</v>
      </c>
      <c r="CS43" s="27">
        <v>300000</v>
      </c>
      <c r="CT43" s="38">
        <f t="shared" si="61"/>
        <v>8006297</v>
      </c>
      <c r="CU43" s="8">
        <f t="shared" si="62"/>
        <v>116029</v>
      </c>
      <c r="CV43" s="38">
        <f t="shared" si="63"/>
        <v>300000</v>
      </c>
      <c r="CW43" s="38">
        <f t="shared" si="64"/>
        <v>300000</v>
      </c>
      <c r="CX43" s="38">
        <v>7543523</v>
      </c>
      <c r="CY43" s="8">
        <f t="shared" si="65"/>
        <v>-346745</v>
      </c>
      <c r="CZ43" s="38">
        <f t="shared" si="66"/>
        <v>-162774</v>
      </c>
      <c r="DA43" s="38">
        <f t="shared" si="67"/>
        <v>-462774</v>
      </c>
      <c r="DB43" s="38">
        <v>7793523</v>
      </c>
      <c r="DC43" s="8">
        <f t="shared" si="68"/>
        <v>-96745</v>
      </c>
      <c r="DD43" s="38">
        <f t="shared" si="69"/>
        <v>87226</v>
      </c>
      <c r="DE43" s="38">
        <f t="shared" si="70"/>
        <v>-212774</v>
      </c>
      <c r="DF43" s="38">
        <f t="shared" si="71"/>
        <v>250000</v>
      </c>
      <c r="DG43" s="38">
        <v>8256297</v>
      </c>
      <c r="DH43" s="40">
        <f t="shared" si="72"/>
        <v>366029</v>
      </c>
      <c r="DI43" s="38">
        <f t="shared" si="73"/>
        <v>550000</v>
      </c>
      <c r="DJ43" s="38">
        <f t="shared" si="74"/>
        <v>250000</v>
      </c>
      <c r="DK43" s="38">
        <f t="shared" si="75"/>
        <v>462774</v>
      </c>
      <c r="DL43" s="38">
        <v>-250000</v>
      </c>
      <c r="DM43" s="38">
        <f t="shared" si="76"/>
        <v>8006297</v>
      </c>
      <c r="DN43" s="38">
        <v>8256297</v>
      </c>
      <c r="DO43" s="38">
        <f t="shared" si="77"/>
        <v>366029</v>
      </c>
      <c r="DP43" s="38"/>
      <c r="DQ43" s="38">
        <v>-50000</v>
      </c>
      <c r="DR43" s="38">
        <f t="shared" si="78"/>
        <v>8206297</v>
      </c>
      <c r="DS43" s="38">
        <f t="shared" si="79"/>
        <v>316029</v>
      </c>
      <c r="DT43" s="38">
        <v>-500000</v>
      </c>
      <c r="DU43" s="38">
        <f t="shared" si="80"/>
        <v>7706297</v>
      </c>
      <c r="DV43" s="38">
        <f t="shared" si="81"/>
        <v>-183971</v>
      </c>
      <c r="DW43" s="38">
        <v>7706297</v>
      </c>
      <c r="DX43" s="38">
        <v>17483679</v>
      </c>
      <c r="DY43" s="8">
        <f t="shared" si="163"/>
        <v>9777382</v>
      </c>
      <c r="DZ43" s="40">
        <v>7938413</v>
      </c>
      <c r="EA43" s="8">
        <f t="shared" si="164"/>
        <v>232116</v>
      </c>
      <c r="EB43" s="8">
        <f t="shared" si="165"/>
        <v>-9545266</v>
      </c>
      <c r="EC43" s="58" t="s">
        <v>257</v>
      </c>
      <c r="ED43" s="37">
        <v>7938413</v>
      </c>
      <c r="EE43" s="25">
        <f t="shared" si="166"/>
        <v>232116</v>
      </c>
      <c r="EF43" s="25">
        <f t="shared" si="167"/>
        <v>-9545266</v>
      </c>
      <c r="EG43" s="25">
        <f t="shared" si="82"/>
        <v>0</v>
      </c>
      <c r="EH43" s="37">
        <v>7580375</v>
      </c>
      <c r="EI43" s="25">
        <f t="shared" si="168"/>
        <v>-125922</v>
      </c>
      <c r="EJ43" s="25">
        <f t="shared" si="169"/>
        <v>-9903304</v>
      </c>
      <c r="EK43" s="25">
        <f t="shared" si="83"/>
        <v>-358038</v>
      </c>
      <c r="EL43" s="37">
        <f>7580375+60000+200000</f>
        <v>7840375</v>
      </c>
      <c r="EM43" s="25">
        <f t="shared" si="170"/>
        <v>134078</v>
      </c>
      <c r="EN43" s="25">
        <f t="shared" si="171"/>
        <v>-9643304</v>
      </c>
      <c r="EO43" s="25">
        <f t="shared" si="125"/>
        <v>-98038</v>
      </c>
      <c r="EP43" s="25">
        <f t="shared" si="84"/>
        <v>260000</v>
      </c>
      <c r="EQ43" s="37">
        <v>8448413</v>
      </c>
      <c r="ER43" s="25">
        <f t="shared" si="172"/>
        <v>742116</v>
      </c>
      <c r="ES43" s="25">
        <f t="shared" si="173"/>
        <v>-9035266</v>
      </c>
      <c r="ET43" s="25">
        <f t="shared" si="85"/>
        <v>510000</v>
      </c>
      <c r="EU43" s="25">
        <f t="shared" si="86"/>
        <v>608038</v>
      </c>
      <c r="EV43" s="37">
        <f>8448413-510000</f>
        <v>7938413</v>
      </c>
      <c r="EW43" s="25">
        <f t="shared" si="174"/>
        <v>232116</v>
      </c>
      <c r="EX43" s="25">
        <f t="shared" si="87"/>
        <v>-510000</v>
      </c>
      <c r="EY43" s="25">
        <f t="shared" si="177"/>
        <v>510000</v>
      </c>
      <c r="EZ43" s="37">
        <f>8448413</f>
        <v>8448413</v>
      </c>
      <c r="FA43" s="25">
        <f t="shared" si="175"/>
        <v>742116</v>
      </c>
      <c r="FB43" s="25"/>
      <c r="FC43" s="25">
        <f t="shared" si="88"/>
        <v>8448413</v>
      </c>
      <c r="FD43" s="25">
        <f>7906097-8448413</f>
        <v>-542316</v>
      </c>
      <c r="FE43" s="25"/>
      <c r="FF43" s="25">
        <f t="shared" si="89"/>
        <v>7906097</v>
      </c>
      <c r="FG43" s="37">
        <v>7889141</v>
      </c>
      <c r="FH43" s="25">
        <f t="shared" si="90"/>
        <v>-16956</v>
      </c>
      <c r="FI43" s="37" t="s">
        <v>295</v>
      </c>
      <c r="FJ43" s="37">
        <v>7391120</v>
      </c>
      <c r="FK43" s="37">
        <f t="shared" si="91"/>
        <v>-514977</v>
      </c>
      <c r="FL43" s="37">
        <f t="shared" si="92"/>
        <v>-498021</v>
      </c>
      <c r="FM43" s="37">
        <v>7391120</v>
      </c>
      <c r="FN43" s="37">
        <f t="shared" si="93"/>
        <v>-514977</v>
      </c>
      <c r="FO43" s="37">
        <f t="shared" si="94"/>
        <v>-498021</v>
      </c>
      <c r="FP43" s="37">
        <f t="shared" si="95"/>
        <v>0</v>
      </c>
      <c r="FQ43" s="37" t="s">
        <v>295</v>
      </c>
      <c r="FR43" s="37">
        <v>7646098</v>
      </c>
      <c r="FS43" s="37">
        <f t="shared" si="96"/>
        <v>-259999</v>
      </c>
      <c r="FT43" s="37">
        <f t="shared" si="97"/>
        <v>-243043</v>
      </c>
      <c r="FU43" s="37">
        <f t="shared" si="98"/>
        <v>254978</v>
      </c>
      <c r="FV43" s="100" t="s">
        <v>329</v>
      </c>
      <c r="FW43" s="37">
        <f>7646098+50000</f>
        <v>7696098</v>
      </c>
      <c r="FX43" s="37">
        <f t="shared" si="99"/>
        <v>-209999</v>
      </c>
      <c r="FY43" s="37">
        <f t="shared" si="100"/>
        <v>-193043</v>
      </c>
      <c r="FZ43" s="37">
        <f t="shared" si="101"/>
        <v>304978</v>
      </c>
      <c r="GA43" s="37">
        <f t="shared" si="102"/>
        <v>50000</v>
      </c>
      <c r="GB43" s="107" t="s">
        <v>345</v>
      </c>
      <c r="GC43" s="37">
        <v>7691120</v>
      </c>
      <c r="GD43" s="26">
        <v>-300000</v>
      </c>
      <c r="GE43" s="37">
        <f t="shared" si="103"/>
        <v>7391120</v>
      </c>
      <c r="GF43" s="38">
        <v>300000</v>
      </c>
      <c r="GG43" s="37">
        <f t="shared" si="104"/>
        <v>7691120</v>
      </c>
      <c r="GH43" s="26">
        <f t="shared" si="151"/>
        <v>-214977</v>
      </c>
      <c r="GI43" s="37">
        <f t="shared" si="152"/>
        <v>-198021</v>
      </c>
      <c r="GJ43" s="37">
        <f t="shared" si="153"/>
        <v>300000</v>
      </c>
      <c r="GK43" s="37">
        <f t="shared" si="154"/>
        <v>-4978</v>
      </c>
      <c r="GL43" s="37">
        <f t="shared" si="155"/>
        <v>0</v>
      </c>
      <c r="GM43" s="107" t="s">
        <v>357</v>
      </c>
      <c r="GN43" s="115"/>
      <c r="GO43" s="113">
        <f t="shared" si="105"/>
        <v>7691120</v>
      </c>
      <c r="GP43" s="113"/>
      <c r="GQ43" s="113">
        <f t="shared" si="106"/>
        <v>7691120</v>
      </c>
      <c r="GR43" s="113">
        <v>-300000</v>
      </c>
      <c r="GS43" s="128">
        <v>7391120</v>
      </c>
      <c r="GT43" s="127">
        <v>27958257</v>
      </c>
      <c r="GU43" s="123">
        <f t="shared" si="176"/>
        <v>20567137</v>
      </c>
      <c r="GV43" s="115" t="s">
        <v>381</v>
      </c>
      <c r="GW43" s="99">
        <v>7307165</v>
      </c>
      <c r="GX43" s="128">
        <f t="shared" si="108"/>
        <v>-83955</v>
      </c>
      <c r="GY43" s="128">
        <f t="shared" si="109"/>
        <v>-20651092</v>
      </c>
      <c r="GZ43" s="115" t="s">
        <v>395</v>
      </c>
      <c r="HA43" s="99">
        <v>7307165</v>
      </c>
      <c r="HB43" s="128">
        <f t="shared" si="110"/>
        <v>-83955</v>
      </c>
      <c r="HC43" s="128">
        <f t="shared" si="111"/>
        <v>-20651092</v>
      </c>
      <c r="HD43" s="128">
        <f t="shared" si="112"/>
        <v>0</v>
      </c>
      <c r="HE43" s="115" t="s">
        <v>395</v>
      </c>
      <c r="HF43" s="99">
        <v>7457168</v>
      </c>
      <c r="HG43" s="128">
        <f>HF43-GS43</f>
        <v>66048</v>
      </c>
      <c r="HH43" s="128">
        <f t="shared" si="113"/>
        <v>-20501089</v>
      </c>
      <c r="HI43" s="128">
        <f t="shared" si="114"/>
        <v>150003</v>
      </c>
      <c r="HJ43" s="115" t="s">
        <v>461</v>
      </c>
      <c r="HK43" s="99">
        <f>7457168+250000</f>
        <v>7707168</v>
      </c>
      <c r="HL43" s="128">
        <f t="shared" si="115"/>
        <v>316048</v>
      </c>
      <c r="HM43" s="128">
        <f t="shared" si="116"/>
        <v>-20251089</v>
      </c>
      <c r="HN43" s="128">
        <f>HK43-HA43</f>
        <v>400003</v>
      </c>
      <c r="HO43" s="128">
        <f t="shared" si="118"/>
        <v>250000</v>
      </c>
      <c r="HP43" s="115" t="s">
        <v>485</v>
      </c>
      <c r="HQ43" s="99">
        <v>7207165</v>
      </c>
      <c r="HR43" s="128">
        <f t="shared" si="145"/>
        <v>-183955</v>
      </c>
      <c r="HS43" s="128">
        <f t="shared" si="156"/>
        <v>-20751092</v>
      </c>
      <c r="HT43" s="128">
        <f t="shared" si="157"/>
        <v>-100000</v>
      </c>
      <c r="HU43" s="128">
        <f t="shared" si="158"/>
        <v>-500003</v>
      </c>
      <c r="HV43" s="160" t="s">
        <v>502</v>
      </c>
      <c r="HW43" s="99">
        <v>6807165</v>
      </c>
      <c r="HX43" s="128">
        <f t="shared" si="159"/>
        <v>-583955</v>
      </c>
      <c r="HY43" s="128">
        <f t="shared" si="160"/>
        <v>-21151092</v>
      </c>
      <c r="HZ43" s="128">
        <f t="shared" si="119"/>
        <v>-400000</v>
      </c>
      <c r="IA43" s="160" t="s">
        <v>518</v>
      </c>
      <c r="IB43" s="99">
        <v>7207165</v>
      </c>
      <c r="IC43" s="187" t="s">
        <v>502</v>
      </c>
      <c r="ID43" s="128">
        <f t="shared" si="161"/>
        <v>7207165</v>
      </c>
      <c r="IE43" s="164">
        <f t="shared" si="21"/>
        <v>-183955</v>
      </c>
      <c r="IF43" s="186">
        <v>6960939</v>
      </c>
      <c r="IG43" s="40">
        <f t="shared" si="120"/>
        <v>-246226</v>
      </c>
      <c r="IH43" s="115" t="s">
        <v>548</v>
      </c>
    </row>
    <row r="44" spans="1:242" ht="14.25" customHeight="1" x14ac:dyDescent="0.2">
      <c r="A44" s="17" t="s">
        <v>32</v>
      </c>
      <c r="B44" s="18"/>
      <c r="C44" s="52" t="s">
        <v>39</v>
      </c>
      <c r="D44" s="20">
        <v>13000000</v>
      </c>
      <c r="E44" s="21">
        <v>17500000</v>
      </c>
      <c r="F44" s="21">
        <v>17413294</v>
      </c>
      <c r="G44" s="21">
        <v>15672375</v>
      </c>
      <c r="H44" s="22"/>
      <c r="I44" s="21">
        <f t="shared" si="0"/>
        <v>15672375</v>
      </c>
      <c r="J44" s="22"/>
      <c r="K44" s="22"/>
      <c r="L44" s="22">
        <f t="shared" si="1"/>
        <v>0</v>
      </c>
      <c r="M44" s="23">
        <f t="shared" si="22"/>
        <v>15672375</v>
      </c>
      <c r="N44" s="23">
        <v>15672375</v>
      </c>
      <c r="O44" s="23">
        <v>14918030</v>
      </c>
      <c r="P44" s="23">
        <v>14918030</v>
      </c>
      <c r="Q44" s="23">
        <v>15672374</v>
      </c>
      <c r="R44" s="23">
        <v>15485202</v>
      </c>
      <c r="S44" s="23">
        <v>0.1012</v>
      </c>
      <c r="T44" s="23">
        <f t="shared" si="121"/>
        <v>-1567102.4424000001</v>
      </c>
      <c r="U44" s="23">
        <f t="shared" si="122"/>
        <v>13918099.557599999</v>
      </c>
      <c r="V44" s="23">
        <f t="shared" si="2"/>
        <v>-1754275.442400001</v>
      </c>
      <c r="W44" s="24">
        <v>13918030</v>
      </c>
      <c r="X44" s="24"/>
      <c r="Y44" s="24">
        <f t="shared" si="23"/>
        <v>13918030</v>
      </c>
      <c r="Z44" s="25">
        <v>13918030</v>
      </c>
      <c r="AA44" s="25">
        <f t="shared" si="24"/>
        <v>0</v>
      </c>
      <c r="AB44" s="25">
        <v>13918030</v>
      </c>
      <c r="AC44" s="25">
        <v>13918030</v>
      </c>
      <c r="AD44" s="26">
        <v>13139669</v>
      </c>
      <c r="AE44" s="25"/>
      <c r="AF44" s="25"/>
      <c r="AG44" s="25"/>
      <c r="AH44" s="26">
        <v>13139669</v>
      </c>
      <c r="AI44" s="26">
        <v>13918030</v>
      </c>
      <c r="AJ44" s="25">
        <f t="shared" si="141"/>
        <v>-778361</v>
      </c>
      <c r="AK44" s="25">
        <f t="shared" si="25"/>
        <v>-778361</v>
      </c>
      <c r="AL44" s="25">
        <f t="shared" si="26"/>
        <v>-778361</v>
      </c>
      <c r="AM44" s="26">
        <f t="shared" si="27"/>
        <v>-778361</v>
      </c>
      <c r="AN44" s="26">
        <f t="shared" si="28"/>
        <v>-778361</v>
      </c>
      <c r="AO44" s="26">
        <f t="shared" si="4"/>
        <v>-778361</v>
      </c>
      <c r="AP44" s="25">
        <v>13918030</v>
      </c>
      <c r="AQ44" s="25">
        <f t="shared" si="5"/>
        <v>0</v>
      </c>
      <c r="AR44" s="25">
        <f t="shared" si="29"/>
        <v>0</v>
      </c>
      <c r="AS44" s="25">
        <f t="shared" si="30"/>
        <v>0</v>
      </c>
      <c r="AT44" s="25"/>
      <c r="AU44" s="25">
        <f t="shared" si="31"/>
        <v>13918030</v>
      </c>
      <c r="AV44" s="25">
        <v>14918030</v>
      </c>
      <c r="AW44" s="25">
        <f t="shared" si="32"/>
        <v>1000000</v>
      </c>
      <c r="AX44" s="25">
        <v>13918030</v>
      </c>
      <c r="AY44" s="26">
        <f t="shared" si="123"/>
        <v>0</v>
      </c>
      <c r="AZ44" s="26">
        <f t="shared" si="124"/>
        <v>-1000000</v>
      </c>
      <c r="BA44" s="25">
        <v>14168030</v>
      </c>
      <c r="BB44" s="25">
        <f t="shared" si="33"/>
        <v>250000</v>
      </c>
      <c r="BC44" s="25">
        <f t="shared" si="34"/>
        <v>-750000</v>
      </c>
      <c r="BD44" s="25">
        <f t="shared" si="35"/>
        <v>250000</v>
      </c>
      <c r="BE44" s="25">
        <v>14042764</v>
      </c>
      <c r="BF44" s="25">
        <v>14168030</v>
      </c>
      <c r="BG44" s="25">
        <v>14168030</v>
      </c>
      <c r="BH44" s="25">
        <f t="shared" si="36"/>
        <v>250000</v>
      </c>
      <c r="BI44" s="25">
        <f t="shared" si="37"/>
        <v>-750000</v>
      </c>
      <c r="BJ44" s="25">
        <f t="shared" si="38"/>
        <v>0</v>
      </c>
      <c r="BK44" s="8">
        <f t="shared" si="39"/>
        <v>125266</v>
      </c>
      <c r="BL44" s="25"/>
      <c r="BM44" s="29">
        <f t="shared" si="40"/>
        <v>14168030</v>
      </c>
      <c r="BN44" s="38">
        <v>19040030</v>
      </c>
      <c r="BO44" s="27">
        <f t="shared" si="41"/>
        <v>4872000</v>
      </c>
      <c r="BP44" s="38">
        <v>13918030</v>
      </c>
      <c r="BQ44" s="41">
        <f t="shared" si="42"/>
        <v>-250000</v>
      </c>
      <c r="BR44" s="41">
        <f t="shared" si="43"/>
        <v>-5122000</v>
      </c>
      <c r="BS44" s="38">
        <v>14168030</v>
      </c>
      <c r="BT44" s="42">
        <f t="shared" si="44"/>
        <v>0</v>
      </c>
      <c r="BU44" s="42">
        <f t="shared" si="45"/>
        <v>-4872000</v>
      </c>
      <c r="BV44" s="42">
        <f t="shared" si="46"/>
        <v>250000</v>
      </c>
      <c r="BW44" s="38">
        <v>13768030</v>
      </c>
      <c r="BX44" s="41">
        <f t="shared" si="47"/>
        <v>-400000</v>
      </c>
      <c r="BY44" s="41">
        <f t="shared" si="48"/>
        <v>-5272000</v>
      </c>
      <c r="BZ44" s="41">
        <f t="shared" si="49"/>
        <v>-400000</v>
      </c>
      <c r="CA44" s="38">
        <v>13768030</v>
      </c>
      <c r="CB44" s="8">
        <f t="shared" si="50"/>
        <v>-400000</v>
      </c>
      <c r="CC44" s="8">
        <f t="shared" si="51"/>
        <v>-5272000</v>
      </c>
      <c r="CD44" s="8">
        <f t="shared" si="6"/>
        <v>-400000</v>
      </c>
      <c r="CE44" s="8">
        <f t="shared" si="52"/>
        <v>0</v>
      </c>
      <c r="CF44" s="38">
        <v>14168030</v>
      </c>
      <c r="CG44" s="8">
        <f t="shared" si="53"/>
        <v>0</v>
      </c>
      <c r="CH44" s="8">
        <f t="shared" si="54"/>
        <v>-4872000</v>
      </c>
      <c r="CI44" s="8">
        <f t="shared" si="55"/>
        <v>0</v>
      </c>
      <c r="CJ44" s="8">
        <f t="shared" si="56"/>
        <v>400000</v>
      </c>
      <c r="CK44" s="38">
        <v>14168030</v>
      </c>
      <c r="CL44" s="8">
        <f t="shared" si="7"/>
        <v>0</v>
      </c>
      <c r="CM44" s="8">
        <f t="shared" si="57"/>
        <v>-4872000</v>
      </c>
      <c r="CN44" s="8">
        <f t="shared" si="58"/>
        <v>0</v>
      </c>
      <c r="CO44" s="38">
        <v>18168067</v>
      </c>
      <c r="CP44" s="38">
        <f t="shared" si="59"/>
        <v>-871963</v>
      </c>
      <c r="CQ44" s="8">
        <f t="shared" si="60"/>
        <v>4000037</v>
      </c>
      <c r="CR44" s="38">
        <v>15168750</v>
      </c>
      <c r="CS44" s="27"/>
      <c r="CT44" s="38">
        <f t="shared" si="61"/>
        <v>15168750</v>
      </c>
      <c r="CU44" s="8">
        <f t="shared" si="62"/>
        <v>1000720</v>
      </c>
      <c r="CV44" s="38">
        <f t="shared" si="63"/>
        <v>-2999317</v>
      </c>
      <c r="CW44" s="38">
        <f t="shared" si="64"/>
        <v>0</v>
      </c>
      <c r="CX44" s="38">
        <v>13668628</v>
      </c>
      <c r="CY44" s="8">
        <f t="shared" si="65"/>
        <v>-499402</v>
      </c>
      <c r="CZ44" s="38">
        <f t="shared" si="66"/>
        <v>-4499439</v>
      </c>
      <c r="DA44" s="38">
        <f t="shared" si="67"/>
        <v>-1500122</v>
      </c>
      <c r="DB44" s="38">
        <v>13668628</v>
      </c>
      <c r="DC44" s="8">
        <f t="shared" si="68"/>
        <v>-499402</v>
      </c>
      <c r="DD44" s="38">
        <f t="shared" si="69"/>
        <v>-4499439</v>
      </c>
      <c r="DE44" s="38">
        <f t="shared" si="70"/>
        <v>-1500122</v>
      </c>
      <c r="DF44" s="38">
        <f t="shared" si="71"/>
        <v>0</v>
      </c>
      <c r="DG44" s="38">
        <v>14668628</v>
      </c>
      <c r="DH44" s="40">
        <f t="shared" si="72"/>
        <v>500598</v>
      </c>
      <c r="DI44" s="38">
        <f t="shared" si="73"/>
        <v>-3499439</v>
      </c>
      <c r="DJ44" s="38">
        <f t="shared" si="74"/>
        <v>-500122</v>
      </c>
      <c r="DK44" s="38">
        <f t="shared" si="75"/>
        <v>1000000</v>
      </c>
      <c r="DL44" s="38"/>
      <c r="DM44" s="38">
        <f t="shared" si="76"/>
        <v>14668628</v>
      </c>
      <c r="DN44" s="38">
        <v>14668628</v>
      </c>
      <c r="DO44" s="38">
        <f t="shared" si="77"/>
        <v>500598</v>
      </c>
      <c r="DP44" s="38">
        <v>1000000</v>
      </c>
      <c r="DQ44" s="38">
        <v>-1000000</v>
      </c>
      <c r="DR44" s="38">
        <f t="shared" si="78"/>
        <v>14668628</v>
      </c>
      <c r="DS44" s="38">
        <f t="shared" si="79"/>
        <v>500598</v>
      </c>
      <c r="DT44" s="38"/>
      <c r="DU44" s="38">
        <f t="shared" si="80"/>
        <v>14668628</v>
      </c>
      <c r="DV44" s="38">
        <f t="shared" si="81"/>
        <v>500598</v>
      </c>
      <c r="DW44" s="38">
        <v>14668628</v>
      </c>
      <c r="DX44" s="38">
        <v>14673492</v>
      </c>
      <c r="DY44" s="8">
        <f t="shared" si="163"/>
        <v>4864</v>
      </c>
      <c r="DZ44" s="40">
        <v>13673492</v>
      </c>
      <c r="EA44" s="8">
        <f t="shared" si="164"/>
        <v>-995136</v>
      </c>
      <c r="EB44" s="8">
        <f t="shared" si="165"/>
        <v>-1000000</v>
      </c>
      <c r="EC44" s="58" t="s">
        <v>258</v>
      </c>
      <c r="ED44" s="37">
        <v>14223492</v>
      </c>
      <c r="EE44" s="25">
        <f t="shared" si="166"/>
        <v>-445136</v>
      </c>
      <c r="EF44" s="25">
        <f t="shared" si="167"/>
        <v>-450000</v>
      </c>
      <c r="EG44" s="25">
        <f t="shared" si="82"/>
        <v>550000</v>
      </c>
      <c r="EH44" s="37">
        <v>13673492</v>
      </c>
      <c r="EI44" s="25">
        <f t="shared" si="168"/>
        <v>-995136</v>
      </c>
      <c r="EJ44" s="25">
        <f t="shared" si="169"/>
        <v>-1000000</v>
      </c>
      <c r="EK44" s="25">
        <f t="shared" si="83"/>
        <v>-550000</v>
      </c>
      <c r="EL44" s="37">
        <v>13673492</v>
      </c>
      <c r="EM44" s="25">
        <f t="shared" si="170"/>
        <v>-995136</v>
      </c>
      <c r="EN44" s="25">
        <f t="shared" si="171"/>
        <v>-1000000</v>
      </c>
      <c r="EO44" s="25">
        <f t="shared" si="125"/>
        <v>-550000</v>
      </c>
      <c r="EP44" s="25">
        <f t="shared" si="84"/>
        <v>0</v>
      </c>
      <c r="EQ44" s="37">
        <v>14223492</v>
      </c>
      <c r="ER44" s="25">
        <f t="shared" si="172"/>
        <v>-445136</v>
      </c>
      <c r="ES44" s="25">
        <f t="shared" si="173"/>
        <v>-450000</v>
      </c>
      <c r="ET44" s="25">
        <f t="shared" si="85"/>
        <v>0</v>
      </c>
      <c r="EU44" s="25">
        <f t="shared" si="86"/>
        <v>550000</v>
      </c>
      <c r="EV44" s="37">
        <v>14223492</v>
      </c>
      <c r="EW44" s="25">
        <f t="shared" si="174"/>
        <v>-445136</v>
      </c>
      <c r="EX44" s="25">
        <f t="shared" si="87"/>
        <v>0</v>
      </c>
      <c r="EY44" s="25">
        <f t="shared" si="177"/>
        <v>0</v>
      </c>
      <c r="EZ44" s="37">
        <v>14223492</v>
      </c>
      <c r="FA44" s="25">
        <f t="shared" si="175"/>
        <v>-445136</v>
      </c>
      <c r="FB44" s="25"/>
      <c r="FC44" s="25">
        <f t="shared" si="88"/>
        <v>14223492</v>
      </c>
      <c r="FD44" s="25"/>
      <c r="FE44" s="25"/>
      <c r="FF44" s="25">
        <f t="shared" si="89"/>
        <v>14223492</v>
      </c>
      <c r="FG44" s="37">
        <v>14237835</v>
      </c>
      <c r="FH44" s="25">
        <f t="shared" si="90"/>
        <v>14343</v>
      </c>
      <c r="FI44" s="37" t="s">
        <v>296</v>
      </c>
      <c r="FJ44" s="37">
        <v>14237835</v>
      </c>
      <c r="FK44" s="37">
        <f t="shared" si="91"/>
        <v>14343</v>
      </c>
      <c r="FL44" s="37">
        <f t="shared" si="92"/>
        <v>0</v>
      </c>
      <c r="FM44" s="37">
        <v>14237835</v>
      </c>
      <c r="FN44" s="37">
        <f t="shared" si="93"/>
        <v>14343</v>
      </c>
      <c r="FO44" s="37">
        <f t="shared" si="94"/>
        <v>0</v>
      </c>
      <c r="FP44" s="37">
        <f t="shared" si="95"/>
        <v>0</v>
      </c>
      <c r="FQ44" s="37" t="s">
        <v>296</v>
      </c>
      <c r="FR44" s="37">
        <v>14174528</v>
      </c>
      <c r="FS44" s="37">
        <f t="shared" si="96"/>
        <v>-48964</v>
      </c>
      <c r="FT44" s="37">
        <f t="shared" si="97"/>
        <v>-63307</v>
      </c>
      <c r="FU44" s="37">
        <f t="shared" si="98"/>
        <v>-63307</v>
      </c>
      <c r="FV44" s="100" t="s">
        <v>330</v>
      </c>
      <c r="FW44" s="37">
        <v>14174528</v>
      </c>
      <c r="FX44" s="37">
        <f t="shared" si="99"/>
        <v>-48964</v>
      </c>
      <c r="FY44" s="37">
        <f t="shared" si="100"/>
        <v>-63307</v>
      </c>
      <c r="FZ44" s="37">
        <f t="shared" si="101"/>
        <v>-63307</v>
      </c>
      <c r="GA44" s="37">
        <f t="shared" si="102"/>
        <v>0</v>
      </c>
      <c r="GB44" s="107"/>
      <c r="GC44" s="37">
        <v>14174528</v>
      </c>
      <c r="GD44" s="26"/>
      <c r="GE44" s="37">
        <f t="shared" si="103"/>
        <v>14174528</v>
      </c>
      <c r="GF44" s="38"/>
      <c r="GG44" s="37">
        <f t="shared" si="104"/>
        <v>14174528</v>
      </c>
      <c r="GH44" s="26">
        <f t="shared" si="151"/>
        <v>-48964</v>
      </c>
      <c r="GI44" s="37">
        <f t="shared" si="152"/>
        <v>-63307</v>
      </c>
      <c r="GJ44" s="37">
        <f t="shared" si="153"/>
        <v>-63307</v>
      </c>
      <c r="GK44" s="37">
        <f t="shared" si="154"/>
        <v>0</v>
      </c>
      <c r="GL44" s="37">
        <f t="shared" si="155"/>
        <v>0</v>
      </c>
      <c r="GM44" s="107"/>
      <c r="GN44" s="115"/>
      <c r="GO44" s="113">
        <f t="shared" si="105"/>
        <v>14174528</v>
      </c>
      <c r="GP44" s="113">
        <v>-1251</v>
      </c>
      <c r="GQ44" s="113">
        <f t="shared" si="106"/>
        <v>14173277</v>
      </c>
      <c r="GR44" s="113"/>
      <c r="GS44" s="128">
        <v>14173277</v>
      </c>
      <c r="GT44" s="128">
        <v>0</v>
      </c>
      <c r="GU44" s="123">
        <f t="shared" si="176"/>
        <v>-14173277</v>
      </c>
      <c r="GV44" s="115" t="s">
        <v>378</v>
      </c>
      <c r="GW44" s="99">
        <v>14175592</v>
      </c>
      <c r="GX44" s="128">
        <f t="shared" si="108"/>
        <v>2315</v>
      </c>
      <c r="GY44" s="128">
        <f t="shared" si="109"/>
        <v>14175592</v>
      </c>
      <c r="GZ44" s="115"/>
      <c r="HA44" s="99">
        <v>14175592</v>
      </c>
      <c r="HB44" s="128">
        <f t="shared" si="110"/>
        <v>2315</v>
      </c>
      <c r="HC44" s="128">
        <f t="shared" si="111"/>
        <v>14175592</v>
      </c>
      <c r="HD44" s="128">
        <f t="shared" si="112"/>
        <v>0</v>
      </c>
      <c r="HE44" s="115"/>
      <c r="HF44" s="99">
        <v>14175592</v>
      </c>
      <c r="HG44" s="128">
        <f t="shared" si="126"/>
        <v>2315</v>
      </c>
      <c r="HH44" s="128">
        <f t="shared" si="113"/>
        <v>14175592</v>
      </c>
      <c r="HI44" s="128">
        <f t="shared" si="114"/>
        <v>0</v>
      </c>
      <c r="HJ44" s="115"/>
      <c r="HK44" s="99">
        <v>14175592</v>
      </c>
      <c r="HL44" s="128">
        <f t="shared" si="115"/>
        <v>2315</v>
      </c>
      <c r="HM44" s="128">
        <f t="shared" si="116"/>
        <v>14175592</v>
      </c>
      <c r="HN44" s="128">
        <f t="shared" si="117"/>
        <v>0</v>
      </c>
      <c r="HO44" s="128">
        <f t="shared" si="118"/>
        <v>0</v>
      </c>
      <c r="HP44" s="115"/>
      <c r="HQ44" s="99">
        <v>13975592</v>
      </c>
      <c r="HR44" s="128">
        <f t="shared" si="145"/>
        <v>-197685</v>
      </c>
      <c r="HS44" s="128">
        <f t="shared" si="156"/>
        <v>13975592</v>
      </c>
      <c r="HT44" s="128">
        <f t="shared" si="157"/>
        <v>-200000</v>
      </c>
      <c r="HU44" s="128">
        <f t="shared" si="158"/>
        <v>-200000</v>
      </c>
      <c r="HV44" s="115"/>
      <c r="HW44" s="99">
        <v>13975592</v>
      </c>
      <c r="HX44" s="128">
        <f t="shared" si="159"/>
        <v>-197685</v>
      </c>
      <c r="HY44" s="128">
        <f t="shared" si="160"/>
        <v>13975592</v>
      </c>
      <c r="HZ44" s="128">
        <f t="shared" si="119"/>
        <v>0</v>
      </c>
      <c r="IA44" s="115"/>
      <c r="IB44" s="99">
        <v>13975592</v>
      </c>
      <c r="IC44" s="166"/>
      <c r="ID44" s="128">
        <f t="shared" si="161"/>
        <v>13975592</v>
      </c>
      <c r="IE44" s="164">
        <f t="shared" si="21"/>
        <v>-197685</v>
      </c>
      <c r="IF44" s="185">
        <v>13975592</v>
      </c>
      <c r="IG44" s="40">
        <f t="shared" si="120"/>
        <v>0</v>
      </c>
      <c r="IH44" s="115"/>
    </row>
    <row r="45" spans="1:242" ht="12.75" hidden="1" customHeight="1" x14ac:dyDescent="0.2">
      <c r="A45" s="17" t="s">
        <v>38</v>
      </c>
      <c r="B45" s="18"/>
      <c r="C45" s="51" t="s">
        <v>183</v>
      </c>
      <c r="D45" s="20">
        <v>1575000</v>
      </c>
      <c r="E45" s="21">
        <v>1575000</v>
      </c>
      <c r="F45" s="21">
        <v>1306000</v>
      </c>
      <c r="G45" s="21">
        <v>721000</v>
      </c>
      <c r="H45" s="22"/>
      <c r="I45" s="21">
        <f t="shared" si="0"/>
        <v>721000</v>
      </c>
      <c r="J45" s="22"/>
      <c r="K45" s="22"/>
      <c r="L45" s="22">
        <f t="shared" si="1"/>
        <v>0</v>
      </c>
      <c r="M45" s="23">
        <f t="shared" si="22"/>
        <v>721000</v>
      </c>
      <c r="N45" s="23">
        <v>721000</v>
      </c>
      <c r="O45" s="23">
        <v>721000</v>
      </c>
      <c r="P45" s="23">
        <v>721000</v>
      </c>
      <c r="Q45" s="23">
        <v>500000</v>
      </c>
      <c r="R45" s="23">
        <v>721000</v>
      </c>
      <c r="S45" s="23">
        <v>0.44520999999999999</v>
      </c>
      <c r="T45" s="23">
        <f t="shared" si="121"/>
        <v>-320996.40999999997</v>
      </c>
      <c r="U45" s="23">
        <f t="shared" si="122"/>
        <v>400003.59</v>
      </c>
      <c r="V45" s="23">
        <f t="shared" si="2"/>
        <v>-320996.40999999997</v>
      </c>
      <c r="W45" s="24">
        <v>400000</v>
      </c>
      <c r="X45" s="24"/>
      <c r="Y45" s="24">
        <f t="shared" si="23"/>
        <v>400000</v>
      </c>
      <c r="Z45" s="25">
        <v>400000</v>
      </c>
      <c r="AA45" s="25">
        <f t="shared" si="24"/>
        <v>0</v>
      </c>
      <c r="AB45" s="25">
        <v>400000</v>
      </c>
      <c r="AC45" s="25">
        <v>400000</v>
      </c>
      <c r="AD45" s="26">
        <v>400000</v>
      </c>
      <c r="AE45" s="25"/>
      <c r="AF45" s="25"/>
      <c r="AG45" s="25"/>
      <c r="AH45" s="26">
        <v>400000</v>
      </c>
      <c r="AI45" s="26">
        <v>400000</v>
      </c>
      <c r="AJ45" s="25">
        <f t="shared" si="141"/>
        <v>0</v>
      </c>
      <c r="AK45" s="25">
        <f t="shared" si="25"/>
        <v>0</v>
      </c>
      <c r="AL45" s="25">
        <f t="shared" si="26"/>
        <v>0</v>
      </c>
      <c r="AM45" s="26">
        <f t="shared" si="27"/>
        <v>0</v>
      </c>
      <c r="AN45" s="26">
        <f t="shared" si="28"/>
        <v>0</v>
      </c>
      <c r="AO45" s="26">
        <f t="shared" si="4"/>
        <v>0</v>
      </c>
      <c r="AP45" s="25">
        <v>400000</v>
      </c>
      <c r="AQ45" s="25">
        <f t="shared" si="5"/>
        <v>0</v>
      </c>
      <c r="AR45" s="25">
        <f t="shared" si="29"/>
        <v>0</v>
      </c>
      <c r="AS45" s="25">
        <f t="shared" si="30"/>
        <v>0</v>
      </c>
      <c r="AT45" s="25"/>
      <c r="AU45" s="25">
        <f t="shared" si="31"/>
        <v>400000</v>
      </c>
      <c r="AV45" s="25">
        <v>400000</v>
      </c>
      <c r="AW45" s="25">
        <f t="shared" si="32"/>
        <v>0</v>
      </c>
      <c r="AX45" s="25">
        <v>400000</v>
      </c>
      <c r="AY45" s="26">
        <f t="shared" si="123"/>
        <v>0</v>
      </c>
      <c r="AZ45" s="26">
        <f t="shared" si="124"/>
        <v>0</v>
      </c>
      <c r="BA45" s="25">
        <v>400000</v>
      </c>
      <c r="BB45" s="25">
        <f t="shared" si="33"/>
        <v>0</v>
      </c>
      <c r="BC45" s="25">
        <f t="shared" si="34"/>
        <v>0</v>
      </c>
      <c r="BD45" s="25">
        <f t="shared" si="35"/>
        <v>0</v>
      </c>
      <c r="BE45" s="25">
        <f>400000+200000</f>
        <v>600000</v>
      </c>
      <c r="BF45" s="25">
        <v>475000</v>
      </c>
      <c r="BG45" s="25">
        <v>475000</v>
      </c>
      <c r="BH45" s="25">
        <f t="shared" si="36"/>
        <v>75000</v>
      </c>
      <c r="BI45" s="25">
        <f t="shared" si="37"/>
        <v>75000</v>
      </c>
      <c r="BJ45" s="25">
        <f t="shared" si="38"/>
        <v>75000</v>
      </c>
      <c r="BK45" s="8">
        <f t="shared" si="39"/>
        <v>-125000</v>
      </c>
      <c r="BL45" s="25"/>
      <c r="BM45" s="29">
        <f t="shared" si="40"/>
        <v>475000</v>
      </c>
      <c r="BN45" s="38">
        <v>475000</v>
      </c>
      <c r="BO45" s="27">
        <f t="shared" si="41"/>
        <v>0</v>
      </c>
      <c r="BP45" s="38">
        <v>0</v>
      </c>
      <c r="BQ45" s="41">
        <f t="shared" si="42"/>
        <v>-475000</v>
      </c>
      <c r="BR45" s="41">
        <f t="shared" si="43"/>
        <v>-475000</v>
      </c>
      <c r="BS45" s="38">
        <v>0</v>
      </c>
      <c r="BT45" s="42">
        <f t="shared" si="44"/>
        <v>-475000</v>
      </c>
      <c r="BU45" s="42">
        <f t="shared" si="45"/>
        <v>-475000</v>
      </c>
      <c r="BV45" s="42">
        <f t="shared" si="46"/>
        <v>0</v>
      </c>
      <c r="BW45" s="38">
        <v>0</v>
      </c>
      <c r="BX45" s="41">
        <f t="shared" si="47"/>
        <v>-475000</v>
      </c>
      <c r="BY45" s="41">
        <f t="shared" si="48"/>
        <v>-475000</v>
      </c>
      <c r="BZ45" s="41">
        <f t="shared" si="49"/>
        <v>0</v>
      </c>
      <c r="CA45" s="38">
        <v>0</v>
      </c>
      <c r="CB45" s="8">
        <f t="shared" si="50"/>
        <v>-475000</v>
      </c>
      <c r="CC45" s="8">
        <f t="shared" si="51"/>
        <v>-475000</v>
      </c>
      <c r="CD45" s="8">
        <f t="shared" si="6"/>
        <v>0</v>
      </c>
      <c r="CE45" s="8">
        <f t="shared" si="52"/>
        <v>0</v>
      </c>
      <c r="CF45" s="38">
        <v>0</v>
      </c>
      <c r="CG45" s="8">
        <f t="shared" si="53"/>
        <v>-475000</v>
      </c>
      <c r="CH45" s="8">
        <f t="shared" si="54"/>
        <v>-475000</v>
      </c>
      <c r="CI45" s="8">
        <f t="shared" si="55"/>
        <v>0</v>
      </c>
      <c r="CJ45" s="8">
        <f t="shared" si="56"/>
        <v>0</v>
      </c>
      <c r="CK45" s="38">
        <v>0</v>
      </c>
      <c r="CL45" s="8">
        <f t="shared" si="7"/>
        <v>-475000</v>
      </c>
      <c r="CM45" s="8">
        <f t="shared" si="57"/>
        <v>-475000</v>
      </c>
      <c r="CN45" s="8">
        <f t="shared" si="58"/>
        <v>0</v>
      </c>
      <c r="CO45" s="38">
        <v>0</v>
      </c>
      <c r="CP45" s="38">
        <f t="shared" si="59"/>
        <v>-475000</v>
      </c>
      <c r="CQ45" s="8">
        <f t="shared" si="60"/>
        <v>0</v>
      </c>
      <c r="CR45" s="38"/>
      <c r="CS45" s="27"/>
      <c r="CT45" s="38">
        <f t="shared" si="61"/>
        <v>0</v>
      </c>
      <c r="CU45" s="8">
        <f t="shared" si="62"/>
        <v>0</v>
      </c>
      <c r="CV45" s="38">
        <f t="shared" si="63"/>
        <v>0</v>
      </c>
      <c r="CW45" s="38">
        <f t="shared" si="64"/>
        <v>0</v>
      </c>
      <c r="CX45" s="38"/>
      <c r="CY45" s="8">
        <f t="shared" si="65"/>
        <v>0</v>
      </c>
      <c r="CZ45" s="38">
        <f t="shared" si="66"/>
        <v>0</v>
      </c>
      <c r="DA45" s="38">
        <f t="shared" si="67"/>
        <v>0</v>
      </c>
      <c r="DB45" s="38"/>
      <c r="DC45" s="8">
        <f t="shared" si="68"/>
        <v>0</v>
      </c>
      <c r="DD45" s="38">
        <f t="shared" si="69"/>
        <v>0</v>
      </c>
      <c r="DE45" s="38">
        <f t="shared" si="70"/>
        <v>0</v>
      </c>
      <c r="DF45" s="38">
        <f t="shared" si="71"/>
        <v>0</v>
      </c>
      <c r="DG45" s="38"/>
      <c r="DH45" s="40">
        <f t="shared" si="72"/>
        <v>0</v>
      </c>
      <c r="DI45" s="38">
        <f t="shared" si="73"/>
        <v>0</v>
      </c>
      <c r="DJ45" s="38">
        <f t="shared" si="74"/>
        <v>0</v>
      </c>
      <c r="DK45" s="38">
        <f t="shared" si="75"/>
        <v>0</v>
      </c>
      <c r="DL45" s="38"/>
      <c r="DM45" s="38">
        <f t="shared" si="76"/>
        <v>0</v>
      </c>
      <c r="DN45" s="38"/>
      <c r="DO45" s="38">
        <f t="shared" si="77"/>
        <v>0</v>
      </c>
      <c r="DP45" s="38"/>
      <c r="DQ45" s="38"/>
      <c r="DR45" s="38">
        <f t="shared" si="78"/>
        <v>0</v>
      </c>
      <c r="DS45" s="38">
        <f t="shared" si="79"/>
        <v>0</v>
      </c>
      <c r="DT45" s="38"/>
      <c r="DU45" s="38">
        <f t="shared" si="80"/>
        <v>0</v>
      </c>
      <c r="DV45" s="38">
        <f t="shared" si="81"/>
        <v>0</v>
      </c>
      <c r="DW45" s="38">
        <v>0</v>
      </c>
      <c r="DX45" s="38"/>
      <c r="DY45" s="8">
        <f t="shared" si="163"/>
        <v>0</v>
      </c>
      <c r="DZ45" s="40"/>
      <c r="EA45" s="8">
        <f t="shared" si="164"/>
        <v>0</v>
      </c>
      <c r="EB45" s="8">
        <f t="shared" si="165"/>
        <v>0</v>
      </c>
      <c r="EC45" s="60"/>
      <c r="ED45" s="37"/>
      <c r="EE45" s="25">
        <f t="shared" si="166"/>
        <v>0</v>
      </c>
      <c r="EF45" s="25">
        <f t="shared" si="167"/>
        <v>0</v>
      </c>
      <c r="EG45" s="25">
        <f t="shared" si="82"/>
        <v>0</v>
      </c>
      <c r="EH45" s="37"/>
      <c r="EI45" s="25">
        <f t="shared" si="168"/>
        <v>0</v>
      </c>
      <c r="EJ45" s="25">
        <f t="shared" si="169"/>
        <v>0</v>
      </c>
      <c r="EK45" s="25">
        <f t="shared" si="83"/>
        <v>0</v>
      </c>
      <c r="EL45" s="37"/>
      <c r="EM45" s="25">
        <f t="shared" si="170"/>
        <v>0</v>
      </c>
      <c r="EN45" s="25">
        <f t="shared" si="171"/>
        <v>0</v>
      </c>
      <c r="EO45" s="25">
        <f t="shared" si="125"/>
        <v>0</v>
      </c>
      <c r="EP45" s="25">
        <f t="shared" si="84"/>
        <v>0</v>
      </c>
      <c r="EQ45" s="37"/>
      <c r="ER45" s="25">
        <f t="shared" si="172"/>
        <v>0</v>
      </c>
      <c r="ES45" s="25">
        <f t="shared" si="173"/>
        <v>0</v>
      </c>
      <c r="ET45" s="25">
        <f t="shared" si="85"/>
        <v>0</v>
      </c>
      <c r="EU45" s="25">
        <f t="shared" si="86"/>
        <v>0</v>
      </c>
      <c r="EV45" s="37"/>
      <c r="EW45" s="25">
        <f t="shared" si="174"/>
        <v>0</v>
      </c>
      <c r="EX45" s="25">
        <f t="shared" si="87"/>
        <v>0</v>
      </c>
      <c r="EY45" s="25">
        <f t="shared" si="177"/>
        <v>0</v>
      </c>
      <c r="EZ45" s="37"/>
      <c r="FA45" s="25">
        <f t="shared" si="175"/>
        <v>0</v>
      </c>
      <c r="FB45" s="25"/>
      <c r="FC45" s="25">
        <f t="shared" si="88"/>
        <v>0</v>
      </c>
      <c r="FD45" s="25"/>
      <c r="FE45" s="25"/>
      <c r="FF45" s="25">
        <f t="shared" si="89"/>
        <v>0</v>
      </c>
      <c r="FG45" s="37"/>
      <c r="FH45" s="25">
        <f t="shared" si="90"/>
        <v>0</v>
      </c>
      <c r="FI45" s="25"/>
      <c r="FJ45" s="37"/>
      <c r="FK45" s="37">
        <f t="shared" si="91"/>
        <v>0</v>
      </c>
      <c r="FL45" s="37">
        <f t="shared" si="92"/>
        <v>0</v>
      </c>
      <c r="FM45" s="37"/>
      <c r="FN45" s="37">
        <f t="shared" si="93"/>
        <v>0</v>
      </c>
      <c r="FO45" s="37">
        <f t="shared" si="94"/>
        <v>0</v>
      </c>
      <c r="FP45" s="37">
        <f t="shared" si="95"/>
        <v>0</v>
      </c>
      <c r="FQ45" s="37"/>
      <c r="FR45" s="37"/>
      <c r="FS45" s="37">
        <f t="shared" si="96"/>
        <v>0</v>
      </c>
      <c r="FT45" s="37">
        <f t="shared" si="97"/>
        <v>0</v>
      </c>
      <c r="FU45" s="37">
        <f t="shared" si="98"/>
        <v>0</v>
      </c>
      <c r="FV45" s="100"/>
      <c r="FW45" s="37"/>
      <c r="FX45" s="37">
        <f t="shared" si="99"/>
        <v>0</v>
      </c>
      <c r="FY45" s="37">
        <f t="shared" si="100"/>
        <v>0</v>
      </c>
      <c r="FZ45" s="37">
        <f t="shared" si="101"/>
        <v>0</v>
      </c>
      <c r="GA45" s="37">
        <f t="shared" si="102"/>
        <v>0</v>
      </c>
      <c r="GB45" s="107"/>
      <c r="GC45" s="37"/>
      <c r="GD45" s="26"/>
      <c r="GE45" s="37">
        <f t="shared" si="103"/>
        <v>0</v>
      </c>
      <c r="GF45" s="38"/>
      <c r="GG45" s="37">
        <f t="shared" si="104"/>
        <v>0</v>
      </c>
      <c r="GH45" s="26">
        <f t="shared" si="151"/>
        <v>0</v>
      </c>
      <c r="GI45" s="37">
        <f t="shared" si="152"/>
        <v>0</v>
      </c>
      <c r="GJ45" s="37">
        <f t="shared" si="153"/>
        <v>0</v>
      </c>
      <c r="GK45" s="37">
        <f t="shared" si="154"/>
        <v>0</v>
      </c>
      <c r="GL45" s="37">
        <f t="shared" si="155"/>
        <v>0</v>
      </c>
      <c r="GM45" s="107"/>
      <c r="GN45" s="115"/>
      <c r="GO45" s="113">
        <f t="shared" si="105"/>
        <v>0</v>
      </c>
      <c r="GP45" s="113"/>
      <c r="GQ45" s="113">
        <f t="shared" si="106"/>
        <v>0</v>
      </c>
      <c r="GR45" s="113"/>
      <c r="GS45" s="128">
        <v>0</v>
      </c>
      <c r="GT45" s="128"/>
      <c r="GU45" s="123"/>
      <c r="GV45" s="115"/>
      <c r="GW45" s="99"/>
      <c r="GX45" s="128">
        <f t="shared" si="108"/>
        <v>0</v>
      </c>
      <c r="GY45" s="128">
        <f t="shared" si="109"/>
        <v>0</v>
      </c>
      <c r="GZ45" s="115"/>
      <c r="HA45" s="99"/>
      <c r="HB45" s="128">
        <f t="shared" si="110"/>
        <v>0</v>
      </c>
      <c r="HC45" s="128">
        <f t="shared" si="111"/>
        <v>0</v>
      </c>
      <c r="HD45" s="128">
        <f t="shared" si="112"/>
        <v>0</v>
      </c>
      <c r="HE45" s="115"/>
      <c r="HF45" s="99"/>
      <c r="HG45" s="128">
        <f t="shared" si="126"/>
        <v>0</v>
      </c>
      <c r="HH45" s="128">
        <f t="shared" si="113"/>
        <v>0</v>
      </c>
      <c r="HI45" s="128">
        <f t="shared" si="114"/>
        <v>0</v>
      </c>
      <c r="HJ45" s="115"/>
      <c r="HK45" s="99"/>
      <c r="HL45" s="128">
        <f t="shared" si="115"/>
        <v>0</v>
      </c>
      <c r="HM45" s="128">
        <f t="shared" si="116"/>
        <v>0</v>
      </c>
      <c r="HN45" s="128">
        <f t="shared" si="117"/>
        <v>0</v>
      </c>
      <c r="HO45" s="128">
        <f t="shared" si="118"/>
        <v>0</v>
      </c>
      <c r="HP45" s="115"/>
      <c r="HQ45" s="99"/>
      <c r="HR45" s="128">
        <f t="shared" si="145"/>
        <v>0</v>
      </c>
      <c r="HS45" s="128">
        <f t="shared" si="156"/>
        <v>0</v>
      </c>
      <c r="HT45" s="128">
        <f t="shared" si="157"/>
        <v>0</v>
      </c>
      <c r="HU45" s="128">
        <f t="shared" si="158"/>
        <v>0</v>
      </c>
      <c r="HV45" s="115"/>
      <c r="HW45" s="99"/>
      <c r="HX45" s="128">
        <f t="shared" si="159"/>
        <v>0</v>
      </c>
      <c r="HY45" s="128">
        <f t="shared" si="160"/>
        <v>0</v>
      </c>
      <c r="HZ45" s="128">
        <f t="shared" si="119"/>
        <v>0</v>
      </c>
      <c r="IA45" s="115"/>
      <c r="IB45" s="99"/>
      <c r="IC45" s="115"/>
      <c r="ID45" s="128">
        <f t="shared" si="161"/>
        <v>0</v>
      </c>
      <c r="IE45" s="164">
        <f t="shared" si="21"/>
        <v>0</v>
      </c>
      <c r="IF45" s="185"/>
      <c r="IG45" s="40">
        <f t="shared" si="120"/>
        <v>0</v>
      </c>
      <c r="IH45" s="115"/>
    </row>
    <row r="46" spans="1:242" ht="14.25" customHeight="1" x14ac:dyDescent="0.2">
      <c r="A46" s="17" t="s">
        <v>92</v>
      </c>
      <c r="B46" s="18"/>
      <c r="C46" s="52" t="s">
        <v>155</v>
      </c>
      <c r="D46" s="20"/>
      <c r="E46" s="21"/>
      <c r="F46" s="21"/>
      <c r="G46" s="21"/>
      <c r="H46" s="22"/>
      <c r="I46" s="21"/>
      <c r="J46" s="22"/>
      <c r="K46" s="22"/>
      <c r="L46" s="22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4"/>
      <c r="X46" s="24"/>
      <c r="Y46" s="24">
        <f t="shared" si="23"/>
        <v>0</v>
      </c>
      <c r="Z46" s="25">
        <v>1367409</v>
      </c>
      <c r="AA46" s="25">
        <f t="shared" si="24"/>
        <v>1367409</v>
      </c>
      <c r="AB46" s="25">
        <v>1265038</v>
      </c>
      <c r="AC46" s="25">
        <v>1367409</v>
      </c>
      <c r="AD46" s="26">
        <v>1367409</v>
      </c>
      <c r="AE46" s="25">
        <f t="shared" si="162"/>
        <v>102371</v>
      </c>
      <c r="AF46" s="25">
        <f>AC46-W46+X46</f>
        <v>1367409</v>
      </c>
      <c r="AG46" s="25"/>
      <c r="AH46" s="26">
        <v>1367409</v>
      </c>
      <c r="AI46" s="26">
        <v>1367409</v>
      </c>
      <c r="AJ46" s="25">
        <f t="shared" si="141"/>
        <v>1367409</v>
      </c>
      <c r="AK46" s="25">
        <f t="shared" si="25"/>
        <v>0</v>
      </c>
      <c r="AL46" s="25">
        <f t="shared" si="26"/>
        <v>0</v>
      </c>
      <c r="AM46" s="26">
        <f t="shared" si="27"/>
        <v>1367409</v>
      </c>
      <c r="AN46" s="26">
        <f t="shared" si="28"/>
        <v>0</v>
      </c>
      <c r="AO46" s="26">
        <f t="shared" si="4"/>
        <v>0</v>
      </c>
      <c r="AP46" s="25">
        <v>1367409</v>
      </c>
      <c r="AQ46" s="25">
        <f t="shared" si="5"/>
        <v>1367409</v>
      </c>
      <c r="AR46" s="25">
        <f t="shared" si="29"/>
        <v>0</v>
      </c>
      <c r="AS46" s="25">
        <f t="shared" si="30"/>
        <v>1367409</v>
      </c>
      <c r="AT46" s="25"/>
      <c r="AU46" s="25">
        <f t="shared" si="31"/>
        <v>1367409</v>
      </c>
      <c r="AV46" s="25">
        <v>1405317</v>
      </c>
      <c r="AW46" s="25">
        <f t="shared" si="32"/>
        <v>37908</v>
      </c>
      <c r="AX46" s="25">
        <v>1405317</v>
      </c>
      <c r="AY46" s="26">
        <f t="shared" si="123"/>
        <v>37908</v>
      </c>
      <c r="AZ46" s="26">
        <f t="shared" si="124"/>
        <v>0</v>
      </c>
      <c r="BA46" s="25">
        <v>1405317</v>
      </c>
      <c r="BB46" s="25">
        <f t="shared" si="33"/>
        <v>37908</v>
      </c>
      <c r="BC46" s="25">
        <f t="shared" si="34"/>
        <v>0</v>
      </c>
      <c r="BD46" s="25">
        <f t="shared" si="35"/>
        <v>0</v>
      </c>
      <c r="BE46" s="25">
        <v>1405317</v>
      </c>
      <c r="BF46" s="25">
        <v>1405317</v>
      </c>
      <c r="BG46" s="25">
        <v>1405317</v>
      </c>
      <c r="BH46" s="25">
        <f t="shared" si="36"/>
        <v>37908</v>
      </c>
      <c r="BI46" s="25">
        <f t="shared" si="37"/>
        <v>0</v>
      </c>
      <c r="BJ46" s="25">
        <f t="shared" si="38"/>
        <v>0</v>
      </c>
      <c r="BK46" s="8">
        <f t="shared" si="39"/>
        <v>0</v>
      </c>
      <c r="BL46" s="25"/>
      <c r="BM46" s="29">
        <f t="shared" si="40"/>
        <v>1405317</v>
      </c>
      <c r="BN46" s="38">
        <v>1842712</v>
      </c>
      <c r="BO46" s="27">
        <f t="shared" si="41"/>
        <v>437395</v>
      </c>
      <c r="BP46" s="38">
        <v>1405317</v>
      </c>
      <c r="BQ46" s="41">
        <f t="shared" si="42"/>
        <v>0</v>
      </c>
      <c r="BR46" s="41">
        <f t="shared" si="43"/>
        <v>-437395</v>
      </c>
      <c r="BS46" s="38">
        <f>BP46</f>
        <v>1405317</v>
      </c>
      <c r="BT46" s="42">
        <f t="shared" si="44"/>
        <v>0</v>
      </c>
      <c r="BU46" s="42">
        <f t="shared" si="45"/>
        <v>-437395</v>
      </c>
      <c r="BV46" s="42">
        <f t="shared" si="46"/>
        <v>0</v>
      </c>
      <c r="BW46" s="38">
        <v>1842412</v>
      </c>
      <c r="BX46" s="41">
        <f t="shared" si="47"/>
        <v>437095</v>
      </c>
      <c r="BY46" s="41">
        <f t="shared" si="48"/>
        <v>-300</v>
      </c>
      <c r="BZ46" s="41">
        <f t="shared" si="49"/>
        <v>437095</v>
      </c>
      <c r="CA46" s="38">
        <v>1842412</v>
      </c>
      <c r="CB46" s="8">
        <f t="shared" si="50"/>
        <v>437095</v>
      </c>
      <c r="CC46" s="8">
        <f t="shared" si="51"/>
        <v>-300</v>
      </c>
      <c r="CD46" s="8">
        <f t="shared" si="6"/>
        <v>437095</v>
      </c>
      <c r="CE46" s="8">
        <f t="shared" si="52"/>
        <v>0</v>
      </c>
      <c r="CF46" s="38">
        <v>1842412</v>
      </c>
      <c r="CG46" s="8">
        <f t="shared" si="53"/>
        <v>437095</v>
      </c>
      <c r="CH46" s="8">
        <f t="shared" si="54"/>
        <v>-300</v>
      </c>
      <c r="CI46" s="8">
        <f t="shared" si="55"/>
        <v>437095</v>
      </c>
      <c r="CJ46" s="8">
        <f t="shared" si="56"/>
        <v>0</v>
      </c>
      <c r="CK46" s="38">
        <v>1842412</v>
      </c>
      <c r="CL46" s="8">
        <f t="shared" si="7"/>
        <v>437095</v>
      </c>
      <c r="CM46" s="8">
        <f t="shared" si="57"/>
        <v>-300</v>
      </c>
      <c r="CN46" s="8">
        <f t="shared" si="58"/>
        <v>0</v>
      </c>
      <c r="CO46" s="38">
        <v>1806680</v>
      </c>
      <c r="CP46" s="38">
        <f t="shared" si="59"/>
        <v>-36032</v>
      </c>
      <c r="CQ46" s="8">
        <f t="shared" si="60"/>
        <v>-35732</v>
      </c>
      <c r="CR46" s="38">
        <v>1806680</v>
      </c>
      <c r="CS46" s="27"/>
      <c r="CT46" s="38">
        <f t="shared" si="61"/>
        <v>1806680</v>
      </c>
      <c r="CU46" s="8">
        <f t="shared" si="62"/>
        <v>-35732</v>
      </c>
      <c r="CV46" s="38">
        <f t="shared" si="63"/>
        <v>0</v>
      </c>
      <c r="CW46" s="38">
        <f t="shared" si="64"/>
        <v>0</v>
      </c>
      <c r="CX46" s="38">
        <v>1824546</v>
      </c>
      <c r="CY46" s="8">
        <f t="shared" si="65"/>
        <v>-17866</v>
      </c>
      <c r="CZ46" s="38">
        <f t="shared" si="66"/>
        <v>17866</v>
      </c>
      <c r="DA46" s="38">
        <f t="shared" si="67"/>
        <v>17866</v>
      </c>
      <c r="DB46" s="38">
        <v>1824546</v>
      </c>
      <c r="DC46" s="8">
        <f t="shared" si="68"/>
        <v>-17866</v>
      </c>
      <c r="DD46" s="38">
        <f t="shared" si="69"/>
        <v>17866</v>
      </c>
      <c r="DE46" s="38">
        <f t="shared" si="70"/>
        <v>17866</v>
      </c>
      <c r="DF46" s="38">
        <f t="shared" si="71"/>
        <v>0</v>
      </c>
      <c r="DG46" s="38">
        <v>1824546</v>
      </c>
      <c r="DH46" s="40">
        <f t="shared" si="72"/>
        <v>-17866</v>
      </c>
      <c r="DI46" s="38">
        <f t="shared" si="73"/>
        <v>17866</v>
      </c>
      <c r="DJ46" s="38">
        <f t="shared" si="74"/>
        <v>17866</v>
      </c>
      <c r="DK46" s="38">
        <f t="shared" si="75"/>
        <v>0</v>
      </c>
      <c r="DL46" s="38"/>
      <c r="DM46" s="38">
        <f t="shared" si="76"/>
        <v>1824546</v>
      </c>
      <c r="DN46" s="38">
        <v>1824546</v>
      </c>
      <c r="DO46" s="38">
        <f t="shared" si="77"/>
        <v>-17866</v>
      </c>
      <c r="DP46" s="38"/>
      <c r="DQ46" s="38">
        <v>0</v>
      </c>
      <c r="DR46" s="38">
        <f t="shared" si="78"/>
        <v>1824546</v>
      </c>
      <c r="DS46" s="38">
        <f t="shared" si="79"/>
        <v>-17866</v>
      </c>
      <c r="DT46" s="38"/>
      <c r="DU46" s="38">
        <f t="shared" si="80"/>
        <v>1824546</v>
      </c>
      <c r="DV46" s="38">
        <f t="shared" si="81"/>
        <v>-17866</v>
      </c>
      <c r="DW46" s="38">
        <v>1824546</v>
      </c>
      <c r="DX46" s="38">
        <v>2065969</v>
      </c>
      <c r="DY46" s="8">
        <f t="shared" si="163"/>
        <v>241423</v>
      </c>
      <c r="DZ46" s="40">
        <v>1824546</v>
      </c>
      <c r="EA46" s="8">
        <f t="shared" si="164"/>
        <v>0</v>
      </c>
      <c r="EB46" s="8">
        <f t="shared" si="165"/>
        <v>-241423</v>
      </c>
      <c r="EC46" s="60"/>
      <c r="ED46" s="37">
        <v>1824546</v>
      </c>
      <c r="EE46" s="25">
        <f t="shared" si="166"/>
        <v>0</v>
      </c>
      <c r="EF46" s="25">
        <f t="shared" si="167"/>
        <v>-241423</v>
      </c>
      <c r="EG46" s="25">
        <f t="shared" si="82"/>
        <v>0</v>
      </c>
      <c r="EH46" s="37">
        <v>1865969</v>
      </c>
      <c r="EI46" s="25">
        <f t="shared" si="168"/>
        <v>41423</v>
      </c>
      <c r="EJ46" s="25">
        <f t="shared" si="169"/>
        <v>-200000</v>
      </c>
      <c r="EK46" s="25">
        <f t="shared" si="83"/>
        <v>41423</v>
      </c>
      <c r="EL46" s="37">
        <v>1865969</v>
      </c>
      <c r="EM46" s="25">
        <f t="shared" si="170"/>
        <v>41423</v>
      </c>
      <c r="EN46" s="25">
        <f t="shared" si="171"/>
        <v>-200000</v>
      </c>
      <c r="EO46" s="25">
        <f t="shared" si="125"/>
        <v>41423</v>
      </c>
      <c r="EP46" s="25">
        <f t="shared" si="84"/>
        <v>0</v>
      </c>
      <c r="EQ46" s="37">
        <v>1824546</v>
      </c>
      <c r="ER46" s="25">
        <f t="shared" si="172"/>
        <v>0</v>
      </c>
      <c r="ES46" s="25">
        <f t="shared" si="173"/>
        <v>-241423</v>
      </c>
      <c r="ET46" s="25">
        <f t="shared" si="85"/>
        <v>0</v>
      </c>
      <c r="EU46" s="25">
        <f t="shared" si="86"/>
        <v>-41423</v>
      </c>
      <c r="EV46" s="37">
        <v>1824546</v>
      </c>
      <c r="EW46" s="25">
        <f t="shared" si="174"/>
        <v>0</v>
      </c>
      <c r="EX46" s="25">
        <f t="shared" si="87"/>
        <v>0</v>
      </c>
      <c r="EY46" s="25">
        <f t="shared" si="177"/>
        <v>0</v>
      </c>
      <c r="EZ46" s="37">
        <v>1824546</v>
      </c>
      <c r="FA46" s="25">
        <f t="shared" si="175"/>
        <v>0</v>
      </c>
      <c r="FB46" s="25"/>
      <c r="FC46" s="25">
        <f t="shared" si="88"/>
        <v>1824546</v>
      </c>
      <c r="FD46" s="25">
        <f>1750519-1824546</f>
        <v>-74027</v>
      </c>
      <c r="FE46" s="25"/>
      <c r="FF46" s="25">
        <f t="shared" si="89"/>
        <v>1750519</v>
      </c>
      <c r="FG46" s="37">
        <v>1748106</v>
      </c>
      <c r="FH46" s="25">
        <f t="shared" si="90"/>
        <v>-2413</v>
      </c>
      <c r="FI46" s="25"/>
      <c r="FJ46" s="37">
        <v>1746349</v>
      </c>
      <c r="FK46" s="37">
        <f t="shared" si="91"/>
        <v>-4170</v>
      </c>
      <c r="FL46" s="37">
        <f t="shared" si="92"/>
        <v>-1757</v>
      </c>
      <c r="FM46" s="37">
        <v>1746349</v>
      </c>
      <c r="FN46" s="37">
        <f t="shared" si="93"/>
        <v>-4170</v>
      </c>
      <c r="FO46" s="37">
        <f t="shared" si="94"/>
        <v>-1757</v>
      </c>
      <c r="FP46" s="37">
        <f t="shared" si="95"/>
        <v>0</v>
      </c>
      <c r="FQ46" s="37"/>
      <c r="FR46" s="37">
        <v>1748106</v>
      </c>
      <c r="FS46" s="37">
        <f t="shared" si="96"/>
        <v>-2413</v>
      </c>
      <c r="FT46" s="37">
        <f t="shared" si="97"/>
        <v>0</v>
      </c>
      <c r="FU46" s="37">
        <f t="shared" si="98"/>
        <v>1757</v>
      </c>
      <c r="FV46" s="100"/>
      <c r="FW46" s="37">
        <v>1748106</v>
      </c>
      <c r="FX46" s="37">
        <f t="shared" si="99"/>
        <v>-2413</v>
      </c>
      <c r="FY46" s="37">
        <f t="shared" si="100"/>
        <v>0</v>
      </c>
      <c r="FZ46" s="37">
        <f t="shared" si="101"/>
        <v>1757</v>
      </c>
      <c r="GA46" s="37">
        <f t="shared" si="102"/>
        <v>0</v>
      </c>
      <c r="GB46" s="107"/>
      <c r="GC46" s="37">
        <v>1746349</v>
      </c>
      <c r="GD46" s="26"/>
      <c r="GE46" s="37">
        <f t="shared" si="103"/>
        <v>1746349</v>
      </c>
      <c r="GF46" s="38"/>
      <c r="GG46" s="37">
        <f t="shared" si="104"/>
        <v>1746349</v>
      </c>
      <c r="GH46" s="26">
        <f t="shared" si="151"/>
        <v>-4170</v>
      </c>
      <c r="GI46" s="37">
        <f t="shared" si="152"/>
        <v>-1757</v>
      </c>
      <c r="GJ46" s="37">
        <f t="shared" si="153"/>
        <v>0</v>
      </c>
      <c r="GK46" s="37">
        <f t="shared" si="154"/>
        <v>-1757</v>
      </c>
      <c r="GL46" s="37">
        <f t="shared" si="155"/>
        <v>0</v>
      </c>
      <c r="GM46" s="107"/>
      <c r="GN46" s="115"/>
      <c r="GO46" s="113">
        <f t="shared" si="105"/>
        <v>1746349</v>
      </c>
      <c r="GP46" s="113"/>
      <c r="GQ46" s="113">
        <f t="shared" si="106"/>
        <v>1746349</v>
      </c>
      <c r="GR46" s="113"/>
      <c r="GS46" s="128">
        <v>1746349</v>
      </c>
      <c r="GT46" s="128">
        <v>1746349</v>
      </c>
      <c r="GU46" s="123">
        <f>GT46-GS46</f>
        <v>0</v>
      </c>
      <c r="GV46" s="115"/>
      <c r="GW46" s="99">
        <v>1746349</v>
      </c>
      <c r="GX46" s="128">
        <f t="shared" si="108"/>
        <v>0</v>
      </c>
      <c r="GY46" s="128">
        <f t="shared" si="109"/>
        <v>0</v>
      </c>
      <c r="GZ46" s="115"/>
      <c r="HA46" s="99">
        <v>1746349</v>
      </c>
      <c r="HB46" s="128">
        <f t="shared" si="110"/>
        <v>0</v>
      </c>
      <c r="HC46" s="128">
        <f t="shared" si="111"/>
        <v>0</v>
      </c>
      <c r="HD46" s="128">
        <f t="shared" si="112"/>
        <v>0</v>
      </c>
      <c r="HE46" s="115"/>
      <c r="HF46" s="99">
        <v>1746349</v>
      </c>
      <c r="HG46" s="128">
        <f t="shared" si="126"/>
        <v>0</v>
      </c>
      <c r="HH46" s="128">
        <f t="shared" si="113"/>
        <v>0</v>
      </c>
      <c r="HI46" s="128">
        <f t="shared" si="114"/>
        <v>0</v>
      </c>
      <c r="HJ46" s="115"/>
      <c r="HK46" s="99">
        <v>1746349</v>
      </c>
      <c r="HL46" s="128">
        <f t="shared" si="115"/>
        <v>0</v>
      </c>
      <c r="HM46" s="128">
        <f t="shared" si="116"/>
        <v>0</v>
      </c>
      <c r="HN46" s="128">
        <f t="shared" si="117"/>
        <v>0</v>
      </c>
      <c r="HO46" s="128">
        <f t="shared" si="118"/>
        <v>0</v>
      </c>
      <c r="HP46" s="115"/>
      <c r="HQ46" s="99">
        <v>1746349</v>
      </c>
      <c r="HR46" s="128">
        <f t="shared" si="145"/>
        <v>0</v>
      </c>
      <c r="HS46" s="128">
        <f t="shared" si="156"/>
        <v>0</v>
      </c>
      <c r="HT46" s="128">
        <f t="shared" si="157"/>
        <v>0</v>
      </c>
      <c r="HU46" s="128">
        <f t="shared" si="158"/>
        <v>0</v>
      </c>
      <c r="HV46" s="115"/>
      <c r="HW46" s="99">
        <v>1746349</v>
      </c>
      <c r="HX46" s="128">
        <f t="shared" si="159"/>
        <v>0</v>
      </c>
      <c r="HY46" s="128">
        <f t="shared" si="160"/>
        <v>0</v>
      </c>
      <c r="HZ46" s="128">
        <f t="shared" si="119"/>
        <v>0</v>
      </c>
      <c r="IA46" s="115"/>
      <c r="IB46" s="99">
        <v>1746349</v>
      </c>
      <c r="IC46" s="115"/>
      <c r="ID46" s="128">
        <f t="shared" si="161"/>
        <v>1746349</v>
      </c>
      <c r="IE46" s="164">
        <f t="shared" si="21"/>
        <v>0</v>
      </c>
      <c r="IF46" s="185">
        <v>1767453</v>
      </c>
      <c r="IG46" s="40">
        <f t="shared" si="120"/>
        <v>21104</v>
      </c>
      <c r="IH46" s="115"/>
    </row>
    <row r="47" spans="1:242" ht="12.75" hidden="1" customHeight="1" x14ac:dyDescent="0.2">
      <c r="A47" s="17" t="s">
        <v>23</v>
      </c>
      <c r="B47" s="18"/>
      <c r="C47" s="52" t="s">
        <v>139</v>
      </c>
      <c r="D47" s="20">
        <v>1820065</v>
      </c>
      <c r="E47" s="21">
        <v>2032758</v>
      </c>
      <c r="F47" s="21">
        <v>1860686</v>
      </c>
      <c r="G47" s="21">
        <f>1546270+50000</f>
        <v>1596270</v>
      </c>
      <c r="H47" s="22">
        <v>-50000</v>
      </c>
      <c r="I47" s="21">
        <f t="shared" si="0"/>
        <v>1546270</v>
      </c>
      <c r="J47" s="22">
        <v>-26927</v>
      </c>
      <c r="K47" s="22"/>
      <c r="L47" s="22">
        <f t="shared" si="1"/>
        <v>-26927</v>
      </c>
      <c r="M47" s="23">
        <f t="shared" si="22"/>
        <v>1519343</v>
      </c>
      <c r="N47" s="23">
        <v>1519343</v>
      </c>
      <c r="O47" s="23">
        <v>1488306</v>
      </c>
      <c r="P47" s="23">
        <v>1488306</v>
      </c>
      <c r="Q47" s="23">
        <v>1367409</v>
      </c>
      <c r="R47" s="23">
        <v>1488306</v>
      </c>
      <c r="S47" s="23">
        <v>8.1229999999999997E-2</v>
      </c>
      <c r="T47" s="23">
        <f t="shared" si="121"/>
        <v>-120895.09637999999</v>
      </c>
      <c r="U47" s="23">
        <f t="shared" si="122"/>
        <v>1367410.90362</v>
      </c>
      <c r="V47" s="23">
        <f t="shared" ref="V47:V56" si="178">U47-M47</f>
        <v>-151932.09638</v>
      </c>
      <c r="W47" s="24">
        <v>1367409</v>
      </c>
      <c r="X47" s="24"/>
      <c r="Y47" s="24">
        <f t="shared" si="23"/>
        <v>1367409</v>
      </c>
      <c r="Z47" s="25">
        <v>0</v>
      </c>
      <c r="AA47" s="25">
        <f t="shared" si="24"/>
        <v>-1367409</v>
      </c>
      <c r="AB47" s="25"/>
      <c r="AC47" s="25"/>
      <c r="AD47" s="26"/>
      <c r="AE47" s="25"/>
      <c r="AF47" s="25">
        <f>AC47-W47+X47</f>
        <v>-1367409</v>
      </c>
      <c r="AG47" s="25"/>
      <c r="AH47" s="26"/>
      <c r="AI47" s="26"/>
      <c r="AJ47" s="25">
        <f t="shared" si="141"/>
        <v>-1367409</v>
      </c>
      <c r="AK47" s="25">
        <f t="shared" si="25"/>
        <v>0</v>
      </c>
      <c r="AL47" s="25">
        <f t="shared" si="26"/>
        <v>0</v>
      </c>
      <c r="AM47" s="26">
        <f t="shared" si="27"/>
        <v>-1367409</v>
      </c>
      <c r="AN47" s="26">
        <f t="shared" si="28"/>
        <v>0</v>
      </c>
      <c r="AO47" s="26">
        <f t="shared" si="4"/>
        <v>0</v>
      </c>
      <c r="AP47" s="25"/>
      <c r="AQ47" s="25">
        <f t="shared" si="5"/>
        <v>-1367409</v>
      </c>
      <c r="AR47" s="25">
        <f t="shared" si="29"/>
        <v>0</v>
      </c>
      <c r="AS47" s="25">
        <f t="shared" si="30"/>
        <v>-1367409</v>
      </c>
      <c r="AT47" s="25"/>
      <c r="AU47" s="25">
        <f t="shared" si="31"/>
        <v>0</v>
      </c>
      <c r="AV47" s="25">
        <v>0</v>
      </c>
      <c r="AW47" s="25">
        <f t="shared" si="32"/>
        <v>0</v>
      </c>
      <c r="AX47" s="25">
        <v>0</v>
      </c>
      <c r="AY47" s="26">
        <f t="shared" si="123"/>
        <v>0</v>
      </c>
      <c r="AZ47" s="26">
        <f t="shared" si="124"/>
        <v>0</v>
      </c>
      <c r="BA47" s="25">
        <v>0</v>
      </c>
      <c r="BB47" s="25">
        <f t="shared" si="33"/>
        <v>0</v>
      </c>
      <c r="BC47" s="25">
        <f t="shared" si="34"/>
        <v>0</v>
      </c>
      <c r="BD47" s="25">
        <f t="shared" si="35"/>
        <v>0</v>
      </c>
      <c r="BE47" s="25"/>
      <c r="BF47" s="25"/>
      <c r="BG47" s="25"/>
      <c r="BH47" s="25">
        <f t="shared" si="36"/>
        <v>0</v>
      </c>
      <c r="BI47" s="25">
        <f t="shared" si="37"/>
        <v>0</v>
      </c>
      <c r="BJ47" s="25">
        <f t="shared" si="38"/>
        <v>0</v>
      </c>
      <c r="BK47" s="8">
        <f t="shared" si="39"/>
        <v>0</v>
      </c>
      <c r="BL47" s="25"/>
      <c r="BM47" s="25">
        <f t="shared" si="40"/>
        <v>0</v>
      </c>
      <c r="BN47" s="37"/>
      <c r="BO47" s="26">
        <f t="shared" si="41"/>
        <v>0</v>
      </c>
      <c r="BP47" s="37">
        <v>0</v>
      </c>
      <c r="BQ47" s="8">
        <f t="shared" si="42"/>
        <v>0</v>
      </c>
      <c r="BR47" s="8">
        <f t="shared" si="43"/>
        <v>0</v>
      </c>
      <c r="BS47" s="37"/>
      <c r="BT47" s="40">
        <f t="shared" si="44"/>
        <v>0</v>
      </c>
      <c r="BU47" s="40">
        <f t="shared" si="45"/>
        <v>0</v>
      </c>
      <c r="BV47" s="40">
        <f t="shared" si="46"/>
        <v>0</v>
      </c>
      <c r="BW47" s="38"/>
      <c r="BX47" s="8">
        <f t="shared" si="47"/>
        <v>0</v>
      </c>
      <c r="BY47" s="8">
        <f t="shared" si="48"/>
        <v>0</v>
      </c>
      <c r="BZ47" s="8">
        <f t="shared" si="49"/>
        <v>0</v>
      </c>
      <c r="CA47" s="38"/>
      <c r="CB47" s="8">
        <f t="shared" si="50"/>
        <v>0</v>
      </c>
      <c r="CC47" s="8">
        <f t="shared" si="51"/>
        <v>0</v>
      </c>
      <c r="CD47" s="8">
        <f t="shared" si="6"/>
        <v>0</v>
      </c>
      <c r="CE47" s="8">
        <f t="shared" si="52"/>
        <v>0</v>
      </c>
      <c r="CF47" s="38"/>
      <c r="CG47" s="8">
        <f t="shared" si="53"/>
        <v>0</v>
      </c>
      <c r="CH47" s="8">
        <f t="shared" si="54"/>
        <v>0</v>
      </c>
      <c r="CI47" s="8">
        <f t="shared" si="55"/>
        <v>0</v>
      </c>
      <c r="CJ47" s="8">
        <f t="shared" si="56"/>
        <v>0</v>
      </c>
      <c r="CK47" s="38"/>
      <c r="CL47" s="8">
        <f t="shared" si="7"/>
        <v>0</v>
      </c>
      <c r="CM47" s="8">
        <f t="shared" si="57"/>
        <v>0</v>
      </c>
      <c r="CN47" s="8">
        <f t="shared" si="58"/>
        <v>0</v>
      </c>
      <c r="CO47" s="38"/>
      <c r="CP47" s="38">
        <f t="shared" si="59"/>
        <v>0</v>
      </c>
      <c r="CQ47" s="8">
        <f t="shared" si="60"/>
        <v>0</v>
      </c>
      <c r="CR47" s="38"/>
      <c r="CS47" s="27"/>
      <c r="CT47" s="38">
        <f t="shared" si="61"/>
        <v>0</v>
      </c>
      <c r="CU47" s="8">
        <f t="shared" si="62"/>
        <v>0</v>
      </c>
      <c r="CV47" s="38">
        <f t="shared" si="63"/>
        <v>0</v>
      </c>
      <c r="CW47" s="38">
        <f t="shared" si="64"/>
        <v>0</v>
      </c>
      <c r="CX47" s="38"/>
      <c r="CY47" s="8">
        <f t="shared" si="65"/>
        <v>0</v>
      </c>
      <c r="CZ47" s="38">
        <f t="shared" si="66"/>
        <v>0</v>
      </c>
      <c r="DA47" s="38">
        <f t="shared" si="67"/>
        <v>0</v>
      </c>
      <c r="DB47" s="38"/>
      <c r="DC47" s="8">
        <f t="shared" si="68"/>
        <v>0</v>
      </c>
      <c r="DD47" s="38">
        <f t="shared" si="69"/>
        <v>0</v>
      </c>
      <c r="DE47" s="38">
        <f t="shared" si="70"/>
        <v>0</v>
      </c>
      <c r="DF47" s="38">
        <f t="shared" si="71"/>
        <v>0</v>
      </c>
      <c r="DG47" s="38"/>
      <c r="DH47" s="40">
        <f t="shared" si="72"/>
        <v>0</v>
      </c>
      <c r="DI47" s="38">
        <f t="shared" si="73"/>
        <v>0</v>
      </c>
      <c r="DJ47" s="38">
        <f t="shared" si="74"/>
        <v>0</v>
      </c>
      <c r="DK47" s="38">
        <f t="shared" si="75"/>
        <v>0</v>
      </c>
      <c r="DL47" s="38"/>
      <c r="DM47" s="38">
        <f t="shared" si="76"/>
        <v>0</v>
      </c>
      <c r="DN47" s="38"/>
      <c r="DO47" s="38">
        <f t="shared" si="77"/>
        <v>0</v>
      </c>
      <c r="DP47" s="38"/>
      <c r="DQ47" s="38"/>
      <c r="DR47" s="38">
        <f t="shared" si="78"/>
        <v>0</v>
      </c>
      <c r="DS47" s="38">
        <f t="shared" si="79"/>
        <v>0</v>
      </c>
      <c r="DT47" s="38"/>
      <c r="DU47" s="38">
        <f t="shared" si="80"/>
        <v>0</v>
      </c>
      <c r="DV47" s="38">
        <f t="shared" si="81"/>
        <v>0</v>
      </c>
      <c r="DW47" s="38">
        <v>0</v>
      </c>
      <c r="DX47" s="38"/>
      <c r="DY47" s="8">
        <f t="shared" si="163"/>
        <v>0</v>
      </c>
      <c r="DZ47" s="40"/>
      <c r="EA47" s="8">
        <f t="shared" si="164"/>
        <v>0</v>
      </c>
      <c r="EB47" s="8">
        <f t="shared" si="165"/>
        <v>0</v>
      </c>
      <c r="EC47" s="60"/>
      <c r="ED47" s="37"/>
      <c r="EE47" s="25">
        <f t="shared" si="166"/>
        <v>0</v>
      </c>
      <c r="EF47" s="25">
        <f t="shared" si="167"/>
        <v>0</v>
      </c>
      <c r="EG47" s="25">
        <f t="shared" si="82"/>
        <v>0</v>
      </c>
      <c r="EH47" s="37"/>
      <c r="EI47" s="25">
        <f t="shared" si="168"/>
        <v>0</v>
      </c>
      <c r="EJ47" s="25">
        <f t="shared" si="169"/>
        <v>0</v>
      </c>
      <c r="EK47" s="25">
        <f t="shared" si="83"/>
        <v>0</v>
      </c>
      <c r="EL47" s="37"/>
      <c r="EM47" s="25">
        <f t="shared" si="170"/>
        <v>0</v>
      </c>
      <c r="EN47" s="25">
        <f t="shared" si="171"/>
        <v>0</v>
      </c>
      <c r="EO47" s="25">
        <f t="shared" si="125"/>
        <v>0</v>
      </c>
      <c r="EP47" s="25">
        <f t="shared" si="84"/>
        <v>0</v>
      </c>
      <c r="EQ47" s="37"/>
      <c r="ER47" s="25">
        <f t="shared" si="172"/>
        <v>0</v>
      </c>
      <c r="ES47" s="25">
        <f t="shared" si="173"/>
        <v>0</v>
      </c>
      <c r="ET47" s="25">
        <f t="shared" si="85"/>
        <v>0</v>
      </c>
      <c r="EU47" s="25">
        <f t="shared" si="86"/>
        <v>0</v>
      </c>
      <c r="EV47" s="37"/>
      <c r="EW47" s="25">
        <f t="shared" si="174"/>
        <v>0</v>
      </c>
      <c r="EX47" s="25">
        <f t="shared" si="87"/>
        <v>0</v>
      </c>
      <c r="EY47" s="25">
        <f t="shared" si="177"/>
        <v>0</v>
      </c>
      <c r="EZ47" s="37"/>
      <c r="FA47" s="25">
        <f t="shared" si="175"/>
        <v>0</v>
      </c>
      <c r="FB47" s="25"/>
      <c r="FC47" s="25">
        <f t="shared" si="88"/>
        <v>0</v>
      </c>
      <c r="FD47" s="25"/>
      <c r="FE47" s="25"/>
      <c r="FF47" s="25">
        <f t="shared" si="89"/>
        <v>0</v>
      </c>
      <c r="FG47" s="37"/>
      <c r="FH47" s="25">
        <f t="shared" si="90"/>
        <v>0</v>
      </c>
      <c r="FI47" s="25"/>
      <c r="FJ47" s="37"/>
      <c r="FK47" s="37">
        <f t="shared" si="91"/>
        <v>0</v>
      </c>
      <c r="FL47" s="37">
        <f t="shared" si="92"/>
        <v>0</v>
      </c>
      <c r="FM47" s="37"/>
      <c r="FN47" s="37">
        <f t="shared" si="93"/>
        <v>0</v>
      </c>
      <c r="FO47" s="37">
        <f t="shared" si="94"/>
        <v>0</v>
      </c>
      <c r="FP47" s="37">
        <f t="shared" si="95"/>
        <v>0</v>
      </c>
      <c r="FQ47" s="37"/>
      <c r="FR47" s="37"/>
      <c r="FS47" s="37">
        <f t="shared" si="96"/>
        <v>0</v>
      </c>
      <c r="FT47" s="37">
        <f t="shared" si="97"/>
        <v>0</v>
      </c>
      <c r="FU47" s="37">
        <f t="shared" si="98"/>
        <v>0</v>
      </c>
      <c r="FV47" s="100"/>
      <c r="FW47" s="37"/>
      <c r="FX47" s="37">
        <f t="shared" si="99"/>
        <v>0</v>
      </c>
      <c r="FY47" s="37">
        <f t="shared" si="100"/>
        <v>0</v>
      </c>
      <c r="FZ47" s="37">
        <f t="shared" si="101"/>
        <v>0</v>
      </c>
      <c r="GA47" s="37">
        <f t="shared" si="102"/>
        <v>0</v>
      </c>
      <c r="GB47" s="107"/>
      <c r="GC47" s="37"/>
      <c r="GD47" s="26"/>
      <c r="GE47" s="37">
        <f t="shared" si="103"/>
        <v>0</v>
      </c>
      <c r="GF47" s="38"/>
      <c r="GG47" s="37">
        <f t="shared" si="104"/>
        <v>0</v>
      </c>
      <c r="GH47" s="26">
        <f t="shared" si="151"/>
        <v>0</v>
      </c>
      <c r="GI47" s="37">
        <f t="shared" si="152"/>
        <v>0</v>
      </c>
      <c r="GJ47" s="37">
        <f t="shared" si="153"/>
        <v>0</v>
      </c>
      <c r="GK47" s="37">
        <f t="shared" si="154"/>
        <v>0</v>
      </c>
      <c r="GL47" s="37">
        <f t="shared" si="155"/>
        <v>0</v>
      </c>
      <c r="GM47" s="107"/>
      <c r="GN47" s="115"/>
      <c r="GO47" s="113">
        <f t="shared" si="105"/>
        <v>0</v>
      </c>
      <c r="GP47" s="113"/>
      <c r="GQ47" s="113">
        <f t="shared" si="106"/>
        <v>0</v>
      </c>
      <c r="GR47" s="113"/>
      <c r="GS47" s="128">
        <v>0</v>
      </c>
      <c r="GT47" s="128"/>
      <c r="GU47" s="123"/>
      <c r="GV47" s="115"/>
      <c r="GW47" s="99"/>
      <c r="GX47" s="128">
        <f t="shared" si="108"/>
        <v>0</v>
      </c>
      <c r="GY47" s="128">
        <f t="shared" si="109"/>
        <v>0</v>
      </c>
      <c r="GZ47" s="115"/>
      <c r="HA47" s="99"/>
      <c r="HB47" s="128">
        <f t="shared" si="110"/>
        <v>0</v>
      </c>
      <c r="HC47" s="128">
        <f t="shared" si="111"/>
        <v>0</v>
      </c>
      <c r="HD47" s="128">
        <f t="shared" si="112"/>
        <v>0</v>
      </c>
      <c r="HE47" s="115"/>
      <c r="HF47" s="99"/>
      <c r="HG47" s="128">
        <f t="shared" si="126"/>
        <v>0</v>
      </c>
      <c r="HH47" s="128">
        <f t="shared" si="113"/>
        <v>0</v>
      </c>
      <c r="HI47" s="128">
        <f t="shared" si="114"/>
        <v>0</v>
      </c>
      <c r="HJ47" s="115"/>
      <c r="HK47" s="99"/>
      <c r="HL47" s="128">
        <f t="shared" si="115"/>
        <v>0</v>
      </c>
      <c r="HM47" s="128">
        <f t="shared" si="116"/>
        <v>0</v>
      </c>
      <c r="HN47" s="128">
        <f t="shared" si="117"/>
        <v>0</v>
      </c>
      <c r="HO47" s="128">
        <f t="shared" si="118"/>
        <v>0</v>
      </c>
      <c r="HP47" s="115"/>
      <c r="HQ47" s="99"/>
      <c r="HR47" s="128">
        <f t="shared" si="145"/>
        <v>0</v>
      </c>
      <c r="HS47" s="128">
        <f t="shared" si="156"/>
        <v>0</v>
      </c>
      <c r="HT47" s="128">
        <f t="shared" si="157"/>
        <v>0</v>
      </c>
      <c r="HU47" s="128">
        <f t="shared" si="158"/>
        <v>0</v>
      </c>
      <c r="HV47" s="115"/>
      <c r="HW47" s="99"/>
      <c r="HX47" s="128">
        <f t="shared" si="159"/>
        <v>0</v>
      </c>
      <c r="HY47" s="128">
        <f t="shared" si="160"/>
        <v>0</v>
      </c>
      <c r="HZ47" s="128">
        <f t="shared" si="119"/>
        <v>0</v>
      </c>
      <c r="IA47" s="115"/>
      <c r="IB47" s="99"/>
      <c r="IC47" s="115"/>
      <c r="ID47" s="128">
        <f t="shared" si="161"/>
        <v>0</v>
      </c>
      <c r="IE47" s="164">
        <f t="shared" si="21"/>
        <v>0</v>
      </c>
      <c r="IF47" s="185"/>
      <c r="IG47" s="40">
        <f t="shared" si="120"/>
        <v>0</v>
      </c>
      <c r="IH47" s="115"/>
    </row>
    <row r="48" spans="1:242" ht="12.75" customHeight="1" x14ac:dyDescent="0.2">
      <c r="A48" s="39" t="s">
        <v>534</v>
      </c>
      <c r="B48" s="18"/>
      <c r="C48" s="51" t="s">
        <v>535</v>
      </c>
      <c r="D48" s="20"/>
      <c r="E48" s="21"/>
      <c r="F48" s="21"/>
      <c r="G48" s="21"/>
      <c r="H48" s="22"/>
      <c r="I48" s="21"/>
      <c r="J48" s="22"/>
      <c r="K48" s="22"/>
      <c r="L48" s="22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4"/>
      <c r="X48" s="24"/>
      <c r="Y48" s="24"/>
      <c r="Z48" s="25"/>
      <c r="AA48" s="25"/>
      <c r="AB48" s="25"/>
      <c r="AC48" s="25"/>
      <c r="AD48" s="139"/>
      <c r="AE48" s="25"/>
      <c r="AF48" s="25"/>
      <c r="AG48" s="25"/>
      <c r="AH48" s="139"/>
      <c r="AI48" s="139"/>
      <c r="AJ48" s="25"/>
      <c r="AK48" s="25"/>
      <c r="AL48" s="25"/>
      <c r="AM48" s="139"/>
      <c r="AN48" s="139"/>
      <c r="AO48" s="139"/>
      <c r="AP48" s="25"/>
      <c r="AQ48" s="25"/>
      <c r="AR48" s="25"/>
      <c r="AS48" s="25"/>
      <c r="AT48" s="25"/>
      <c r="AU48" s="25"/>
      <c r="AV48" s="25"/>
      <c r="AW48" s="25"/>
      <c r="AX48" s="25"/>
      <c r="AY48" s="139"/>
      <c r="AZ48" s="139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8"/>
      <c r="BL48" s="25"/>
      <c r="BM48" s="25"/>
      <c r="BN48" s="138"/>
      <c r="BO48" s="139"/>
      <c r="BP48" s="138"/>
      <c r="BQ48" s="8"/>
      <c r="BR48" s="8"/>
      <c r="BS48" s="138"/>
      <c r="BT48" s="40"/>
      <c r="BU48" s="40"/>
      <c r="BV48" s="40"/>
      <c r="BW48" s="140"/>
      <c r="BX48" s="8"/>
      <c r="BY48" s="8"/>
      <c r="BZ48" s="8"/>
      <c r="CA48" s="140"/>
      <c r="CB48" s="8"/>
      <c r="CC48" s="8"/>
      <c r="CD48" s="8"/>
      <c r="CE48" s="8"/>
      <c r="CF48" s="140"/>
      <c r="CG48" s="8"/>
      <c r="CH48" s="8"/>
      <c r="CI48" s="8"/>
      <c r="CJ48" s="8"/>
      <c r="CK48" s="140"/>
      <c r="CL48" s="8"/>
      <c r="CM48" s="8"/>
      <c r="CN48" s="8"/>
      <c r="CO48" s="140"/>
      <c r="CP48" s="140"/>
      <c r="CQ48" s="8"/>
      <c r="CR48" s="140"/>
      <c r="CS48" s="27"/>
      <c r="CT48" s="140"/>
      <c r="CU48" s="8"/>
      <c r="CV48" s="140"/>
      <c r="CW48" s="140"/>
      <c r="CX48" s="140"/>
      <c r="CY48" s="8"/>
      <c r="CZ48" s="140"/>
      <c r="DA48" s="140"/>
      <c r="DB48" s="140"/>
      <c r="DC48" s="8"/>
      <c r="DD48" s="140"/>
      <c r="DE48" s="140"/>
      <c r="DF48" s="140"/>
      <c r="DG48" s="140"/>
      <c r="DH48" s="40"/>
      <c r="DI48" s="140"/>
      <c r="DJ48" s="140"/>
      <c r="DK48" s="140"/>
      <c r="DL48" s="140"/>
      <c r="DM48" s="140"/>
      <c r="DN48" s="140"/>
      <c r="DO48" s="140"/>
      <c r="DP48" s="140"/>
      <c r="DQ48" s="140"/>
      <c r="DR48" s="140"/>
      <c r="DS48" s="140"/>
      <c r="DT48" s="140"/>
      <c r="DU48" s="140"/>
      <c r="DV48" s="140"/>
      <c r="DW48" s="140"/>
      <c r="DX48" s="140"/>
      <c r="DY48" s="8"/>
      <c r="DZ48" s="40"/>
      <c r="EA48" s="8"/>
      <c r="EB48" s="8"/>
      <c r="EC48" s="60"/>
      <c r="ED48" s="138"/>
      <c r="EE48" s="25"/>
      <c r="EF48" s="25"/>
      <c r="EG48" s="25"/>
      <c r="EH48" s="138"/>
      <c r="EI48" s="25"/>
      <c r="EJ48" s="25"/>
      <c r="EK48" s="25"/>
      <c r="EL48" s="138"/>
      <c r="EM48" s="25"/>
      <c r="EN48" s="25"/>
      <c r="EO48" s="25"/>
      <c r="EP48" s="25"/>
      <c r="EQ48" s="138"/>
      <c r="ER48" s="25"/>
      <c r="ES48" s="25"/>
      <c r="ET48" s="25"/>
      <c r="EU48" s="25"/>
      <c r="EV48" s="138"/>
      <c r="EW48" s="25"/>
      <c r="EX48" s="25"/>
      <c r="EY48" s="25"/>
      <c r="EZ48" s="138"/>
      <c r="FA48" s="25"/>
      <c r="FB48" s="25"/>
      <c r="FC48" s="25"/>
      <c r="FD48" s="25"/>
      <c r="FE48" s="25"/>
      <c r="FF48" s="25"/>
      <c r="FG48" s="138"/>
      <c r="FH48" s="25"/>
      <c r="FI48" s="25"/>
      <c r="FJ48" s="138"/>
      <c r="FK48" s="138"/>
      <c r="FL48" s="138"/>
      <c r="FM48" s="138"/>
      <c r="FN48" s="138"/>
      <c r="FO48" s="138"/>
      <c r="FP48" s="138"/>
      <c r="FQ48" s="138"/>
      <c r="FR48" s="138"/>
      <c r="FS48" s="138"/>
      <c r="FT48" s="138"/>
      <c r="FU48" s="138"/>
      <c r="FV48" s="100"/>
      <c r="FW48" s="138"/>
      <c r="FX48" s="138"/>
      <c r="FY48" s="138"/>
      <c r="FZ48" s="138"/>
      <c r="GA48" s="138"/>
      <c r="GB48" s="115"/>
      <c r="GC48" s="138"/>
      <c r="GD48" s="139"/>
      <c r="GE48" s="138"/>
      <c r="GF48" s="140"/>
      <c r="GG48" s="138"/>
      <c r="GH48" s="139"/>
      <c r="GI48" s="138"/>
      <c r="GJ48" s="138"/>
      <c r="GK48" s="138"/>
      <c r="GL48" s="138"/>
      <c r="GM48" s="115"/>
      <c r="GN48" s="115"/>
      <c r="GO48" s="113"/>
      <c r="GP48" s="113"/>
      <c r="GQ48" s="113"/>
      <c r="GR48" s="113"/>
      <c r="GS48" s="128"/>
      <c r="GT48" s="128"/>
      <c r="GU48" s="123"/>
      <c r="GV48" s="115"/>
      <c r="GW48" s="99"/>
      <c r="GX48" s="128"/>
      <c r="GY48" s="128"/>
      <c r="GZ48" s="115"/>
      <c r="HA48" s="99"/>
      <c r="HB48" s="128"/>
      <c r="HC48" s="128"/>
      <c r="HD48" s="128"/>
      <c r="HE48" s="115"/>
      <c r="HF48" s="99"/>
      <c r="HG48" s="128"/>
      <c r="HH48" s="128"/>
      <c r="HI48" s="128"/>
      <c r="HJ48" s="115"/>
      <c r="HK48" s="99"/>
      <c r="HL48" s="128"/>
      <c r="HM48" s="128"/>
      <c r="HN48" s="128"/>
      <c r="HO48" s="128"/>
      <c r="HP48" s="115"/>
      <c r="HQ48" s="99"/>
      <c r="HR48" s="128"/>
      <c r="HS48" s="128"/>
      <c r="HT48" s="128"/>
      <c r="HU48" s="128"/>
      <c r="HV48" s="115"/>
      <c r="HW48" s="99"/>
      <c r="HX48" s="128"/>
      <c r="HY48" s="128"/>
      <c r="HZ48" s="128"/>
      <c r="IA48" s="115"/>
      <c r="IB48" s="99"/>
      <c r="IC48" s="166"/>
      <c r="ID48" s="128"/>
      <c r="IE48" s="164"/>
      <c r="IF48" s="185">
        <v>2475000</v>
      </c>
      <c r="IG48" s="40">
        <f t="shared" si="120"/>
        <v>2475000</v>
      </c>
      <c r="IH48" s="115" t="s">
        <v>547</v>
      </c>
    </row>
    <row r="49" spans="1:244" ht="36.75" customHeight="1" x14ac:dyDescent="0.2">
      <c r="A49" s="17" t="s">
        <v>36</v>
      </c>
      <c r="B49" s="18"/>
      <c r="C49" s="52" t="s">
        <v>37</v>
      </c>
      <c r="D49" s="20">
        <v>2000000</v>
      </c>
      <c r="E49" s="21">
        <v>5550000</v>
      </c>
      <c r="F49" s="21">
        <v>5302539</v>
      </c>
      <c r="G49" s="21">
        <v>2000000</v>
      </c>
      <c r="H49" s="22"/>
      <c r="I49" s="21">
        <f t="shared" si="0"/>
        <v>2000000</v>
      </c>
      <c r="J49" s="22"/>
      <c r="K49" s="22"/>
      <c r="L49" s="22">
        <f t="shared" si="1"/>
        <v>0</v>
      </c>
      <c r="M49" s="23">
        <f t="shared" si="22"/>
        <v>2000000</v>
      </c>
      <c r="N49" s="23">
        <v>2000000</v>
      </c>
      <c r="O49" s="23">
        <v>2000000</v>
      </c>
      <c r="P49" s="23">
        <v>2000000</v>
      </c>
      <c r="Q49" s="23">
        <v>1500000</v>
      </c>
      <c r="R49" s="23">
        <v>2000000</v>
      </c>
      <c r="S49" s="23">
        <v>0.25</v>
      </c>
      <c r="T49" s="23">
        <f t="shared" si="121"/>
        <v>-500000</v>
      </c>
      <c r="U49" s="23">
        <f t="shared" si="122"/>
        <v>1500000</v>
      </c>
      <c r="V49" s="23">
        <f t="shared" si="178"/>
        <v>-500000</v>
      </c>
      <c r="W49" s="24">
        <v>1500000</v>
      </c>
      <c r="X49" s="24"/>
      <c r="Y49" s="24">
        <f t="shared" si="23"/>
        <v>1500000</v>
      </c>
      <c r="Z49" s="25">
        <v>1500000</v>
      </c>
      <c r="AA49" s="25">
        <f t="shared" si="24"/>
        <v>0</v>
      </c>
      <c r="AB49" s="25">
        <v>1500000</v>
      </c>
      <c r="AC49" s="25">
        <v>1500000</v>
      </c>
      <c r="AD49" s="26">
        <v>1410000</v>
      </c>
      <c r="AE49" s="25"/>
      <c r="AF49" s="25"/>
      <c r="AG49" s="25"/>
      <c r="AH49" s="26">
        <v>1410000</v>
      </c>
      <c r="AI49" s="26">
        <v>1410000</v>
      </c>
      <c r="AJ49" s="25">
        <f t="shared" si="141"/>
        <v>-90000</v>
      </c>
      <c r="AK49" s="25">
        <f t="shared" si="25"/>
        <v>-90000</v>
      </c>
      <c r="AL49" s="25">
        <f t="shared" si="26"/>
        <v>-90000</v>
      </c>
      <c r="AM49" s="26">
        <f t="shared" si="27"/>
        <v>-90000</v>
      </c>
      <c r="AN49" s="26">
        <f t="shared" si="28"/>
        <v>-90000</v>
      </c>
      <c r="AO49" s="26">
        <f t="shared" si="4"/>
        <v>-90000</v>
      </c>
      <c r="AP49" s="25">
        <v>1410000</v>
      </c>
      <c r="AQ49" s="25">
        <f t="shared" si="5"/>
        <v>-90000</v>
      </c>
      <c r="AR49" s="25">
        <f t="shared" si="29"/>
        <v>-90000</v>
      </c>
      <c r="AS49" s="25">
        <f t="shared" si="30"/>
        <v>-90000</v>
      </c>
      <c r="AT49" s="25"/>
      <c r="AU49" s="25">
        <f t="shared" si="31"/>
        <v>1410000</v>
      </c>
      <c r="AV49" s="25">
        <v>1410000</v>
      </c>
      <c r="AW49" s="25">
        <f t="shared" si="32"/>
        <v>0</v>
      </c>
      <c r="AX49" s="25">
        <v>1410000</v>
      </c>
      <c r="AY49" s="26">
        <f t="shared" si="123"/>
        <v>0</v>
      </c>
      <c r="AZ49" s="26">
        <f t="shared" si="124"/>
        <v>0</v>
      </c>
      <c r="BA49" s="25">
        <v>1410000</v>
      </c>
      <c r="BB49" s="25">
        <f t="shared" si="33"/>
        <v>0</v>
      </c>
      <c r="BC49" s="25">
        <f t="shared" si="34"/>
        <v>0</v>
      </c>
      <c r="BD49" s="25">
        <f t="shared" si="35"/>
        <v>0</v>
      </c>
      <c r="BE49" s="25">
        <v>1410000</v>
      </c>
      <c r="BF49" s="25">
        <v>1410000</v>
      </c>
      <c r="BG49" s="25">
        <v>1410000</v>
      </c>
      <c r="BH49" s="25">
        <f t="shared" si="36"/>
        <v>0</v>
      </c>
      <c r="BI49" s="25">
        <f t="shared" si="37"/>
        <v>0</v>
      </c>
      <c r="BJ49" s="25">
        <f t="shared" si="38"/>
        <v>0</v>
      </c>
      <c r="BK49" s="8">
        <f t="shared" si="39"/>
        <v>0</v>
      </c>
      <c r="BL49" s="25"/>
      <c r="BM49" s="25">
        <f t="shared" si="40"/>
        <v>1410000</v>
      </c>
      <c r="BN49" s="37">
        <v>1410000</v>
      </c>
      <c r="BO49" s="26">
        <f t="shared" si="41"/>
        <v>0</v>
      </c>
      <c r="BP49" s="37">
        <v>1410000</v>
      </c>
      <c r="BQ49" s="8">
        <f t="shared" si="42"/>
        <v>0</v>
      </c>
      <c r="BR49" s="8">
        <f t="shared" si="43"/>
        <v>0</v>
      </c>
      <c r="BS49" s="37">
        <v>1610000</v>
      </c>
      <c r="BT49" s="40">
        <f t="shared" si="44"/>
        <v>200000</v>
      </c>
      <c r="BU49" s="40">
        <f t="shared" si="45"/>
        <v>200000</v>
      </c>
      <c r="BV49" s="40">
        <f t="shared" si="46"/>
        <v>200000</v>
      </c>
      <c r="BW49" s="38">
        <v>1410000</v>
      </c>
      <c r="BX49" s="8">
        <f t="shared" si="47"/>
        <v>0</v>
      </c>
      <c r="BY49" s="8">
        <f t="shared" si="48"/>
        <v>0</v>
      </c>
      <c r="BZ49" s="8">
        <f t="shared" si="49"/>
        <v>-200000</v>
      </c>
      <c r="CA49" s="38">
        <f>1410000+200000</f>
        <v>1610000</v>
      </c>
      <c r="CB49" s="8">
        <f t="shared" si="50"/>
        <v>200000</v>
      </c>
      <c r="CC49" s="8">
        <f t="shared" si="51"/>
        <v>200000</v>
      </c>
      <c r="CD49" s="8">
        <f t="shared" si="6"/>
        <v>0</v>
      </c>
      <c r="CE49" s="8">
        <f t="shared" si="52"/>
        <v>200000</v>
      </c>
      <c r="CF49" s="38">
        <v>1610000</v>
      </c>
      <c r="CG49" s="8">
        <f t="shared" si="53"/>
        <v>200000</v>
      </c>
      <c r="CH49" s="8">
        <f t="shared" si="54"/>
        <v>200000</v>
      </c>
      <c r="CI49" s="8">
        <f t="shared" si="55"/>
        <v>0</v>
      </c>
      <c r="CJ49" s="8">
        <f t="shared" si="56"/>
        <v>0</v>
      </c>
      <c r="CK49" s="38">
        <v>1610000</v>
      </c>
      <c r="CL49" s="8">
        <f t="shared" si="7"/>
        <v>200000</v>
      </c>
      <c r="CM49" s="8">
        <f t="shared" si="57"/>
        <v>200000</v>
      </c>
      <c r="CN49" s="8">
        <f t="shared" si="58"/>
        <v>0</v>
      </c>
      <c r="CO49" s="38">
        <f>CK49</f>
        <v>1610000</v>
      </c>
      <c r="CP49" s="38">
        <f t="shared" si="59"/>
        <v>200000</v>
      </c>
      <c r="CQ49" s="8">
        <f t="shared" si="60"/>
        <v>0</v>
      </c>
      <c r="CR49" s="38">
        <v>1410000</v>
      </c>
      <c r="CS49" s="27">
        <v>300000</v>
      </c>
      <c r="CT49" s="38">
        <f t="shared" si="61"/>
        <v>1710000</v>
      </c>
      <c r="CU49" s="8">
        <f t="shared" si="62"/>
        <v>100000</v>
      </c>
      <c r="CV49" s="38">
        <f t="shared" si="63"/>
        <v>100000</v>
      </c>
      <c r="CW49" s="38">
        <f t="shared" si="64"/>
        <v>300000</v>
      </c>
      <c r="CX49" s="38">
        <v>1410000</v>
      </c>
      <c r="CY49" s="8">
        <f t="shared" si="65"/>
        <v>-200000</v>
      </c>
      <c r="CZ49" s="38">
        <f t="shared" si="66"/>
        <v>-200000</v>
      </c>
      <c r="DA49" s="38">
        <f t="shared" si="67"/>
        <v>-300000</v>
      </c>
      <c r="DB49" s="38">
        <v>1410000</v>
      </c>
      <c r="DC49" s="8">
        <f t="shared" si="68"/>
        <v>-200000</v>
      </c>
      <c r="DD49" s="38">
        <f t="shared" si="69"/>
        <v>-200000</v>
      </c>
      <c r="DE49" s="38">
        <f t="shared" si="70"/>
        <v>-300000</v>
      </c>
      <c r="DF49" s="38">
        <f t="shared" si="71"/>
        <v>0</v>
      </c>
      <c r="DG49" s="38">
        <v>1715000</v>
      </c>
      <c r="DH49" s="40">
        <f t="shared" si="72"/>
        <v>105000</v>
      </c>
      <c r="DI49" s="38">
        <f t="shared" si="73"/>
        <v>105000</v>
      </c>
      <c r="DJ49" s="38">
        <f t="shared" si="74"/>
        <v>5000</v>
      </c>
      <c r="DK49" s="38">
        <f t="shared" si="75"/>
        <v>305000</v>
      </c>
      <c r="DL49" s="38"/>
      <c r="DM49" s="38">
        <f t="shared" si="76"/>
        <v>1715000</v>
      </c>
      <c r="DN49" s="38">
        <v>1715000</v>
      </c>
      <c r="DO49" s="38">
        <f t="shared" si="77"/>
        <v>105000</v>
      </c>
      <c r="DP49" s="38"/>
      <c r="DQ49" s="38">
        <v>-34891</v>
      </c>
      <c r="DR49" s="38">
        <f t="shared" si="78"/>
        <v>1680109</v>
      </c>
      <c r="DS49" s="38">
        <f t="shared" si="79"/>
        <v>70109</v>
      </c>
      <c r="DT49" s="38"/>
      <c r="DU49" s="38">
        <f t="shared" si="80"/>
        <v>1680109</v>
      </c>
      <c r="DV49" s="38">
        <f t="shared" si="81"/>
        <v>70109</v>
      </c>
      <c r="DW49" s="38">
        <v>1680109</v>
      </c>
      <c r="DX49" s="38">
        <v>1675109</v>
      </c>
      <c r="DY49" s="8">
        <f t="shared" si="163"/>
        <v>-5000</v>
      </c>
      <c r="DZ49" s="40">
        <v>1475106</v>
      </c>
      <c r="EA49" s="8">
        <f t="shared" si="164"/>
        <v>-205003</v>
      </c>
      <c r="EB49" s="8">
        <f t="shared" si="165"/>
        <v>-200003</v>
      </c>
      <c r="EC49" s="58" t="s">
        <v>258</v>
      </c>
      <c r="ED49" s="37">
        <v>2110000</v>
      </c>
      <c r="EE49" s="25">
        <f t="shared" si="166"/>
        <v>429891</v>
      </c>
      <c r="EF49" s="25">
        <f t="shared" si="167"/>
        <v>434891</v>
      </c>
      <c r="EG49" s="25">
        <f t="shared" si="82"/>
        <v>634894</v>
      </c>
      <c r="EH49" s="37">
        <v>1780109</v>
      </c>
      <c r="EI49" s="25">
        <f t="shared" si="168"/>
        <v>100000</v>
      </c>
      <c r="EJ49" s="25">
        <f t="shared" si="169"/>
        <v>105000</v>
      </c>
      <c r="EK49" s="25">
        <f t="shared" si="83"/>
        <v>-329891</v>
      </c>
      <c r="EL49" s="37">
        <f>1780109+15000+10000+60000+25000</f>
        <v>1890109</v>
      </c>
      <c r="EM49" s="25">
        <f t="shared" si="170"/>
        <v>210000</v>
      </c>
      <c r="EN49" s="25">
        <f t="shared" si="171"/>
        <v>215000</v>
      </c>
      <c r="EO49" s="25">
        <f t="shared" si="125"/>
        <v>-219891</v>
      </c>
      <c r="EP49" s="25">
        <f t="shared" si="84"/>
        <v>110000</v>
      </c>
      <c r="EQ49" s="37">
        <v>2310000</v>
      </c>
      <c r="ER49" s="25">
        <f t="shared" si="172"/>
        <v>629891</v>
      </c>
      <c r="ES49" s="25">
        <f t="shared" si="173"/>
        <v>634891</v>
      </c>
      <c r="ET49" s="25">
        <f t="shared" si="85"/>
        <v>200000</v>
      </c>
      <c r="EU49" s="25">
        <f t="shared" si="86"/>
        <v>419891</v>
      </c>
      <c r="EV49" s="37">
        <f>2310000-170000</f>
        <v>2140000</v>
      </c>
      <c r="EW49" s="25">
        <f t="shared" si="174"/>
        <v>459891</v>
      </c>
      <c r="EX49" s="25">
        <f t="shared" si="87"/>
        <v>-170000</v>
      </c>
      <c r="EY49" s="25">
        <f t="shared" si="177"/>
        <v>170000</v>
      </c>
      <c r="EZ49" s="37">
        <f>2310000</f>
        <v>2310000</v>
      </c>
      <c r="FA49" s="25">
        <f t="shared" si="175"/>
        <v>629891</v>
      </c>
      <c r="FB49" s="25"/>
      <c r="FC49" s="25">
        <f t="shared" si="88"/>
        <v>2310000</v>
      </c>
      <c r="FD49" s="25"/>
      <c r="FE49" s="25"/>
      <c r="FF49" s="25">
        <f t="shared" si="89"/>
        <v>2310000</v>
      </c>
      <c r="FG49" s="37">
        <v>2000000</v>
      </c>
      <c r="FH49" s="25">
        <f t="shared" si="90"/>
        <v>-310000</v>
      </c>
      <c r="FI49" s="37" t="s">
        <v>297</v>
      </c>
      <c r="FJ49" s="37">
        <v>1500000</v>
      </c>
      <c r="FK49" s="37">
        <f t="shared" si="91"/>
        <v>-810000</v>
      </c>
      <c r="FL49" s="37">
        <f t="shared" si="92"/>
        <v>-500000</v>
      </c>
      <c r="FM49" s="37">
        <v>2295000</v>
      </c>
      <c r="FN49" s="37">
        <f t="shared" si="93"/>
        <v>-15000</v>
      </c>
      <c r="FO49" s="37">
        <f t="shared" si="94"/>
        <v>295000</v>
      </c>
      <c r="FP49" s="37">
        <f t="shared" si="95"/>
        <v>795000</v>
      </c>
      <c r="FQ49" s="37" t="s">
        <v>310</v>
      </c>
      <c r="FR49" s="37">
        <v>2100000</v>
      </c>
      <c r="FS49" s="37">
        <f t="shared" si="96"/>
        <v>-210000</v>
      </c>
      <c r="FT49" s="37">
        <f t="shared" si="97"/>
        <v>100000</v>
      </c>
      <c r="FU49" s="37">
        <f t="shared" si="98"/>
        <v>-195000</v>
      </c>
      <c r="FV49" s="101" t="s">
        <v>334</v>
      </c>
      <c r="FW49" s="37">
        <v>2710000</v>
      </c>
      <c r="FX49" s="37">
        <f t="shared" si="99"/>
        <v>400000</v>
      </c>
      <c r="FY49" s="37">
        <f t="shared" si="100"/>
        <v>710000</v>
      </c>
      <c r="FZ49" s="37">
        <f t="shared" si="101"/>
        <v>415000</v>
      </c>
      <c r="GA49" s="37">
        <f t="shared" si="102"/>
        <v>610000</v>
      </c>
      <c r="GB49" s="107" t="s">
        <v>344</v>
      </c>
      <c r="GC49" s="37">
        <v>2955000</v>
      </c>
      <c r="GD49" s="26">
        <v>-935000</v>
      </c>
      <c r="GE49" s="37">
        <f t="shared" si="103"/>
        <v>2020000</v>
      </c>
      <c r="GF49" s="38">
        <v>935000</v>
      </c>
      <c r="GG49" s="37">
        <f t="shared" si="104"/>
        <v>2955000</v>
      </c>
      <c r="GH49" s="26">
        <f t="shared" si="151"/>
        <v>645000</v>
      </c>
      <c r="GI49" s="37">
        <f t="shared" si="152"/>
        <v>955000</v>
      </c>
      <c r="GJ49" s="37">
        <f t="shared" si="153"/>
        <v>660000</v>
      </c>
      <c r="GK49" s="37">
        <f t="shared" si="154"/>
        <v>245000</v>
      </c>
      <c r="GL49" s="37">
        <f t="shared" si="155"/>
        <v>0</v>
      </c>
      <c r="GM49" s="107" t="s">
        <v>358</v>
      </c>
      <c r="GN49" s="115"/>
      <c r="GO49" s="113">
        <f t="shared" si="105"/>
        <v>2955000</v>
      </c>
      <c r="GP49" s="113"/>
      <c r="GQ49" s="113">
        <f t="shared" si="106"/>
        <v>2955000</v>
      </c>
      <c r="GR49" s="113">
        <v>-714999</v>
      </c>
      <c r="GS49" s="128">
        <v>2240001</v>
      </c>
      <c r="GT49" s="128">
        <v>0</v>
      </c>
      <c r="GU49" s="123">
        <f t="shared" ref="GU49:GU59" si="179">GT49-GS49</f>
        <v>-2240001</v>
      </c>
      <c r="GV49" s="115" t="s">
        <v>378</v>
      </c>
      <c r="GW49" s="99">
        <v>1499154</v>
      </c>
      <c r="GX49" s="128">
        <f t="shared" si="108"/>
        <v>-740847</v>
      </c>
      <c r="GY49" s="128">
        <f t="shared" si="109"/>
        <v>1499154</v>
      </c>
      <c r="GZ49" s="115" t="s">
        <v>398</v>
      </c>
      <c r="HA49" s="99">
        <f>1499154+350000+1105846</f>
        <v>2955000</v>
      </c>
      <c r="HB49" s="128">
        <f>HA49-GS49</f>
        <v>714999</v>
      </c>
      <c r="HC49" s="128">
        <f t="shared" si="111"/>
        <v>2955000</v>
      </c>
      <c r="HD49" s="128">
        <f t="shared" si="112"/>
        <v>1455846</v>
      </c>
      <c r="HE49" s="115" t="s">
        <v>425</v>
      </c>
      <c r="HF49" s="99">
        <v>2425000</v>
      </c>
      <c r="HG49" s="128">
        <f>HF49-GS49</f>
        <v>184999</v>
      </c>
      <c r="HH49" s="128">
        <f t="shared" si="113"/>
        <v>2425000</v>
      </c>
      <c r="HI49" s="128">
        <f t="shared" si="114"/>
        <v>-530000</v>
      </c>
      <c r="HJ49" s="115" t="s">
        <v>457</v>
      </c>
      <c r="HK49" s="99">
        <f>2425000+870000+450000</f>
        <v>3745000</v>
      </c>
      <c r="HL49" s="128">
        <f t="shared" si="115"/>
        <v>1504999</v>
      </c>
      <c r="HM49" s="128">
        <f t="shared" si="116"/>
        <v>3745000</v>
      </c>
      <c r="HN49" s="128">
        <f t="shared" si="117"/>
        <v>790000</v>
      </c>
      <c r="HO49" s="128">
        <f t="shared" si="118"/>
        <v>1320000</v>
      </c>
      <c r="HP49" s="115" t="s">
        <v>480</v>
      </c>
      <c r="HQ49" s="99">
        <v>3525000</v>
      </c>
      <c r="HR49" s="128">
        <f t="shared" si="145"/>
        <v>1284999</v>
      </c>
      <c r="HS49" s="128">
        <f t="shared" si="156"/>
        <v>3525000</v>
      </c>
      <c r="HT49" s="128">
        <f t="shared" si="157"/>
        <v>570000</v>
      </c>
      <c r="HU49" s="128">
        <f t="shared" si="158"/>
        <v>-220000</v>
      </c>
      <c r="HV49" s="115" t="s">
        <v>508</v>
      </c>
      <c r="HW49" s="99">
        <v>2199154</v>
      </c>
      <c r="HX49" s="128">
        <f t="shared" si="159"/>
        <v>-40847</v>
      </c>
      <c r="HY49" s="128">
        <f t="shared" si="160"/>
        <v>2199154</v>
      </c>
      <c r="HZ49" s="128">
        <f t="shared" si="119"/>
        <v>-1325846</v>
      </c>
      <c r="IA49" s="115" t="s">
        <v>519</v>
      </c>
      <c r="IB49" s="99">
        <v>3525000</v>
      </c>
      <c r="IC49" s="166" t="s">
        <v>508</v>
      </c>
      <c r="ID49" s="128">
        <f t="shared" ref="ID49:ID59" si="180">IB49</f>
        <v>3525000</v>
      </c>
      <c r="IE49" s="164">
        <f t="shared" ref="IE49:IE59" si="181">ID49-GS49</f>
        <v>1284999</v>
      </c>
      <c r="IF49" s="185">
        <v>1977163</v>
      </c>
      <c r="IG49" s="40">
        <f t="shared" si="120"/>
        <v>-1547837</v>
      </c>
      <c r="IH49" s="115" t="s">
        <v>546</v>
      </c>
      <c r="IJ49" s="3"/>
    </row>
    <row r="50" spans="1:244" ht="25.5" x14ac:dyDescent="0.2">
      <c r="A50" s="39" t="s">
        <v>182</v>
      </c>
      <c r="B50" s="18"/>
      <c r="C50" s="51" t="s">
        <v>204</v>
      </c>
      <c r="D50" s="20"/>
      <c r="E50" s="21"/>
      <c r="F50" s="21"/>
      <c r="G50" s="21"/>
      <c r="H50" s="22"/>
      <c r="I50" s="21"/>
      <c r="J50" s="22"/>
      <c r="K50" s="22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4"/>
      <c r="X50" s="24"/>
      <c r="Y50" s="24"/>
      <c r="Z50" s="25"/>
      <c r="AA50" s="25"/>
      <c r="AB50" s="25"/>
      <c r="AC50" s="25"/>
      <c r="AD50" s="26"/>
      <c r="AE50" s="25"/>
      <c r="AF50" s="25"/>
      <c r="AG50" s="25"/>
      <c r="AH50" s="26"/>
      <c r="AI50" s="26"/>
      <c r="AJ50" s="25"/>
      <c r="AK50" s="25"/>
      <c r="AL50" s="25"/>
      <c r="AM50" s="26"/>
      <c r="AN50" s="26"/>
      <c r="AO50" s="26"/>
      <c r="AP50" s="25"/>
      <c r="AQ50" s="25"/>
      <c r="AR50" s="25"/>
      <c r="AS50" s="25"/>
      <c r="AT50" s="25"/>
      <c r="AU50" s="25"/>
      <c r="AV50" s="25"/>
      <c r="AW50" s="25"/>
      <c r="AX50" s="25"/>
      <c r="AY50" s="26"/>
      <c r="AZ50" s="26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8"/>
      <c r="BL50" s="25"/>
      <c r="BM50" s="25"/>
      <c r="BN50" s="37"/>
      <c r="BO50" s="26"/>
      <c r="BP50" s="37"/>
      <c r="BQ50" s="8"/>
      <c r="BR50" s="8"/>
      <c r="BS50" s="38">
        <v>200000</v>
      </c>
      <c r="BT50" s="40">
        <f t="shared" ref="BT50" si="182">BS50-BM50</f>
        <v>200000</v>
      </c>
      <c r="BU50" s="40">
        <f t="shared" ref="BU50" si="183">BS50-BN50</f>
        <v>200000</v>
      </c>
      <c r="BV50" s="40">
        <f t="shared" si="46"/>
        <v>200000</v>
      </c>
      <c r="BW50" s="38">
        <v>0</v>
      </c>
      <c r="BX50" s="8">
        <f t="shared" si="47"/>
        <v>0</v>
      </c>
      <c r="BY50" s="8">
        <f t="shared" si="48"/>
        <v>0</v>
      </c>
      <c r="BZ50" s="8">
        <f t="shared" si="49"/>
        <v>-200000</v>
      </c>
      <c r="CA50" s="38">
        <v>0</v>
      </c>
      <c r="CB50" s="8">
        <f t="shared" si="50"/>
        <v>0</v>
      </c>
      <c r="CC50" s="8">
        <f t="shared" si="51"/>
        <v>0</v>
      </c>
      <c r="CD50" s="8">
        <f t="shared" si="6"/>
        <v>-200000</v>
      </c>
      <c r="CE50" s="8">
        <f t="shared" si="52"/>
        <v>0</v>
      </c>
      <c r="CF50" s="38">
        <v>200000</v>
      </c>
      <c r="CG50" s="8">
        <f t="shared" si="53"/>
        <v>200000</v>
      </c>
      <c r="CH50" s="8">
        <f t="shared" si="54"/>
        <v>200000</v>
      </c>
      <c r="CI50" s="8">
        <f t="shared" si="55"/>
        <v>0</v>
      </c>
      <c r="CJ50" s="8">
        <f t="shared" si="56"/>
        <v>200000</v>
      </c>
      <c r="CK50" s="38">
        <v>200000</v>
      </c>
      <c r="CL50" s="8">
        <f t="shared" si="7"/>
        <v>200000</v>
      </c>
      <c r="CM50" s="8">
        <f t="shared" si="57"/>
        <v>200000</v>
      </c>
      <c r="CN50" s="8">
        <f t="shared" si="58"/>
        <v>0</v>
      </c>
      <c r="CO50" s="38">
        <v>0</v>
      </c>
      <c r="CP50" s="38">
        <f t="shared" si="59"/>
        <v>0</v>
      </c>
      <c r="CQ50" s="8">
        <f t="shared" si="60"/>
        <v>-200000</v>
      </c>
      <c r="CR50" s="38">
        <v>0</v>
      </c>
      <c r="CS50" s="27">
        <v>200000</v>
      </c>
      <c r="CT50" s="38">
        <f t="shared" si="61"/>
        <v>200000</v>
      </c>
      <c r="CU50" s="8">
        <f t="shared" si="62"/>
        <v>0</v>
      </c>
      <c r="CV50" s="38">
        <f t="shared" si="63"/>
        <v>200000</v>
      </c>
      <c r="CW50" s="38">
        <f t="shared" si="64"/>
        <v>200000</v>
      </c>
      <c r="CX50" s="38">
        <v>0</v>
      </c>
      <c r="CY50" s="8">
        <f t="shared" si="65"/>
        <v>-200000</v>
      </c>
      <c r="CZ50" s="38">
        <f t="shared" si="66"/>
        <v>0</v>
      </c>
      <c r="DA50" s="38">
        <f t="shared" si="67"/>
        <v>-200000</v>
      </c>
      <c r="DB50" s="38">
        <v>0</v>
      </c>
      <c r="DC50" s="8">
        <f t="shared" si="68"/>
        <v>-200000</v>
      </c>
      <c r="DD50" s="38">
        <f t="shared" si="69"/>
        <v>0</v>
      </c>
      <c r="DE50" s="38">
        <f t="shared" si="70"/>
        <v>-200000</v>
      </c>
      <c r="DF50" s="38">
        <f t="shared" si="71"/>
        <v>0</v>
      </c>
      <c r="DG50" s="38">
        <v>200000</v>
      </c>
      <c r="DH50" s="40">
        <f t="shared" si="72"/>
        <v>0</v>
      </c>
      <c r="DI50" s="38">
        <f t="shared" si="73"/>
        <v>200000</v>
      </c>
      <c r="DJ50" s="38">
        <f t="shared" si="74"/>
        <v>0</v>
      </c>
      <c r="DK50" s="38">
        <f t="shared" si="75"/>
        <v>200000</v>
      </c>
      <c r="DL50" s="38"/>
      <c r="DM50" s="38">
        <f t="shared" si="76"/>
        <v>200000</v>
      </c>
      <c r="DN50" s="38">
        <v>200000</v>
      </c>
      <c r="DO50" s="38">
        <f t="shared" si="77"/>
        <v>0</v>
      </c>
      <c r="DP50" s="38"/>
      <c r="DQ50" s="38">
        <v>-3000</v>
      </c>
      <c r="DR50" s="38">
        <f t="shared" si="78"/>
        <v>197000</v>
      </c>
      <c r="DS50" s="38">
        <f t="shared" si="79"/>
        <v>-3000</v>
      </c>
      <c r="DT50" s="38">
        <v>-197000</v>
      </c>
      <c r="DU50" s="38">
        <f t="shared" si="80"/>
        <v>0</v>
      </c>
      <c r="DV50" s="38">
        <f t="shared" si="81"/>
        <v>-200000</v>
      </c>
      <c r="DW50" s="38">
        <v>0</v>
      </c>
      <c r="DX50" s="38">
        <v>0</v>
      </c>
      <c r="DY50" s="8">
        <f t="shared" si="163"/>
        <v>0</v>
      </c>
      <c r="DZ50" s="40">
        <v>200000</v>
      </c>
      <c r="EA50" s="8">
        <f t="shared" si="164"/>
        <v>200000</v>
      </c>
      <c r="EB50" s="8">
        <f t="shared" si="165"/>
        <v>200000</v>
      </c>
      <c r="EC50" s="60"/>
      <c r="ED50" s="37">
        <v>300000</v>
      </c>
      <c r="EE50" s="25">
        <f t="shared" si="166"/>
        <v>300000</v>
      </c>
      <c r="EF50" s="25">
        <f t="shared" si="167"/>
        <v>300000</v>
      </c>
      <c r="EG50" s="25">
        <f t="shared" si="82"/>
        <v>100000</v>
      </c>
      <c r="EH50" s="37">
        <v>0</v>
      </c>
      <c r="EI50" s="25">
        <f t="shared" si="168"/>
        <v>0</v>
      </c>
      <c r="EJ50" s="25">
        <f t="shared" si="169"/>
        <v>0</v>
      </c>
      <c r="EK50" s="25">
        <f t="shared" si="83"/>
        <v>-300000</v>
      </c>
      <c r="EL50" s="37">
        <v>500000</v>
      </c>
      <c r="EM50" s="25">
        <f t="shared" si="170"/>
        <v>500000</v>
      </c>
      <c r="EN50" s="25">
        <f t="shared" si="171"/>
        <v>500000</v>
      </c>
      <c r="EO50" s="25">
        <f t="shared" si="125"/>
        <v>200000</v>
      </c>
      <c r="EP50" s="25">
        <f t="shared" si="84"/>
        <v>500000</v>
      </c>
      <c r="EQ50" s="37">
        <v>500000</v>
      </c>
      <c r="ER50" s="25">
        <f t="shared" si="172"/>
        <v>500000</v>
      </c>
      <c r="ES50" s="25">
        <f t="shared" si="173"/>
        <v>500000</v>
      </c>
      <c r="ET50" s="25">
        <f t="shared" si="85"/>
        <v>200000</v>
      </c>
      <c r="EU50" s="25">
        <f t="shared" si="86"/>
        <v>0</v>
      </c>
      <c r="EV50" s="37">
        <v>500000</v>
      </c>
      <c r="EW50" s="25">
        <f t="shared" si="174"/>
        <v>500000</v>
      </c>
      <c r="EX50" s="25">
        <f t="shared" si="87"/>
        <v>0</v>
      </c>
      <c r="EY50" s="25">
        <f t="shared" si="177"/>
        <v>0</v>
      </c>
      <c r="EZ50" s="37">
        <v>500000</v>
      </c>
      <c r="FA50" s="25">
        <f t="shared" si="175"/>
        <v>500000</v>
      </c>
      <c r="FB50" s="25"/>
      <c r="FC50" s="25">
        <f t="shared" si="88"/>
        <v>500000</v>
      </c>
      <c r="FD50" s="25"/>
      <c r="FE50" s="25"/>
      <c r="FF50" s="25">
        <f t="shared" si="89"/>
        <v>500000</v>
      </c>
      <c r="FG50" s="37">
        <v>500000</v>
      </c>
      <c r="FH50" s="25">
        <f t="shared" si="90"/>
        <v>0</v>
      </c>
      <c r="FI50" s="25"/>
      <c r="FJ50" s="37">
        <v>200000</v>
      </c>
      <c r="FK50" s="37">
        <f t="shared" si="91"/>
        <v>-300000</v>
      </c>
      <c r="FL50" s="37">
        <f t="shared" si="92"/>
        <v>-300000</v>
      </c>
      <c r="FM50" s="37">
        <v>400000</v>
      </c>
      <c r="FN50" s="37">
        <f t="shared" si="93"/>
        <v>-100000</v>
      </c>
      <c r="FO50" s="37">
        <f t="shared" si="94"/>
        <v>-100000</v>
      </c>
      <c r="FP50" s="37">
        <f t="shared" si="95"/>
        <v>200000</v>
      </c>
      <c r="FQ50" s="37" t="s">
        <v>317</v>
      </c>
      <c r="FR50" s="37">
        <v>500000</v>
      </c>
      <c r="FS50" s="37">
        <f t="shared" si="96"/>
        <v>0</v>
      </c>
      <c r="FT50" s="37">
        <f t="shared" si="97"/>
        <v>0</v>
      </c>
      <c r="FU50" s="37">
        <f t="shared" si="98"/>
        <v>100000</v>
      </c>
      <c r="FV50" s="100" t="s">
        <v>328</v>
      </c>
      <c r="FW50" s="37">
        <v>500000</v>
      </c>
      <c r="FX50" s="37">
        <f t="shared" si="99"/>
        <v>0</v>
      </c>
      <c r="FY50" s="37">
        <f t="shared" si="100"/>
        <v>0</v>
      </c>
      <c r="FZ50" s="37">
        <f t="shared" si="101"/>
        <v>100000</v>
      </c>
      <c r="GA50" s="37">
        <f t="shared" si="102"/>
        <v>0</v>
      </c>
      <c r="GB50" s="101" t="s">
        <v>328</v>
      </c>
      <c r="GC50" s="37">
        <v>400000</v>
      </c>
      <c r="GD50" s="26"/>
      <c r="GE50" s="37">
        <f t="shared" si="103"/>
        <v>400000</v>
      </c>
      <c r="GF50" s="38"/>
      <c r="GG50" s="37">
        <f t="shared" si="104"/>
        <v>400000</v>
      </c>
      <c r="GH50" s="26">
        <f t="shared" si="151"/>
        <v>-100000</v>
      </c>
      <c r="GI50" s="37">
        <f t="shared" si="152"/>
        <v>-100000</v>
      </c>
      <c r="GJ50" s="37">
        <f t="shared" si="153"/>
        <v>0</v>
      </c>
      <c r="GK50" s="37">
        <f t="shared" si="154"/>
        <v>-100000</v>
      </c>
      <c r="GL50" s="37">
        <f t="shared" si="155"/>
        <v>0</v>
      </c>
      <c r="GM50" s="101"/>
      <c r="GN50" s="101"/>
      <c r="GO50" s="113">
        <f t="shared" si="105"/>
        <v>400000</v>
      </c>
      <c r="GP50" s="113">
        <v>-1400</v>
      </c>
      <c r="GQ50" s="113">
        <f t="shared" si="106"/>
        <v>398600</v>
      </c>
      <c r="GR50" s="113"/>
      <c r="GS50" s="128">
        <v>398600</v>
      </c>
      <c r="GT50" s="128">
        <v>400000</v>
      </c>
      <c r="GU50" s="123">
        <f t="shared" si="179"/>
        <v>1400</v>
      </c>
      <c r="GV50" s="101" t="s">
        <v>386</v>
      </c>
      <c r="GW50" s="99">
        <v>200000</v>
      </c>
      <c r="GX50" s="128">
        <f t="shared" si="108"/>
        <v>-198600</v>
      </c>
      <c r="GY50" s="128">
        <f t="shared" si="109"/>
        <v>-200000</v>
      </c>
      <c r="GZ50" s="132" t="s">
        <v>399</v>
      </c>
      <c r="HA50" s="99">
        <f>200000+100000+200000</f>
        <v>500000</v>
      </c>
      <c r="HB50" s="128">
        <f t="shared" si="110"/>
        <v>101400</v>
      </c>
      <c r="HC50" s="128">
        <f t="shared" si="111"/>
        <v>100000</v>
      </c>
      <c r="HD50" s="128">
        <f t="shared" si="112"/>
        <v>300000</v>
      </c>
      <c r="HE50" s="132" t="s">
        <v>416</v>
      </c>
      <c r="HF50" s="99">
        <v>500000</v>
      </c>
      <c r="HG50" s="128">
        <f t="shared" si="126"/>
        <v>101400</v>
      </c>
      <c r="HH50" s="128">
        <f t="shared" si="113"/>
        <v>100000</v>
      </c>
      <c r="HI50" s="128">
        <f t="shared" si="114"/>
        <v>0</v>
      </c>
      <c r="HJ50" s="132"/>
      <c r="HK50" s="99">
        <v>500000</v>
      </c>
      <c r="HL50" s="128">
        <f t="shared" si="115"/>
        <v>101400</v>
      </c>
      <c r="HM50" s="128">
        <f t="shared" si="116"/>
        <v>100000</v>
      </c>
      <c r="HN50" s="128">
        <f t="shared" si="117"/>
        <v>0</v>
      </c>
      <c r="HO50" s="128">
        <f t="shared" si="118"/>
        <v>0</v>
      </c>
      <c r="HP50" s="132"/>
      <c r="HQ50" s="99">
        <v>500000</v>
      </c>
      <c r="HR50" s="128">
        <f t="shared" si="145"/>
        <v>101400</v>
      </c>
      <c r="HS50" s="128">
        <f t="shared" si="156"/>
        <v>100000</v>
      </c>
      <c r="HT50" s="128">
        <f t="shared" si="157"/>
        <v>0</v>
      </c>
      <c r="HU50" s="128">
        <f t="shared" si="158"/>
        <v>0</v>
      </c>
      <c r="HV50" s="132"/>
      <c r="HW50" s="99">
        <v>400000</v>
      </c>
      <c r="HX50" s="128">
        <f t="shared" si="159"/>
        <v>1400</v>
      </c>
      <c r="HY50" s="128">
        <f t="shared" si="160"/>
        <v>0</v>
      </c>
      <c r="HZ50" s="128">
        <f t="shared" si="119"/>
        <v>-100000</v>
      </c>
      <c r="IA50" s="132"/>
      <c r="IB50" s="99">
        <v>500000</v>
      </c>
      <c r="IC50" s="168"/>
      <c r="ID50" s="128">
        <f t="shared" si="180"/>
        <v>500000</v>
      </c>
      <c r="IE50" s="164">
        <f t="shared" si="181"/>
        <v>101400</v>
      </c>
      <c r="IF50" s="185">
        <v>400000</v>
      </c>
      <c r="IG50" s="40">
        <f t="shared" si="120"/>
        <v>-100000</v>
      </c>
      <c r="IH50" s="132"/>
      <c r="II50" s="1"/>
      <c r="IJ50" s="108"/>
    </row>
    <row r="51" spans="1:244" ht="12.75" hidden="1" x14ac:dyDescent="0.2">
      <c r="A51" s="17" t="s">
        <v>28</v>
      </c>
      <c r="B51" s="18"/>
      <c r="C51" s="52" t="s">
        <v>40</v>
      </c>
      <c r="D51" s="20">
        <v>1195840</v>
      </c>
      <c r="E51" s="21">
        <v>1195840</v>
      </c>
      <c r="F51" s="21">
        <v>1180621</v>
      </c>
      <c r="G51" s="21">
        <v>200000</v>
      </c>
      <c r="H51" s="22"/>
      <c r="I51" s="21">
        <f t="shared" si="0"/>
        <v>200000</v>
      </c>
      <c r="J51" s="22">
        <v>-53860</v>
      </c>
      <c r="K51" s="22"/>
      <c r="L51" s="22">
        <f t="shared" si="1"/>
        <v>-53860</v>
      </c>
      <c r="M51" s="23">
        <f t="shared" si="22"/>
        <v>146140</v>
      </c>
      <c r="N51" s="23">
        <v>146140</v>
      </c>
      <c r="O51" s="23">
        <v>0</v>
      </c>
      <c r="P51" s="23">
        <v>200000</v>
      </c>
      <c r="Q51" s="23">
        <v>146140</v>
      </c>
      <c r="R51" s="23">
        <v>146140</v>
      </c>
      <c r="S51" s="23">
        <v>0</v>
      </c>
      <c r="T51" s="23">
        <f t="shared" si="121"/>
        <v>0</v>
      </c>
      <c r="U51" s="23">
        <f t="shared" si="122"/>
        <v>146140</v>
      </c>
      <c r="V51" s="23">
        <f t="shared" si="178"/>
        <v>0</v>
      </c>
      <c r="W51" s="24">
        <v>146140</v>
      </c>
      <c r="X51" s="24"/>
      <c r="Y51" s="24">
        <f t="shared" si="23"/>
        <v>146140</v>
      </c>
      <c r="Z51" s="25">
        <v>146140</v>
      </c>
      <c r="AA51" s="25">
        <f t="shared" si="24"/>
        <v>0</v>
      </c>
      <c r="AB51" s="25">
        <v>0</v>
      </c>
      <c r="AC51" s="25">
        <v>146140</v>
      </c>
      <c r="AD51" s="26">
        <v>146140</v>
      </c>
      <c r="AE51" s="25">
        <f t="shared" si="162"/>
        <v>146140</v>
      </c>
      <c r="AF51" s="25"/>
      <c r="AG51" s="25"/>
      <c r="AH51" s="26">
        <v>146140</v>
      </c>
      <c r="AI51" s="26">
        <v>146140</v>
      </c>
      <c r="AJ51" s="25">
        <f t="shared" si="141"/>
        <v>0</v>
      </c>
      <c r="AK51" s="25">
        <f t="shared" si="25"/>
        <v>0</v>
      </c>
      <c r="AL51" s="25">
        <f t="shared" si="26"/>
        <v>0</v>
      </c>
      <c r="AM51" s="26">
        <f t="shared" si="27"/>
        <v>0</v>
      </c>
      <c r="AN51" s="26">
        <f t="shared" si="28"/>
        <v>0</v>
      </c>
      <c r="AO51" s="26">
        <f t="shared" si="4"/>
        <v>0</v>
      </c>
      <c r="AP51" s="25">
        <v>146140</v>
      </c>
      <c r="AQ51" s="25">
        <f t="shared" si="5"/>
        <v>0</v>
      </c>
      <c r="AR51" s="25">
        <f t="shared" si="29"/>
        <v>0</v>
      </c>
      <c r="AS51" s="25">
        <f t="shared" si="30"/>
        <v>0</v>
      </c>
      <c r="AT51" s="25"/>
      <c r="AU51" s="25">
        <f t="shared" si="31"/>
        <v>146140</v>
      </c>
      <c r="AV51" s="25">
        <v>146140</v>
      </c>
      <c r="AW51" s="25">
        <f t="shared" si="32"/>
        <v>0</v>
      </c>
      <c r="AX51" s="25">
        <v>0</v>
      </c>
      <c r="AY51" s="26">
        <f t="shared" si="123"/>
        <v>-146140</v>
      </c>
      <c r="AZ51" s="26">
        <f t="shared" si="124"/>
        <v>-146140</v>
      </c>
      <c r="BA51" s="25">
        <v>146140</v>
      </c>
      <c r="BB51" s="25">
        <f t="shared" si="33"/>
        <v>0</v>
      </c>
      <c r="BC51" s="25">
        <f t="shared" si="34"/>
        <v>0</v>
      </c>
      <c r="BD51" s="25">
        <f t="shared" si="35"/>
        <v>146140</v>
      </c>
      <c r="BE51" s="25">
        <v>146140</v>
      </c>
      <c r="BF51" s="25">
        <v>146140</v>
      </c>
      <c r="BG51" s="25">
        <v>146140</v>
      </c>
      <c r="BH51" s="25">
        <f t="shared" si="36"/>
        <v>0</v>
      </c>
      <c r="BI51" s="25">
        <f t="shared" si="37"/>
        <v>0</v>
      </c>
      <c r="BJ51" s="25">
        <f t="shared" si="38"/>
        <v>0</v>
      </c>
      <c r="BK51" s="8">
        <f t="shared" si="39"/>
        <v>0</v>
      </c>
      <c r="BL51" s="25"/>
      <c r="BM51" s="25">
        <f t="shared" si="40"/>
        <v>146140</v>
      </c>
      <c r="BN51" s="37">
        <v>146140</v>
      </c>
      <c r="BO51" s="26">
        <f t="shared" si="41"/>
        <v>0</v>
      </c>
      <c r="BP51" s="37">
        <v>0</v>
      </c>
      <c r="BQ51" s="8">
        <f t="shared" si="42"/>
        <v>-146140</v>
      </c>
      <c r="BR51" s="8">
        <f t="shared" si="43"/>
        <v>-146140</v>
      </c>
      <c r="BS51" s="37">
        <v>200000</v>
      </c>
      <c r="BT51" s="40">
        <f t="shared" si="44"/>
        <v>53860</v>
      </c>
      <c r="BU51" s="40">
        <f t="shared" si="45"/>
        <v>53860</v>
      </c>
      <c r="BV51" s="40">
        <f t="shared" si="46"/>
        <v>200000</v>
      </c>
      <c r="BW51" s="38">
        <v>146140</v>
      </c>
      <c r="BX51" s="8">
        <f t="shared" si="47"/>
        <v>0</v>
      </c>
      <c r="BY51" s="8">
        <f t="shared" si="48"/>
        <v>0</v>
      </c>
      <c r="BZ51" s="8">
        <f t="shared" si="49"/>
        <v>-53860</v>
      </c>
      <c r="CA51" s="38">
        <v>146140</v>
      </c>
      <c r="CB51" s="8">
        <f t="shared" si="50"/>
        <v>0</v>
      </c>
      <c r="CC51" s="8">
        <f t="shared" si="51"/>
        <v>0</v>
      </c>
      <c r="CD51" s="8">
        <f t="shared" si="6"/>
        <v>-53860</v>
      </c>
      <c r="CE51" s="8">
        <f t="shared" si="52"/>
        <v>0</v>
      </c>
      <c r="CF51" s="38">
        <v>146140</v>
      </c>
      <c r="CG51" s="8">
        <f t="shared" si="53"/>
        <v>0</v>
      </c>
      <c r="CH51" s="8">
        <f t="shared" si="54"/>
        <v>0</v>
      </c>
      <c r="CI51" s="8">
        <f t="shared" si="55"/>
        <v>-53860</v>
      </c>
      <c r="CJ51" s="8">
        <f t="shared" si="56"/>
        <v>0</v>
      </c>
      <c r="CK51" s="38">
        <v>146140</v>
      </c>
      <c r="CL51" s="8">
        <f t="shared" si="7"/>
        <v>0</v>
      </c>
      <c r="CM51" s="8">
        <f t="shared" si="57"/>
        <v>0</v>
      </c>
      <c r="CN51" s="8">
        <f t="shared" si="58"/>
        <v>0</v>
      </c>
      <c r="CO51" s="38">
        <v>146140</v>
      </c>
      <c r="CP51" s="38">
        <f t="shared" si="59"/>
        <v>0</v>
      </c>
      <c r="CQ51" s="8">
        <f t="shared" si="60"/>
        <v>0</v>
      </c>
      <c r="CR51" s="38">
        <v>0</v>
      </c>
      <c r="CS51" s="26">
        <v>246140</v>
      </c>
      <c r="CT51" s="38">
        <f t="shared" si="61"/>
        <v>246140</v>
      </c>
      <c r="CU51" s="8">
        <f t="shared" si="62"/>
        <v>100000</v>
      </c>
      <c r="CV51" s="38">
        <f t="shared" si="63"/>
        <v>100000</v>
      </c>
      <c r="CW51" s="38">
        <f t="shared" si="64"/>
        <v>246140</v>
      </c>
      <c r="CX51" s="38">
        <v>146140</v>
      </c>
      <c r="CY51" s="8">
        <f t="shared" si="65"/>
        <v>0</v>
      </c>
      <c r="CZ51" s="38">
        <f t="shared" si="66"/>
        <v>0</v>
      </c>
      <c r="DA51" s="38">
        <f t="shared" si="67"/>
        <v>-100000</v>
      </c>
      <c r="DB51" s="38">
        <v>146140</v>
      </c>
      <c r="DC51" s="8">
        <f t="shared" si="68"/>
        <v>0</v>
      </c>
      <c r="DD51" s="38">
        <f t="shared" si="69"/>
        <v>0</v>
      </c>
      <c r="DE51" s="38">
        <f t="shared" si="70"/>
        <v>-100000</v>
      </c>
      <c r="DF51" s="38">
        <f t="shared" si="71"/>
        <v>0</v>
      </c>
      <c r="DG51" s="38">
        <v>246140</v>
      </c>
      <c r="DH51" s="40">
        <f t="shared" si="72"/>
        <v>100000</v>
      </c>
      <c r="DI51" s="38">
        <f t="shared" si="73"/>
        <v>100000</v>
      </c>
      <c r="DJ51" s="38">
        <f t="shared" si="74"/>
        <v>0</v>
      </c>
      <c r="DK51" s="38">
        <f t="shared" si="75"/>
        <v>100000</v>
      </c>
      <c r="DL51" s="38"/>
      <c r="DM51" s="38">
        <f t="shared" si="76"/>
        <v>246140</v>
      </c>
      <c r="DN51" s="38">
        <v>246140</v>
      </c>
      <c r="DO51" s="38">
        <f t="shared" si="77"/>
        <v>100000</v>
      </c>
      <c r="DP51" s="38"/>
      <c r="DQ51" s="38">
        <v>-3692</v>
      </c>
      <c r="DR51" s="38">
        <f t="shared" si="78"/>
        <v>242448</v>
      </c>
      <c r="DS51" s="38">
        <f t="shared" si="79"/>
        <v>96308</v>
      </c>
      <c r="DT51" s="38"/>
      <c r="DU51" s="38">
        <f t="shared" si="80"/>
        <v>242448</v>
      </c>
      <c r="DV51" s="38">
        <f t="shared" si="81"/>
        <v>96308</v>
      </c>
      <c r="DW51" s="38">
        <v>242448</v>
      </c>
      <c r="DX51" s="38">
        <v>0</v>
      </c>
      <c r="DY51" s="8">
        <f t="shared" si="163"/>
        <v>-242448</v>
      </c>
      <c r="DZ51" s="40">
        <v>0</v>
      </c>
      <c r="EA51" s="8">
        <f t="shared" si="164"/>
        <v>-242448</v>
      </c>
      <c r="EB51" s="8">
        <f t="shared" si="165"/>
        <v>0</v>
      </c>
      <c r="EC51" s="58" t="s">
        <v>256</v>
      </c>
      <c r="ED51" s="37">
        <v>250000</v>
      </c>
      <c r="EE51" s="25">
        <f t="shared" si="166"/>
        <v>7552</v>
      </c>
      <c r="EF51" s="25">
        <f t="shared" si="167"/>
        <v>250000</v>
      </c>
      <c r="EG51" s="25">
        <f t="shared" si="82"/>
        <v>250000</v>
      </c>
      <c r="EH51" s="37">
        <v>246140</v>
      </c>
      <c r="EI51" s="25">
        <f t="shared" si="168"/>
        <v>3692</v>
      </c>
      <c r="EJ51" s="25">
        <f t="shared" si="169"/>
        <v>246140</v>
      </c>
      <c r="EK51" s="25">
        <f t="shared" si="83"/>
        <v>-3860</v>
      </c>
      <c r="EL51" s="37">
        <v>246140</v>
      </c>
      <c r="EM51" s="25">
        <f t="shared" si="170"/>
        <v>3692</v>
      </c>
      <c r="EN51" s="25">
        <f t="shared" si="171"/>
        <v>246140</v>
      </c>
      <c r="EO51" s="25">
        <f t="shared" si="125"/>
        <v>-3860</v>
      </c>
      <c r="EP51" s="25">
        <f t="shared" si="84"/>
        <v>0</v>
      </c>
      <c r="EQ51" s="37">
        <v>250000</v>
      </c>
      <c r="ER51" s="25">
        <f t="shared" si="172"/>
        <v>7552</v>
      </c>
      <c r="ES51" s="25">
        <f t="shared" si="173"/>
        <v>250000</v>
      </c>
      <c r="ET51" s="25">
        <f t="shared" si="85"/>
        <v>0</v>
      </c>
      <c r="EU51" s="25">
        <f t="shared" si="86"/>
        <v>3860</v>
      </c>
      <c r="EV51" s="37">
        <v>250000</v>
      </c>
      <c r="EW51" s="25">
        <f t="shared" si="174"/>
        <v>7552</v>
      </c>
      <c r="EX51" s="25">
        <f t="shared" si="87"/>
        <v>0</v>
      </c>
      <c r="EY51" s="25">
        <f t="shared" si="177"/>
        <v>0</v>
      </c>
      <c r="EZ51" s="37">
        <v>250000</v>
      </c>
      <c r="FA51" s="25">
        <f t="shared" si="175"/>
        <v>7552</v>
      </c>
      <c r="FB51" s="25"/>
      <c r="FC51" s="25">
        <f t="shared" si="88"/>
        <v>250000</v>
      </c>
      <c r="FD51" s="25"/>
      <c r="FE51" s="25"/>
      <c r="FF51" s="25">
        <f t="shared" si="89"/>
        <v>250000</v>
      </c>
      <c r="FG51" s="37">
        <v>0</v>
      </c>
      <c r="FH51" s="25">
        <f t="shared" si="90"/>
        <v>-250000</v>
      </c>
      <c r="FI51" s="25"/>
      <c r="FJ51" s="37">
        <v>0</v>
      </c>
      <c r="FK51" s="37">
        <f t="shared" si="91"/>
        <v>-250000</v>
      </c>
      <c r="FL51" s="37">
        <f t="shared" si="92"/>
        <v>0</v>
      </c>
      <c r="FM51" s="37">
        <v>0</v>
      </c>
      <c r="FN51" s="37">
        <f t="shared" si="93"/>
        <v>-250000</v>
      </c>
      <c r="FO51" s="37">
        <f t="shared" si="94"/>
        <v>0</v>
      </c>
      <c r="FP51" s="37">
        <f t="shared" si="95"/>
        <v>0</v>
      </c>
      <c r="FQ51" s="37"/>
      <c r="FR51" s="37">
        <v>250000</v>
      </c>
      <c r="FS51" s="37">
        <f t="shared" si="96"/>
        <v>0</v>
      </c>
      <c r="FT51" s="37">
        <f t="shared" si="97"/>
        <v>250000</v>
      </c>
      <c r="FU51" s="37">
        <f t="shared" si="98"/>
        <v>250000</v>
      </c>
      <c r="FV51" s="100"/>
      <c r="FW51" s="37">
        <v>250000</v>
      </c>
      <c r="FX51" s="37">
        <f t="shared" si="99"/>
        <v>0</v>
      </c>
      <c r="FY51" s="37">
        <f t="shared" si="100"/>
        <v>250000</v>
      </c>
      <c r="FZ51" s="37">
        <f t="shared" si="101"/>
        <v>250000</v>
      </c>
      <c r="GA51" s="37">
        <f t="shared" si="102"/>
        <v>0</v>
      </c>
      <c r="GB51" s="107"/>
      <c r="GC51" s="37">
        <v>0</v>
      </c>
      <c r="GD51" s="26"/>
      <c r="GE51" s="37">
        <f t="shared" si="103"/>
        <v>0</v>
      </c>
      <c r="GF51" s="38"/>
      <c r="GG51" s="37">
        <f t="shared" si="104"/>
        <v>0</v>
      </c>
      <c r="GH51" s="26">
        <f t="shared" si="151"/>
        <v>-250000</v>
      </c>
      <c r="GI51" s="37">
        <f t="shared" si="152"/>
        <v>0</v>
      </c>
      <c r="GJ51" s="37">
        <f t="shared" si="153"/>
        <v>0</v>
      </c>
      <c r="GK51" s="37">
        <f t="shared" si="154"/>
        <v>-250000</v>
      </c>
      <c r="GL51" s="37">
        <f t="shared" si="155"/>
        <v>0</v>
      </c>
      <c r="GM51" s="107"/>
      <c r="GN51" s="115"/>
      <c r="GO51" s="113">
        <f t="shared" si="105"/>
        <v>0</v>
      </c>
      <c r="GP51" s="113"/>
      <c r="GQ51" s="113">
        <f t="shared" si="106"/>
        <v>0</v>
      </c>
      <c r="GR51" s="113"/>
      <c r="GS51" s="128">
        <v>0</v>
      </c>
      <c r="GT51" s="128">
        <v>0</v>
      </c>
      <c r="GU51" s="123">
        <f t="shared" si="179"/>
        <v>0</v>
      </c>
      <c r="GV51" s="115"/>
      <c r="GW51" s="99">
        <v>0</v>
      </c>
      <c r="GX51" s="128">
        <f t="shared" si="108"/>
        <v>0</v>
      </c>
      <c r="GY51" s="128">
        <f t="shared" si="109"/>
        <v>0</v>
      </c>
      <c r="GZ51" s="115"/>
      <c r="HA51" s="99">
        <v>0</v>
      </c>
      <c r="HB51" s="128">
        <f t="shared" si="110"/>
        <v>0</v>
      </c>
      <c r="HC51" s="128">
        <f t="shared" si="111"/>
        <v>0</v>
      </c>
      <c r="HD51" s="128">
        <f t="shared" si="112"/>
        <v>0</v>
      </c>
      <c r="HE51" s="115"/>
      <c r="HF51" s="99"/>
      <c r="HG51" s="128">
        <f t="shared" si="126"/>
        <v>0</v>
      </c>
      <c r="HH51" s="128">
        <f t="shared" si="113"/>
        <v>0</v>
      </c>
      <c r="HI51" s="128">
        <f t="shared" si="114"/>
        <v>0</v>
      </c>
      <c r="HJ51" s="115"/>
      <c r="HK51" s="99"/>
      <c r="HL51" s="128">
        <f t="shared" si="115"/>
        <v>0</v>
      </c>
      <c r="HM51" s="128">
        <f t="shared" si="116"/>
        <v>0</v>
      </c>
      <c r="HN51" s="128">
        <f t="shared" si="117"/>
        <v>0</v>
      </c>
      <c r="HO51" s="128">
        <f t="shared" si="118"/>
        <v>0</v>
      </c>
      <c r="HP51" s="115"/>
      <c r="HQ51" s="99"/>
      <c r="HR51" s="128">
        <f t="shared" si="145"/>
        <v>0</v>
      </c>
      <c r="HS51" s="128">
        <f t="shared" si="156"/>
        <v>0</v>
      </c>
      <c r="HT51" s="128">
        <f t="shared" si="157"/>
        <v>0</v>
      </c>
      <c r="HU51" s="128">
        <f t="shared" si="158"/>
        <v>0</v>
      </c>
      <c r="HV51" s="115"/>
      <c r="HW51" s="99"/>
      <c r="HX51" s="128">
        <f t="shared" si="159"/>
        <v>0</v>
      </c>
      <c r="HY51" s="128">
        <f t="shared" si="160"/>
        <v>0</v>
      </c>
      <c r="HZ51" s="128">
        <f t="shared" si="119"/>
        <v>0</v>
      </c>
      <c r="IA51" s="115"/>
      <c r="IB51" s="99"/>
      <c r="IC51" s="115"/>
      <c r="ID51" s="128">
        <f t="shared" si="180"/>
        <v>0</v>
      </c>
      <c r="IE51" s="164">
        <f t="shared" si="181"/>
        <v>0</v>
      </c>
      <c r="IF51" s="185">
        <v>0</v>
      </c>
      <c r="IG51" s="40">
        <f t="shared" si="120"/>
        <v>0</v>
      </c>
      <c r="IH51" s="115"/>
    </row>
    <row r="52" spans="1:244" ht="12.75" x14ac:dyDescent="0.2">
      <c r="A52" s="17" t="s">
        <v>11</v>
      </c>
      <c r="B52" s="18"/>
      <c r="C52" s="52" t="s">
        <v>12</v>
      </c>
      <c r="D52" s="20">
        <v>100000</v>
      </c>
      <c r="E52" s="21">
        <v>1</v>
      </c>
      <c r="F52" s="21">
        <v>1</v>
      </c>
      <c r="G52" s="21">
        <v>1</v>
      </c>
      <c r="H52" s="22"/>
      <c r="I52" s="21">
        <f t="shared" si="0"/>
        <v>1</v>
      </c>
      <c r="J52" s="22"/>
      <c r="K52" s="22"/>
      <c r="L52" s="22">
        <f t="shared" si="1"/>
        <v>0</v>
      </c>
      <c r="M52" s="23">
        <f t="shared" si="22"/>
        <v>1</v>
      </c>
      <c r="N52" s="23">
        <v>1</v>
      </c>
      <c r="O52" s="23">
        <v>1</v>
      </c>
      <c r="P52" s="23">
        <v>1</v>
      </c>
      <c r="Q52" s="23">
        <v>1</v>
      </c>
      <c r="R52" s="23">
        <v>1</v>
      </c>
      <c r="S52" s="23">
        <v>0</v>
      </c>
      <c r="T52" s="23">
        <f t="shared" si="121"/>
        <v>0</v>
      </c>
      <c r="U52" s="23">
        <f t="shared" si="122"/>
        <v>1</v>
      </c>
      <c r="V52" s="23">
        <f t="shared" si="178"/>
        <v>0</v>
      </c>
      <c r="W52" s="24">
        <v>1</v>
      </c>
      <c r="X52" s="24"/>
      <c r="Y52" s="24">
        <f t="shared" si="23"/>
        <v>1</v>
      </c>
      <c r="Z52" s="25">
        <v>1</v>
      </c>
      <c r="AA52" s="25">
        <f t="shared" si="24"/>
        <v>0</v>
      </c>
      <c r="AB52" s="25">
        <v>1</v>
      </c>
      <c r="AC52" s="25">
        <v>1</v>
      </c>
      <c r="AD52" s="26">
        <v>1</v>
      </c>
      <c r="AE52" s="25"/>
      <c r="AF52" s="25"/>
      <c r="AG52" s="25"/>
      <c r="AH52" s="26">
        <v>1</v>
      </c>
      <c r="AI52" s="26">
        <v>1</v>
      </c>
      <c r="AJ52" s="25">
        <f t="shared" si="141"/>
        <v>0</v>
      </c>
      <c r="AK52" s="25">
        <f t="shared" si="25"/>
        <v>0</v>
      </c>
      <c r="AL52" s="25">
        <f t="shared" si="26"/>
        <v>0</v>
      </c>
      <c r="AM52" s="26">
        <f t="shared" si="27"/>
        <v>0</v>
      </c>
      <c r="AN52" s="26">
        <f t="shared" si="28"/>
        <v>0</v>
      </c>
      <c r="AO52" s="26">
        <f t="shared" si="4"/>
        <v>0</v>
      </c>
      <c r="AP52" s="25">
        <v>1</v>
      </c>
      <c r="AQ52" s="25">
        <f t="shared" si="5"/>
        <v>0</v>
      </c>
      <c r="AR52" s="25">
        <f t="shared" si="29"/>
        <v>0</v>
      </c>
      <c r="AS52" s="25">
        <f t="shared" si="30"/>
        <v>0</v>
      </c>
      <c r="AT52" s="25"/>
      <c r="AU52" s="25">
        <f t="shared" si="31"/>
        <v>1</v>
      </c>
      <c r="AV52" s="25">
        <v>1</v>
      </c>
      <c r="AW52" s="25">
        <f t="shared" si="32"/>
        <v>0</v>
      </c>
      <c r="AX52" s="25">
        <v>1</v>
      </c>
      <c r="AY52" s="26">
        <f t="shared" si="123"/>
        <v>0</v>
      </c>
      <c r="AZ52" s="26">
        <f t="shared" si="124"/>
        <v>0</v>
      </c>
      <c r="BA52" s="25">
        <v>1</v>
      </c>
      <c r="BB52" s="25">
        <f t="shared" si="33"/>
        <v>0</v>
      </c>
      <c r="BC52" s="25">
        <f t="shared" si="34"/>
        <v>0</v>
      </c>
      <c r="BD52" s="25">
        <f t="shared" si="35"/>
        <v>0</v>
      </c>
      <c r="BE52" s="25">
        <v>2</v>
      </c>
      <c r="BF52" s="25">
        <v>2</v>
      </c>
      <c r="BG52" s="25">
        <v>2</v>
      </c>
      <c r="BH52" s="25">
        <f t="shared" si="36"/>
        <v>1</v>
      </c>
      <c r="BI52" s="25">
        <f t="shared" si="37"/>
        <v>1</v>
      </c>
      <c r="BJ52" s="25">
        <f t="shared" si="38"/>
        <v>1</v>
      </c>
      <c r="BK52" s="8">
        <f t="shared" si="39"/>
        <v>0</v>
      </c>
      <c r="BL52" s="25"/>
      <c r="BM52" s="25">
        <f t="shared" si="40"/>
        <v>2</v>
      </c>
      <c r="BN52" s="37">
        <v>1</v>
      </c>
      <c r="BO52" s="26">
        <f t="shared" si="41"/>
        <v>-1</v>
      </c>
      <c r="BP52" s="37">
        <v>1</v>
      </c>
      <c r="BQ52" s="8">
        <f t="shared" si="42"/>
        <v>-1</v>
      </c>
      <c r="BR52" s="8">
        <f t="shared" si="43"/>
        <v>0</v>
      </c>
      <c r="BS52" s="37">
        <f>BP52</f>
        <v>1</v>
      </c>
      <c r="BT52" s="40">
        <f t="shared" si="44"/>
        <v>-1</v>
      </c>
      <c r="BU52" s="40">
        <f t="shared" si="45"/>
        <v>0</v>
      </c>
      <c r="BV52" s="40">
        <f t="shared" si="46"/>
        <v>0</v>
      </c>
      <c r="BW52" s="38">
        <v>3</v>
      </c>
      <c r="BX52" s="8">
        <f t="shared" si="47"/>
        <v>1</v>
      </c>
      <c r="BY52" s="8">
        <f t="shared" si="48"/>
        <v>2</v>
      </c>
      <c r="BZ52" s="8">
        <f t="shared" si="49"/>
        <v>2</v>
      </c>
      <c r="CA52" s="38">
        <v>3</v>
      </c>
      <c r="CB52" s="8">
        <f t="shared" si="50"/>
        <v>1</v>
      </c>
      <c r="CC52" s="8">
        <f t="shared" si="51"/>
        <v>2</v>
      </c>
      <c r="CD52" s="8">
        <f t="shared" si="6"/>
        <v>2</v>
      </c>
      <c r="CE52" s="8">
        <f t="shared" si="52"/>
        <v>0</v>
      </c>
      <c r="CF52" s="38">
        <v>3</v>
      </c>
      <c r="CG52" s="8">
        <f t="shared" si="53"/>
        <v>1</v>
      </c>
      <c r="CH52" s="8">
        <f t="shared" si="54"/>
        <v>2</v>
      </c>
      <c r="CI52" s="8">
        <f t="shared" si="55"/>
        <v>2</v>
      </c>
      <c r="CJ52" s="8">
        <f t="shared" si="56"/>
        <v>0</v>
      </c>
      <c r="CK52" s="38">
        <v>3</v>
      </c>
      <c r="CL52" s="8">
        <f t="shared" si="7"/>
        <v>1</v>
      </c>
      <c r="CM52" s="8">
        <f t="shared" si="57"/>
        <v>2</v>
      </c>
      <c r="CN52" s="8">
        <f t="shared" si="58"/>
        <v>0</v>
      </c>
      <c r="CO52" s="38">
        <v>1</v>
      </c>
      <c r="CP52" s="38">
        <f t="shared" si="59"/>
        <v>0</v>
      </c>
      <c r="CQ52" s="8">
        <f t="shared" si="60"/>
        <v>-2</v>
      </c>
      <c r="CR52" s="38">
        <v>5</v>
      </c>
      <c r="CS52" s="27"/>
      <c r="CT52" s="38">
        <f t="shared" si="61"/>
        <v>5</v>
      </c>
      <c r="CU52" s="8">
        <f t="shared" si="62"/>
        <v>2</v>
      </c>
      <c r="CV52" s="38">
        <f t="shared" si="63"/>
        <v>4</v>
      </c>
      <c r="CW52" s="38">
        <f t="shared" si="64"/>
        <v>0</v>
      </c>
      <c r="CX52" s="49">
        <v>5.5</v>
      </c>
      <c r="CY52" s="48">
        <f t="shared" si="65"/>
        <v>2.5</v>
      </c>
      <c r="CZ52" s="49">
        <f t="shared" si="66"/>
        <v>4.5</v>
      </c>
      <c r="DA52" s="49">
        <f t="shared" si="67"/>
        <v>0.5</v>
      </c>
      <c r="DB52" s="49">
        <v>5.5</v>
      </c>
      <c r="DC52" s="8">
        <f t="shared" si="68"/>
        <v>2.5</v>
      </c>
      <c r="DD52" s="38">
        <f t="shared" si="69"/>
        <v>4.5</v>
      </c>
      <c r="DE52" s="38">
        <f t="shared" si="70"/>
        <v>0.5</v>
      </c>
      <c r="DF52" s="38">
        <f t="shared" si="71"/>
        <v>0</v>
      </c>
      <c r="DG52" s="49">
        <v>5.5</v>
      </c>
      <c r="DH52" s="40">
        <f t="shared" si="72"/>
        <v>2.5</v>
      </c>
      <c r="DI52" s="38">
        <f t="shared" si="73"/>
        <v>4.5</v>
      </c>
      <c r="DJ52" s="38">
        <f t="shared" si="74"/>
        <v>0.5</v>
      </c>
      <c r="DK52" s="38">
        <f t="shared" si="75"/>
        <v>0</v>
      </c>
      <c r="DL52" s="38"/>
      <c r="DM52" s="38">
        <f t="shared" si="76"/>
        <v>5.5</v>
      </c>
      <c r="DN52" s="49">
        <v>5.5</v>
      </c>
      <c r="DO52" s="38">
        <f t="shared" si="77"/>
        <v>2.5</v>
      </c>
      <c r="DP52" s="38"/>
      <c r="DQ52" s="38">
        <v>0</v>
      </c>
      <c r="DR52" s="38">
        <f t="shared" si="78"/>
        <v>5.5</v>
      </c>
      <c r="DS52" s="38">
        <f t="shared" si="79"/>
        <v>2.5</v>
      </c>
      <c r="DT52" s="38"/>
      <c r="DU52" s="38">
        <f t="shared" si="80"/>
        <v>5.5</v>
      </c>
      <c r="DV52" s="38">
        <f t="shared" si="81"/>
        <v>2.5</v>
      </c>
      <c r="DW52" s="38">
        <v>5.5</v>
      </c>
      <c r="DX52" s="38">
        <v>6</v>
      </c>
      <c r="DY52" s="8">
        <f t="shared" si="163"/>
        <v>0.5</v>
      </c>
      <c r="DZ52" s="40">
        <v>1</v>
      </c>
      <c r="EA52" s="8">
        <f t="shared" si="164"/>
        <v>-4.5</v>
      </c>
      <c r="EB52" s="8">
        <f t="shared" si="165"/>
        <v>-5</v>
      </c>
      <c r="EC52" s="60"/>
      <c r="ED52" s="37">
        <v>1</v>
      </c>
      <c r="EE52" s="25">
        <f t="shared" si="166"/>
        <v>-4.5</v>
      </c>
      <c r="EF52" s="25">
        <f t="shared" si="167"/>
        <v>-5</v>
      </c>
      <c r="EG52" s="25">
        <f t="shared" si="82"/>
        <v>0</v>
      </c>
      <c r="EH52" s="37">
        <v>3</v>
      </c>
      <c r="EI52" s="25">
        <f t="shared" si="168"/>
        <v>-2.5</v>
      </c>
      <c r="EJ52" s="25">
        <f t="shared" si="169"/>
        <v>-3</v>
      </c>
      <c r="EK52" s="25">
        <f t="shared" si="83"/>
        <v>2</v>
      </c>
      <c r="EL52" s="37">
        <v>3</v>
      </c>
      <c r="EM52" s="25">
        <f t="shared" si="170"/>
        <v>-2.5</v>
      </c>
      <c r="EN52" s="25">
        <f t="shared" si="171"/>
        <v>-3</v>
      </c>
      <c r="EO52" s="25">
        <f t="shared" si="125"/>
        <v>2</v>
      </c>
      <c r="EP52" s="25">
        <f t="shared" si="84"/>
        <v>0</v>
      </c>
      <c r="EQ52" s="37">
        <v>1</v>
      </c>
      <c r="ER52" s="25">
        <f t="shared" si="172"/>
        <v>-4.5</v>
      </c>
      <c r="ES52" s="25">
        <f t="shared" si="173"/>
        <v>-5</v>
      </c>
      <c r="ET52" s="25">
        <f t="shared" si="85"/>
        <v>0</v>
      </c>
      <c r="EU52" s="25">
        <f t="shared" si="86"/>
        <v>-2</v>
      </c>
      <c r="EV52" s="37">
        <v>1</v>
      </c>
      <c r="EW52" s="25">
        <f t="shared" si="174"/>
        <v>-4.5</v>
      </c>
      <c r="EX52" s="25">
        <f t="shared" si="87"/>
        <v>0</v>
      </c>
      <c r="EY52" s="25">
        <f t="shared" si="177"/>
        <v>0</v>
      </c>
      <c r="EZ52" s="37">
        <v>1</v>
      </c>
      <c r="FA52" s="25">
        <f t="shared" si="175"/>
        <v>-4.5</v>
      </c>
      <c r="FB52" s="25"/>
      <c r="FC52" s="25">
        <f t="shared" si="88"/>
        <v>1</v>
      </c>
      <c r="FD52" s="25"/>
      <c r="FE52" s="25"/>
      <c r="FF52" s="25">
        <f t="shared" si="89"/>
        <v>1</v>
      </c>
      <c r="FG52" s="37">
        <v>1</v>
      </c>
      <c r="FH52" s="25">
        <f t="shared" si="90"/>
        <v>0</v>
      </c>
      <c r="FI52" s="25"/>
      <c r="FJ52" s="37">
        <v>1</v>
      </c>
      <c r="FK52" s="37">
        <f t="shared" si="91"/>
        <v>0</v>
      </c>
      <c r="FL52" s="37">
        <f t="shared" si="92"/>
        <v>0</v>
      </c>
      <c r="FM52" s="37">
        <v>1</v>
      </c>
      <c r="FN52" s="37">
        <f t="shared" si="93"/>
        <v>0</v>
      </c>
      <c r="FO52" s="37">
        <f t="shared" si="94"/>
        <v>0</v>
      </c>
      <c r="FP52" s="37">
        <f t="shared" si="95"/>
        <v>0</v>
      </c>
      <c r="FQ52" s="37"/>
      <c r="FR52" s="37">
        <v>1</v>
      </c>
      <c r="FS52" s="37">
        <f t="shared" si="96"/>
        <v>0</v>
      </c>
      <c r="FT52" s="37">
        <f t="shared" si="97"/>
        <v>0</v>
      </c>
      <c r="FU52" s="37">
        <f t="shared" si="98"/>
        <v>0</v>
      </c>
      <c r="FV52" s="100"/>
      <c r="FW52" s="37">
        <v>1</v>
      </c>
      <c r="FX52" s="37">
        <f t="shared" si="99"/>
        <v>0</v>
      </c>
      <c r="FY52" s="37">
        <f t="shared" si="100"/>
        <v>0</v>
      </c>
      <c r="FZ52" s="37">
        <f t="shared" si="101"/>
        <v>0</v>
      </c>
      <c r="GA52" s="37">
        <f t="shared" si="102"/>
        <v>0</v>
      </c>
      <c r="GB52" s="107"/>
      <c r="GC52" s="37">
        <v>1</v>
      </c>
      <c r="GD52" s="26"/>
      <c r="GE52" s="37">
        <f t="shared" si="103"/>
        <v>1</v>
      </c>
      <c r="GF52" s="38"/>
      <c r="GG52" s="37">
        <f t="shared" si="104"/>
        <v>1</v>
      </c>
      <c r="GH52" s="26">
        <f t="shared" si="151"/>
        <v>0</v>
      </c>
      <c r="GI52" s="37">
        <f t="shared" si="152"/>
        <v>0</v>
      </c>
      <c r="GJ52" s="37">
        <f t="shared" si="153"/>
        <v>0</v>
      </c>
      <c r="GK52" s="37">
        <f t="shared" si="154"/>
        <v>0</v>
      </c>
      <c r="GL52" s="37">
        <f t="shared" si="155"/>
        <v>0</v>
      </c>
      <c r="GM52" s="107"/>
      <c r="GN52" s="115"/>
      <c r="GO52" s="113">
        <f t="shared" si="105"/>
        <v>1</v>
      </c>
      <c r="GP52" s="113"/>
      <c r="GQ52" s="113">
        <f t="shared" si="106"/>
        <v>1</v>
      </c>
      <c r="GR52" s="113"/>
      <c r="GS52" s="128">
        <v>1</v>
      </c>
      <c r="GT52" s="128">
        <v>1</v>
      </c>
      <c r="GU52" s="123">
        <f t="shared" si="179"/>
        <v>0</v>
      </c>
      <c r="GV52" s="115"/>
      <c r="GW52" s="99">
        <v>1</v>
      </c>
      <c r="GX52" s="128">
        <f t="shared" si="108"/>
        <v>0</v>
      </c>
      <c r="GY52" s="128">
        <f t="shared" si="109"/>
        <v>0</v>
      </c>
      <c r="GZ52" s="115"/>
      <c r="HA52" s="99">
        <v>1</v>
      </c>
      <c r="HB52" s="128">
        <f t="shared" si="110"/>
        <v>0</v>
      </c>
      <c r="HC52" s="128">
        <f t="shared" si="111"/>
        <v>0</v>
      </c>
      <c r="HD52" s="128">
        <f t="shared" si="112"/>
        <v>0</v>
      </c>
      <c r="HE52" s="115"/>
      <c r="HF52" s="99">
        <v>1</v>
      </c>
      <c r="HG52" s="128">
        <f t="shared" si="126"/>
        <v>0</v>
      </c>
      <c r="HH52" s="128">
        <f t="shared" si="113"/>
        <v>0</v>
      </c>
      <c r="HI52" s="128">
        <f t="shared" si="114"/>
        <v>0</v>
      </c>
      <c r="HJ52" s="115"/>
      <c r="HK52" s="99">
        <v>1</v>
      </c>
      <c r="HL52" s="128">
        <f t="shared" si="115"/>
        <v>0</v>
      </c>
      <c r="HM52" s="128">
        <f t="shared" si="116"/>
        <v>0</v>
      </c>
      <c r="HN52" s="128">
        <f t="shared" si="117"/>
        <v>0</v>
      </c>
      <c r="HO52" s="128">
        <f t="shared" si="118"/>
        <v>0</v>
      </c>
      <c r="HP52" s="115"/>
      <c r="HQ52" s="99">
        <v>1</v>
      </c>
      <c r="HR52" s="128">
        <f t="shared" si="145"/>
        <v>0</v>
      </c>
      <c r="HS52" s="128">
        <f t="shared" si="156"/>
        <v>0</v>
      </c>
      <c r="HT52" s="128">
        <f t="shared" si="157"/>
        <v>0</v>
      </c>
      <c r="HU52" s="128">
        <f t="shared" si="158"/>
        <v>0</v>
      </c>
      <c r="HV52" s="115"/>
      <c r="HW52" s="99">
        <v>1</v>
      </c>
      <c r="HX52" s="128">
        <f t="shared" si="159"/>
        <v>0</v>
      </c>
      <c r="HY52" s="128">
        <f t="shared" si="160"/>
        <v>0</v>
      </c>
      <c r="HZ52" s="128">
        <f t="shared" si="119"/>
        <v>0</v>
      </c>
      <c r="IA52" s="115"/>
      <c r="IB52" s="99">
        <v>1</v>
      </c>
      <c r="IC52" s="115"/>
      <c r="ID52" s="128">
        <f t="shared" si="180"/>
        <v>1</v>
      </c>
      <c r="IE52" s="164">
        <f t="shared" si="181"/>
        <v>0</v>
      </c>
      <c r="IF52" s="185">
        <v>1</v>
      </c>
      <c r="IG52" s="40">
        <f t="shared" si="120"/>
        <v>0</v>
      </c>
      <c r="IH52" s="115"/>
    </row>
    <row r="53" spans="1:244" ht="14.25" customHeight="1" x14ac:dyDescent="0.2">
      <c r="A53" s="39" t="s">
        <v>379</v>
      </c>
      <c r="B53" s="18"/>
      <c r="C53" s="51" t="s">
        <v>388</v>
      </c>
      <c r="D53" s="20"/>
      <c r="E53" s="21"/>
      <c r="F53" s="21"/>
      <c r="G53" s="21"/>
      <c r="H53" s="22"/>
      <c r="I53" s="21"/>
      <c r="J53" s="22"/>
      <c r="K53" s="22"/>
      <c r="L53" s="22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4"/>
      <c r="X53" s="24"/>
      <c r="Y53" s="24"/>
      <c r="Z53" s="25"/>
      <c r="AA53" s="25"/>
      <c r="AB53" s="25"/>
      <c r="AC53" s="25"/>
      <c r="AD53" s="26"/>
      <c r="AE53" s="25"/>
      <c r="AF53" s="25"/>
      <c r="AG53" s="25"/>
      <c r="AH53" s="26"/>
      <c r="AI53" s="26"/>
      <c r="AJ53" s="25"/>
      <c r="AK53" s="25"/>
      <c r="AL53" s="25"/>
      <c r="AM53" s="26"/>
      <c r="AN53" s="26"/>
      <c r="AO53" s="26"/>
      <c r="AP53" s="25"/>
      <c r="AQ53" s="25"/>
      <c r="AR53" s="25"/>
      <c r="AS53" s="25"/>
      <c r="AT53" s="25"/>
      <c r="AU53" s="25"/>
      <c r="AV53" s="25"/>
      <c r="AW53" s="25"/>
      <c r="AX53" s="25"/>
      <c r="AY53" s="26"/>
      <c r="AZ53" s="26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8"/>
      <c r="BL53" s="25"/>
      <c r="BM53" s="25"/>
      <c r="BN53" s="37"/>
      <c r="BO53" s="26"/>
      <c r="BP53" s="37"/>
      <c r="BQ53" s="8"/>
      <c r="BR53" s="8"/>
      <c r="BS53" s="37"/>
      <c r="BT53" s="40"/>
      <c r="BU53" s="40"/>
      <c r="BV53" s="40"/>
      <c r="BW53" s="38"/>
      <c r="BX53" s="8"/>
      <c r="BY53" s="8"/>
      <c r="BZ53" s="8"/>
      <c r="CA53" s="38"/>
      <c r="CB53" s="8"/>
      <c r="CC53" s="8"/>
      <c r="CD53" s="8"/>
      <c r="CE53" s="8"/>
      <c r="CF53" s="38"/>
      <c r="CG53" s="8"/>
      <c r="CH53" s="8"/>
      <c r="CI53" s="8"/>
      <c r="CJ53" s="8"/>
      <c r="CK53" s="38"/>
      <c r="CL53" s="8"/>
      <c r="CM53" s="8"/>
      <c r="CN53" s="8"/>
      <c r="CO53" s="38"/>
      <c r="CP53" s="38"/>
      <c r="CQ53" s="8"/>
      <c r="CR53" s="38"/>
      <c r="CS53" s="27"/>
      <c r="CT53" s="38"/>
      <c r="CU53" s="8"/>
      <c r="CV53" s="38"/>
      <c r="CW53" s="38"/>
      <c r="CX53" s="49"/>
      <c r="CY53" s="48"/>
      <c r="CZ53" s="49"/>
      <c r="DA53" s="49"/>
      <c r="DB53" s="49"/>
      <c r="DC53" s="8"/>
      <c r="DD53" s="38"/>
      <c r="DE53" s="38"/>
      <c r="DF53" s="38"/>
      <c r="DG53" s="49"/>
      <c r="DH53" s="40"/>
      <c r="DI53" s="38"/>
      <c r="DJ53" s="38"/>
      <c r="DK53" s="38"/>
      <c r="DL53" s="38"/>
      <c r="DM53" s="38"/>
      <c r="DN53" s="49"/>
      <c r="DO53" s="38"/>
      <c r="DP53" s="38"/>
      <c r="DQ53" s="38"/>
      <c r="DR53" s="38"/>
      <c r="DS53" s="38"/>
      <c r="DT53" s="38"/>
      <c r="DU53" s="38"/>
      <c r="DV53" s="38"/>
      <c r="DW53" s="38">
        <v>0</v>
      </c>
      <c r="DX53" s="37">
        <v>1379000</v>
      </c>
      <c r="DY53" s="8"/>
      <c r="DZ53" s="40"/>
      <c r="EA53" s="8"/>
      <c r="EB53" s="8"/>
      <c r="EC53" s="60"/>
      <c r="ED53" s="37"/>
      <c r="EE53" s="25"/>
      <c r="EF53" s="25"/>
      <c r="EG53" s="25"/>
      <c r="EH53" s="37"/>
      <c r="EI53" s="25"/>
      <c r="EJ53" s="25"/>
      <c r="EK53" s="25"/>
      <c r="EL53" s="37"/>
      <c r="EM53" s="25"/>
      <c r="EN53" s="25"/>
      <c r="EO53" s="25"/>
      <c r="EP53" s="25"/>
      <c r="EQ53" s="37"/>
      <c r="ER53" s="25"/>
      <c r="ES53" s="25"/>
      <c r="ET53" s="25"/>
      <c r="EU53" s="25"/>
      <c r="EV53" s="37"/>
      <c r="EW53" s="25"/>
      <c r="EX53" s="25"/>
      <c r="EY53" s="25"/>
      <c r="EZ53" s="37"/>
      <c r="FA53" s="25"/>
      <c r="FB53" s="25"/>
      <c r="FC53" s="25"/>
      <c r="FD53" s="25"/>
      <c r="FE53" s="25"/>
      <c r="FF53" s="25">
        <v>0</v>
      </c>
      <c r="FG53" s="37"/>
      <c r="FH53" s="25"/>
      <c r="FI53" s="25"/>
      <c r="FJ53" s="37"/>
      <c r="FK53" s="37"/>
      <c r="FL53" s="37"/>
      <c r="FM53" s="37"/>
      <c r="FN53" s="37"/>
      <c r="FO53" s="37"/>
      <c r="FP53" s="37"/>
      <c r="FQ53" s="37"/>
      <c r="FR53" s="37"/>
      <c r="FS53" s="37"/>
      <c r="FT53" s="37"/>
      <c r="FU53" s="37"/>
      <c r="FV53" s="100"/>
      <c r="FW53" s="37"/>
      <c r="FX53" s="37"/>
      <c r="FY53" s="37"/>
      <c r="FZ53" s="37"/>
      <c r="GA53" s="37"/>
      <c r="GB53" s="115"/>
      <c r="GC53" s="37"/>
      <c r="GD53" s="26"/>
      <c r="GE53" s="37"/>
      <c r="GF53" s="38"/>
      <c r="GG53" s="37"/>
      <c r="GH53" s="26"/>
      <c r="GI53" s="37"/>
      <c r="GJ53" s="37"/>
      <c r="GK53" s="37"/>
      <c r="GL53" s="37"/>
      <c r="GM53" s="115"/>
      <c r="GN53" s="115"/>
      <c r="GO53" s="113"/>
      <c r="GP53" s="113"/>
      <c r="GQ53" s="113"/>
      <c r="GR53" s="113"/>
      <c r="GS53" s="128">
        <v>0</v>
      </c>
      <c r="GT53" s="128">
        <v>1400000</v>
      </c>
      <c r="GU53" s="123">
        <f t="shared" si="179"/>
        <v>1400000</v>
      </c>
      <c r="GV53" s="115" t="s">
        <v>382</v>
      </c>
      <c r="GW53" s="99">
        <v>1400000</v>
      </c>
      <c r="GX53" s="128">
        <f t="shared" si="108"/>
        <v>1400000</v>
      </c>
      <c r="GY53" s="128">
        <f t="shared" si="109"/>
        <v>0</v>
      </c>
      <c r="GZ53" s="115" t="s">
        <v>382</v>
      </c>
      <c r="HA53" s="99">
        <v>1400000</v>
      </c>
      <c r="HB53" s="128">
        <f t="shared" si="110"/>
        <v>1400000</v>
      </c>
      <c r="HC53" s="128">
        <f t="shared" si="111"/>
        <v>0</v>
      </c>
      <c r="HD53" s="128">
        <f t="shared" si="112"/>
        <v>0</v>
      </c>
      <c r="HE53" s="115" t="s">
        <v>382</v>
      </c>
      <c r="HF53" s="99">
        <v>1400000</v>
      </c>
      <c r="HG53" s="128">
        <f t="shared" si="126"/>
        <v>1400000</v>
      </c>
      <c r="HH53" s="128">
        <f t="shared" si="113"/>
        <v>0</v>
      </c>
      <c r="HI53" s="128">
        <f t="shared" si="114"/>
        <v>0</v>
      </c>
      <c r="HJ53" s="115" t="s">
        <v>382</v>
      </c>
      <c r="HK53" s="99">
        <v>1400000</v>
      </c>
      <c r="HL53" s="128">
        <f t="shared" si="115"/>
        <v>1400000</v>
      </c>
      <c r="HM53" s="128">
        <f t="shared" si="116"/>
        <v>0</v>
      </c>
      <c r="HN53" s="128">
        <f t="shared" si="117"/>
        <v>0</v>
      </c>
      <c r="HO53" s="128">
        <f t="shared" si="118"/>
        <v>0</v>
      </c>
      <c r="HP53" s="115" t="s">
        <v>382</v>
      </c>
      <c r="HQ53" s="99">
        <v>1400000</v>
      </c>
      <c r="HR53" s="128">
        <f t="shared" si="145"/>
        <v>1400000</v>
      </c>
      <c r="HS53" s="128">
        <f t="shared" si="156"/>
        <v>0</v>
      </c>
      <c r="HT53" s="128">
        <f t="shared" si="157"/>
        <v>0</v>
      </c>
      <c r="HU53" s="128">
        <f t="shared" si="158"/>
        <v>0</v>
      </c>
      <c r="HV53" s="115"/>
      <c r="HW53" s="99">
        <v>1400000</v>
      </c>
      <c r="HX53" s="128">
        <f t="shared" si="159"/>
        <v>1400000</v>
      </c>
      <c r="HY53" s="128">
        <f t="shared" si="160"/>
        <v>0</v>
      </c>
      <c r="HZ53" s="128">
        <f t="shared" si="119"/>
        <v>0</v>
      </c>
      <c r="IA53" s="115"/>
      <c r="IB53" s="99">
        <v>1400000</v>
      </c>
      <c r="IC53" s="166"/>
      <c r="ID53" s="128">
        <f t="shared" si="180"/>
        <v>1400000</v>
      </c>
      <c r="IE53" s="164">
        <f t="shared" si="181"/>
        <v>1400000</v>
      </c>
      <c r="IF53" s="185">
        <v>1400000</v>
      </c>
      <c r="IG53" s="40">
        <f t="shared" si="120"/>
        <v>0</v>
      </c>
      <c r="IH53" s="115"/>
    </row>
    <row r="54" spans="1:244" ht="12.75" x14ac:dyDescent="0.2">
      <c r="A54" s="17" t="s">
        <v>24</v>
      </c>
      <c r="B54" s="18"/>
      <c r="C54" s="52" t="s">
        <v>25</v>
      </c>
      <c r="D54" s="20">
        <v>2270500</v>
      </c>
      <c r="E54" s="21">
        <v>2770500</v>
      </c>
      <c r="F54" s="21">
        <v>1932063</v>
      </c>
      <c r="G54" s="21">
        <v>1500000</v>
      </c>
      <c r="H54" s="22"/>
      <c r="I54" s="21">
        <f t="shared" si="0"/>
        <v>1500000</v>
      </c>
      <c r="J54" s="22"/>
      <c r="K54" s="22"/>
      <c r="L54" s="22">
        <f t="shared" si="1"/>
        <v>0</v>
      </c>
      <c r="M54" s="23">
        <f t="shared" si="22"/>
        <v>1500000</v>
      </c>
      <c r="N54" s="23">
        <v>1500000</v>
      </c>
      <c r="O54" s="23">
        <v>1500000</v>
      </c>
      <c r="P54" s="23">
        <v>1500000</v>
      </c>
      <c r="Q54" s="23">
        <v>1600000</v>
      </c>
      <c r="R54" s="23">
        <v>1600000</v>
      </c>
      <c r="S54" s="23">
        <v>0.1875</v>
      </c>
      <c r="T54" s="23">
        <f t="shared" si="121"/>
        <v>-300000</v>
      </c>
      <c r="U54" s="23">
        <f t="shared" si="122"/>
        <v>1300000</v>
      </c>
      <c r="V54" s="23">
        <f t="shared" si="178"/>
        <v>-200000</v>
      </c>
      <c r="W54" s="24">
        <v>1300000</v>
      </c>
      <c r="X54" s="24"/>
      <c r="Y54" s="24">
        <f t="shared" si="23"/>
        <v>1300000</v>
      </c>
      <c r="Z54" s="25">
        <v>1300000</v>
      </c>
      <c r="AA54" s="25">
        <f t="shared" si="24"/>
        <v>0</v>
      </c>
      <c r="AB54" s="25">
        <v>0</v>
      </c>
      <c r="AC54" s="25">
        <v>1300000</v>
      </c>
      <c r="AD54" s="26">
        <v>1150000</v>
      </c>
      <c r="AE54" s="25">
        <f t="shared" si="162"/>
        <v>1300000</v>
      </c>
      <c r="AF54" s="25"/>
      <c r="AG54" s="25"/>
      <c r="AH54" s="27">
        <v>1300000</v>
      </c>
      <c r="AI54" s="27">
        <v>1300000</v>
      </c>
      <c r="AJ54" s="25">
        <f t="shared" si="141"/>
        <v>-150000</v>
      </c>
      <c r="AK54" s="25">
        <f t="shared" si="25"/>
        <v>-150000</v>
      </c>
      <c r="AL54" s="25">
        <f t="shared" si="26"/>
        <v>-150000</v>
      </c>
      <c r="AM54" s="26">
        <f t="shared" si="27"/>
        <v>0</v>
      </c>
      <c r="AN54" s="26">
        <f t="shared" si="28"/>
        <v>0</v>
      </c>
      <c r="AO54" s="26">
        <f t="shared" si="4"/>
        <v>0</v>
      </c>
      <c r="AP54" s="25">
        <v>1300000</v>
      </c>
      <c r="AQ54" s="25">
        <f t="shared" si="5"/>
        <v>0</v>
      </c>
      <c r="AR54" s="25">
        <f t="shared" si="29"/>
        <v>0</v>
      </c>
      <c r="AS54" s="25">
        <f t="shared" si="30"/>
        <v>0</v>
      </c>
      <c r="AT54" s="25"/>
      <c r="AU54" s="25">
        <f t="shared" si="31"/>
        <v>1300000</v>
      </c>
      <c r="AV54" s="25">
        <v>2000000</v>
      </c>
      <c r="AW54" s="25">
        <f t="shared" si="32"/>
        <v>700000</v>
      </c>
      <c r="AX54" s="25">
        <v>1000000</v>
      </c>
      <c r="AY54" s="26">
        <f t="shared" si="123"/>
        <v>-300000</v>
      </c>
      <c r="AZ54" s="26">
        <f t="shared" si="124"/>
        <v>-1000000</v>
      </c>
      <c r="BA54" s="25">
        <v>2000000</v>
      </c>
      <c r="BB54" s="25">
        <f t="shared" si="33"/>
        <v>700000</v>
      </c>
      <c r="BC54" s="25">
        <f t="shared" si="34"/>
        <v>0</v>
      </c>
      <c r="BD54" s="25">
        <f t="shared" si="35"/>
        <v>1000000</v>
      </c>
      <c r="BE54" s="25">
        <v>1500000</v>
      </c>
      <c r="BF54" s="25">
        <v>2000000</v>
      </c>
      <c r="BG54" s="25">
        <v>2000000</v>
      </c>
      <c r="BH54" s="25">
        <f t="shared" si="36"/>
        <v>700000</v>
      </c>
      <c r="BI54" s="25">
        <f t="shared" si="37"/>
        <v>0</v>
      </c>
      <c r="BJ54" s="25">
        <f t="shared" si="38"/>
        <v>0</v>
      </c>
      <c r="BK54" s="8">
        <f t="shared" si="39"/>
        <v>500000</v>
      </c>
      <c r="BL54" s="25"/>
      <c r="BM54" s="25">
        <f t="shared" si="40"/>
        <v>2000000</v>
      </c>
      <c r="BN54" s="37">
        <v>2000000</v>
      </c>
      <c r="BO54" s="26">
        <f t="shared" si="41"/>
        <v>0</v>
      </c>
      <c r="BP54" s="37">
        <v>1000000</v>
      </c>
      <c r="BQ54" s="8">
        <f t="shared" si="42"/>
        <v>-1000000</v>
      </c>
      <c r="BR54" s="8">
        <f t="shared" si="43"/>
        <v>-1000000</v>
      </c>
      <c r="BS54" s="37">
        <v>2000000</v>
      </c>
      <c r="BT54" s="40">
        <f t="shared" si="44"/>
        <v>0</v>
      </c>
      <c r="BU54" s="40">
        <f t="shared" si="45"/>
        <v>0</v>
      </c>
      <c r="BV54" s="40">
        <f t="shared" si="46"/>
        <v>1000000</v>
      </c>
      <c r="BW54" s="38">
        <v>1500000</v>
      </c>
      <c r="BX54" s="8">
        <f t="shared" si="47"/>
        <v>-500000</v>
      </c>
      <c r="BY54" s="8">
        <f t="shared" si="48"/>
        <v>-500000</v>
      </c>
      <c r="BZ54" s="8">
        <f t="shared" si="49"/>
        <v>-500000</v>
      </c>
      <c r="CA54" s="38">
        <f>1500000+500000</f>
        <v>2000000</v>
      </c>
      <c r="CB54" s="8">
        <f t="shared" si="50"/>
        <v>0</v>
      </c>
      <c r="CC54" s="8">
        <f t="shared" si="51"/>
        <v>0</v>
      </c>
      <c r="CD54" s="8">
        <f t="shared" si="6"/>
        <v>0</v>
      </c>
      <c r="CE54" s="8">
        <f t="shared" si="52"/>
        <v>500000</v>
      </c>
      <c r="CF54" s="38">
        <v>2000000</v>
      </c>
      <c r="CG54" s="8">
        <f t="shared" si="53"/>
        <v>0</v>
      </c>
      <c r="CH54" s="8">
        <f t="shared" si="54"/>
        <v>0</v>
      </c>
      <c r="CI54" s="8">
        <f t="shared" si="55"/>
        <v>0</v>
      </c>
      <c r="CJ54" s="8">
        <f t="shared" si="56"/>
        <v>0</v>
      </c>
      <c r="CK54" s="38">
        <v>2000000</v>
      </c>
      <c r="CL54" s="8">
        <f t="shared" si="7"/>
        <v>0</v>
      </c>
      <c r="CM54" s="8">
        <f t="shared" si="57"/>
        <v>0</v>
      </c>
      <c r="CN54" s="8">
        <f t="shared" si="58"/>
        <v>0</v>
      </c>
      <c r="CO54" s="38">
        <f>CK54</f>
        <v>2000000</v>
      </c>
      <c r="CP54" s="38">
        <f t="shared" si="59"/>
        <v>0</v>
      </c>
      <c r="CQ54" s="8">
        <f t="shared" si="60"/>
        <v>0</v>
      </c>
      <c r="CR54" s="38">
        <v>2000000</v>
      </c>
      <c r="CS54" s="27">
        <v>250000</v>
      </c>
      <c r="CT54" s="38">
        <f t="shared" si="61"/>
        <v>2250000</v>
      </c>
      <c r="CU54" s="8">
        <f t="shared" si="62"/>
        <v>250000</v>
      </c>
      <c r="CV54" s="38">
        <f t="shared" si="63"/>
        <v>250000</v>
      </c>
      <c r="CW54" s="38">
        <f t="shared" si="64"/>
        <v>250000</v>
      </c>
      <c r="CX54" s="38">
        <v>1750000</v>
      </c>
      <c r="CY54" s="8">
        <f t="shared" si="65"/>
        <v>-250000</v>
      </c>
      <c r="CZ54" s="38">
        <f t="shared" si="66"/>
        <v>-250000</v>
      </c>
      <c r="DA54" s="38">
        <f t="shared" si="67"/>
        <v>-500000</v>
      </c>
      <c r="DB54" s="38">
        <v>1750000</v>
      </c>
      <c r="DC54" s="8">
        <f t="shared" si="68"/>
        <v>-250000</v>
      </c>
      <c r="DD54" s="38">
        <f t="shared" si="69"/>
        <v>-250000</v>
      </c>
      <c r="DE54" s="38">
        <f t="shared" si="70"/>
        <v>-500000</v>
      </c>
      <c r="DF54" s="38">
        <f t="shared" si="71"/>
        <v>0</v>
      </c>
      <c r="DG54" s="38">
        <v>2000000</v>
      </c>
      <c r="DH54" s="40">
        <f t="shared" si="72"/>
        <v>0</v>
      </c>
      <c r="DI54" s="38">
        <f t="shared" si="73"/>
        <v>0</v>
      </c>
      <c r="DJ54" s="38">
        <f t="shared" si="74"/>
        <v>-250000</v>
      </c>
      <c r="DK54" s="38">
        <f t="shared" si="75"/>
        <v>250000</v>
      </c>
      <c r="DL54" s="38"/>
      <c r="DM54" s="38">
        <f t="shared" si="76"/>
        <v>2000000</v>
      </c>
      <c r="DN54" s="38">
        <v>2000000</v>
      </c>
      <c r="DO54" s="38">
        <f t="shared" si="77"/>
        <v>0</v>
      </c>
      <c r="DP54" s="38"/>
      <c r="DQ54" s="38">
        <v>-30000</v>
      </c>
      <c r="DR54" s="38">
        <f t="shared" si="78"/>
        <v>1970000</v>
      </c>
      <c r="DS54" s="38">
        <f t="shared" si="79"/>
        <v>-30000</v>
      </c>
      <c r="DT54" s="38"/>
      <c r="DU54" s="38">
        <f t="shared" si="80"/>
        <v>1970000</v>
      </c>
      <c r="DV54" s="38">
        <f t="shared" si="81"/>
        <v>-30000</v>
      </c>
      <c r="DW54" s="38">
        <v>1970000</v>
      </c>
      <c r="DX54" s="38">
        <v>1970000</v>
      </c>
      <c r="DY54" s="8">
        <f>DX54-DU54</f>
        <v>0</v>
      </c>
      <c r="DZ54" s="40">
        <v>2300000</v>
      </c>
      <c r="EA54" s="8">
        <f>DZ54-DU54</f>
        <v>330000</v>
      </c>
      <c r="EB54" s="8">
        <f>DZ54-DX54</f>
        <v>330000</v>
      </c>
      <c r="EC54" s="60"/>
      <c r="ED54" s="37">
        <v>2300000</v>
      </c>
      <c r="EE54" s="25">
        <f>ED54-DU54</f>
        <v>330000</v>
      </c>
      <c r="EF54" s="25">
        <f>ED54-DX54</f>
        <v>330000</v>
      </c>
      <c r="EG54" s="25">
        <f t="shared" si="82"/>
        <v>0</v>
      </c>
      <c r="EH54" s="37">
        <v>1970000</v>
      </c>
      <c r="EI54" s="25">
        <f>EH54-DU54</f>
        <v>0</v>
      </c>
      <c r="EJ54" s="25">
        <f>EH54-DX54</f>
        <v>0</v>
      </c>
      <c r="EK54" s="25">
        <f t="shared" si="83"/>
        <v>-330000</v>
      </c>
      <c r="EL54" s="37">
        <v>1970000</v>
      </c>
      <c r="EM54" s="25">
        <f t="shared" ref="EM54:EM59" si="184">EL54-DU54</f>
        <v>0</v>
      </c>
      <c r="EN54" s="25">
        <f t="shared" ref="EN54:EN59" si="185">EL54-DX54</f>
        <v>0</v>
      </c>
      <c r="EO54" s="25">
        <f t="shared" si="125"/>
        <v>-330000</v>
      </c>
      <c r="EP54" s="25">
        <f t="shared" si="84"/>
        <v>0</v>
      </c>
      <c r="EQ54" s="37">
        <v>2000000</v>
      </c>
      <c r="ER54" s="25">
        <f t="shared" ref="ER54:ER59" si="186">EQ54-DW54</f>
        <v>30000</v>
      </c>
      <c r="ES54" s="25">
        <f t="shared" ref="ES54:ES59" si="187">EQ54-DX54</f>
        <v>30000</v>
      </c>
      <c r="ET54" s="25">
        <f t="shared" si="85"/>
        <v>-300000</v>
      </c>
      <c r="EU54" s="25">
        <f t="shared" si="86"/>
        <v>30000</v>
      </c>
      <c r="EV54" s="37">
        <v>2000000</v>
      </c>
      <c r="EW54" s="25">
        <f t="shared" ref="EW54:EW59" si="188">EV54-DW54</f>
        <v>30000</v>
      </c>
      <c r="EX54" s="25">
        <f t="shared" si="87"/>
        <v>0</v>
      </c>
      <c r="EY54" s="25">
        <f t="shared" si="177"/>
        <v>0</v>
      </c>
      <c r="EZ54" s="37">
        <v>2000000</v>
      </c>
      <c r="FA54" s="25">
        <f t="shared" ref="FA54:FA59" si="189">EZ54-DW54</f>
        <v>30000</v>
      </c>
      <c r="FB54" s="25"/>
      <c r="FC54" s="25">
        <f t="shared" si="88"/>
        <v>2000000</v>
      </c>
      <c r="FD54" s="25"/>
      <c r="FE54" s="25"/>
      <c r="FF54" s="25">
        <f t="shared" si="89"/>
        <v>2000000</v>
      </c>
      <c r="FG54" s="37">
        <v>2000000</v>
      </c>
      <c r="FH54" s="25">
        <f t="shared" si="90"/>
        <v>0</v>
      </c>
      <c r="FI54" s="25"/>
      <c r="FJ54" s="37">
        <v>2000000</v>
      </c>
      <c r="FK54" s="37">
        <f t="shared" si="91"/>
        <v>0</v>
      </c>
      <c r="FL54" s="37">
        <f t="shared" si="92"/>
        <v>0</v>
      </c>
      <c r="FM54" s="37">
        <v>2200000</v>
      </c>
      <c r="FN54" s="37">
        <f t="shared" si="93"/>
        <v>200000</v>
      </c>
      <c r="FO54" s="37">
        <f t="shared" si="94"/>
        <v>200000</v>
      </c>
      <c r="FP54" s="37">
        <f t="shared" si="95"/>
        <v>200000</v>
      </c>
      <c r="FQ54" s="37"/>
      <c r="FR54" s="37">
        <v>2000000</v>
      </c>
      <c r="FS54" s="37">
        <f t="shared" si="96"/>
        <v>0</v>
      </c>
      <c r="FT54" s="37">
        <f t="shared" si="97"/>
        <v>0</v>
      </c>
      <c r="FU54" s="37">
        <f t="shared" si="98"/>
        <v>-200000</v>
      </c>
      <c r="FV54" s="100"/>
      <c r="FW54" s="37">
        <v>2000000</v>
      </c>
      <c r="FX54" s="37">
        <f t="shared" si="99"/>
        <v>0</v>
      </c>
      <c r="FY54" s="37">
        <f t="shared" si="100"/>
        <v>0</v>
      </c>
      <c r="FZ54" s="37">
        <f t="shared" si="101"/>
        <v>-200000</v>
      </c>
      <c r="GA54" s="37">
        <f t="shared" si="102"/>
        <v>0</v>
      </c>
      <c r="GB54" s="107"/>
      <c r="GC54" s="37">
        <v>2000000</v>
      </c>
      <c r="GD54" s="26"/>
      <c r="GE54" s="37">
        <f t="shared" si="103"/>
        <v>2000000</v>
      </c>
      <c r="GF54" s="38"/>
      <c r="GG54" s="37">
        <f t="shared" si="104"/>
        <v>2000000</v>
      </c>
      <c r="GH54" s="26">
        <f t="shared" si="151"/>
        <v>0</v>
      </c>
      <c r="GI54" s="37">
        <f t="shared" si="152"/>
        <v>0</v>
      </c>
      <c r="GJ54" s="37">
        <f t="shared" si="153"/>
        <v>-200000</v>
      </c>
      <c r="GK54" s="37">
        <f t="shared" si="154"/>
        <v>0</v>
      </c>
      <c r="GL54" s="37">
        <f t="shared" si="155"/>
        <v>0</v>
      </c>
      <c r="GM54" s="107"/>
      <c r="GN54" s="115"/>
      <c r="GO54" s="113">
        <f t="shared" si="105"/>
        <v>2000000</v>
      </c>
      <c r="GP54" s="113"/>
      <c r="GQ54" s="113">
        <f t="shared" si="106"/>
        <v>2000000</v>
      </c>
      <c r="GR54" s="113"/>
      <c r="GS54" s="128">
        <v>2000000</v>
      </c>
      <c r="GT54" s="128">
        <v>2000000</v>
      </c>
      <c r="GU54" s="123">
        <f t="shared" si="179"/>
        <v>0</v>
      </c>
      <c r="GV54" s="115"/>
      <c r="GW54" s="99">
        <v>2000000</v>
      </c>
      <c r="GX54" s="128">
        <f t="shared" ref="GX54:GX59" si="190">GW54-GS54</f>
        <v>0</v>
      </c>
      <c r="GY54" s="128">
        <f t="shared" ref="GY54:GY59" si="191">GW54-GT54</f>
        <v>0</v>
      </c>
      <c r="GZ54" s="115"/>
      <c r="HA54" s="99">
        <v>2000000</v>
      </c>
      <c r="HB54" s="128">
        <f t="shared" si="110"/>
        <v>0</v>
      </c>
      <c r="HC54" s="128">
        <f t="shared" si="111"/>
        <v>0</v>
      </c>
      <c r="HD54" s="128">
        <f t="shared" si="112"/>
        <v>0</v>
      </c>
      <c r="HE54" s="115"/>
      <c r="HF54" s="99">
        <v>2000000</v>
      </c>
      <c r="HG54" s="128">
        <f t="shared" si="126"/>
        <v>0</v>
      </c>
      <c r="HH54" s="128">
        <f t="shared" si="113"/>
        <v>0</v>
      </c>
      <c r="HI54" s="128">
        <f t="shared" si="114"/>
        <v>0</v>
      </c>
      <c r="HJ54" s="115"/>
      <c r="HK54" s="99">
        <v>2000000</v>
      </c>
      <c r="HL54" s="128">
        <f t="shared" si="115"/>
        <v>0</v>
      </c>
      <c r="HM54" s="128">
        <f t="shared" si="116"/>
        <v>0</v>
      </c>
      <c r="HN54" s="128">
        <f t="shared" si="117"/>
        <v>0</v>
      </c>
      <c r="HO54" s="128">
        <f t="shared" si="118"/>
        <v>0</v>
      </c>
      <c r="HP54" s="115"/>
      <c r="HQ54" s="99">
        <v>1750000</v>
      </c>
      <c r="HR54" s="128">
        <f t="shared" si="145"/>
        <v>-250000</v>
      </c>
      <c r="HS54" s="128">
        <f t="shared" si="156"/>
        <v>-250000</v>
      </c>
      <c r="HT54" s="128">
        <f t="shared" si="157"/>
        <v>-250000</v>
      </c>
      <c r="HU54" s="128">
        <f t="shared" si="158"/>
        <v>-250000</v>
      </c>
      <c r="HV54" s="115"/>
      <c r="HW54" s="99">
        <v>1750000</v>
      </c>
      <c r="HX54" s="128">
        <f t="shared" si="159"/>
        <v>-250000</v>
      </c>
      <c r="HY54" s="128">
        <f t="shared" si="160"/>
        <v>-250000</v>
      </c>
      <c r="HZ54" s="128">
        <f t="shared" si="119"/>
        <v>0</v>
      </c>
      <c r="IA54" s="115"/>
      <c r="IB54" s="99">
        <v>1750000</v>
      </c>
      <c r="IC54" s="166"/>
      <c r="ID54" s="128">
        <f t="shared" si="180"/>
        <v>1750000</v>
      </c>
      <c r="IE54" s="164">
        <f t="shared" si="181"/>
        <v>-250000</v>
      </c>
      <c r="IF54" s="185">
        <v>1750000</v>
      </c>
      <c r="IG54" s="40">
        <f t="shared" si="120"/>
        <v>0</v>
      </c>
      <c r="IH54" s="115"/>
    </row>
    <row r="55" spans="1:244" ht="12.75" x14ac:dyDescent="0.2">
      <c r="A55" s="17" t="s">
        <v>13</v>
      </c>
      <c r="B55" s="18"/>
      <c r="C55" s="51" t="s">
        <v>214</v>
      </c>
      <c r="D55" s="20">
        <v>712000</v>
      </c>
      <c r="E55" s="21">
        <v>712000</v>
      </c>
      <c r="F55" s="21">
        <v>517320</v>
      </c>
      <c r="G55" s="21">
        <v>100000</v>
      </c>
      <c r="H55" s="22"/>
      <c r="I55" s="21">
        <f t="shared" si="0"/>
        <v>100000</v>
      </c>
      <c r="J55" s="22"/>
      <c r="K55" s="22"/>
      <c r="L55" s="22">
        <f t="shared" si="1"/>
        <v>0</v>
      </c>
      <c r="M55" s="23">
        <f t="shared" si="22"/>
        <v>100000</v>
      </c>
      <c r="N55" s="23">
        <v>100000</v>
      </c>
      <c r="O55" s="23">
        <v>100000</v>
      </c>
      <c r="P55" s="23">
        <v>100000</v>
      </c>
      <c r="Q55" s="23">
        <v>100000</v>
      </c>
      <c r="R55" s="23">
        <v>250000</v>
      </c>
      <c r="S55" s="23">
        <v>0.6</v>
      </c>
      <c r="T55" s="23">
        <f t="shared" si="121"/>
        <v>-150000</v>
      </c>
      <c r="U55" s="23">
        <f t="shared" si="122"/>
        <v>100000</v>
      </c>
      <c r="V55" s="23">
        <f t="shared" si="178"/>
        <v>0</v>
      </c>
      <c r="W55" s="24">
        <v>100000</v>
      </c>
      <c r="X55" s="24"/>
      <c r="Y55" s="24">
        <f t="shared" si="23"/>
        <v>100000</v>
      </c>
      <c r="Z55" s="25">
        <v>100000</v>
      </c>
      <c r="AA55" s="25">
        <f t="shared" si="24"/>
        <v>0</v>
      </c>
      <c r="AB55" s="25">
        <v>100000</v>
      </c>
      <c r="AC55" s="25">
        <v>250000</v>
      </c>
      <c r="AD55" s="26">
        <v>100000</v>
      </c>
      <c r="AE55" s="25">
        <f t="shared" si="162"/>
        <v>150000</v>
      </c>
      <c r="AF55" s="25">
        <f>AC55-W55+X55</f>
        <v>150000</v>
      </c>
      <c r="AG55" s="25">
        <f>AC55-Z55</f>
        <v>150000</v>
      </c>
      <c r="AH55" s="26">
        <v>100000</v>
      </c>
      <c r="AI55" s="26">
        <v>250000</v>
      </c>
      <c r="AJ55" s="25">
        <f t="shared" si="141"/>
        <v>0</v>
      </c>
      <c r="AK55" s="25">
        <f t="shared" si="25"/>
        <v>0</v>
      </c>
      <c r="AL55" s="25">
        <f t="shared" si="26"/>
        <v>-150000</v>
      </c>
      <c r="AM55" s="26">
        <f t="shared" si="27"/>
        <v>0</v>
      </c>
      <c r="AN55" s="26">
        <f t="shared" si="28"/>
        <v>0</v>
      </c>
      <c r="AO55" s="26">
        <f t="shared" si="4"/>
        <v>-150000</v>
      </c>
      <c r="AP55" s="25">
        <v>250000</v>
      </c>
      <c r="AQ55" s="25">
        <f t="shared" si="5"/>
        <v>150000</v>
      </c>
      <c r="AR55" s="25">
        <f t="shared" si="29"/>
        <v>150000</v>
      </c>
      <c r="AS55" s="25">
        <f t="shared" si="30"/>
        <v>150000</v>
      </c>
      <c r="AT55" s="25"/>
      <c r="AU55" s="25">
        <f t="shared" si="31"/>
        <v>250000</v>
      </c>
      <c r="AV55" s="25">
        <v>250000</v>
      </c>
      <c r="AW55" s="25">
        <f t="shared" si="32"/>
        <v>0</v>
      </c>
      <c r="AX55" s="25">
        <v>250000</v>
      </c>
      <c r="AY55" s="26">
        <f t="shared" si="123"/>
        <v>0</v>
      </c>
      <c r="AZ55" s="26">
        <f t="shared" si="124"/>
        <v>0</v>
      </c>
      <c r="BA55" s="25">
        <v>350000</v>
      </c>
      <c r="BB55" s="25">
        <f t="shared" si="33"/>
        <v>100000</v>
      </c>
      <c r="BC55" s="25">
        <f t="shared" si="34"/>
        <v>100000</v>
      </c>
      <c r="BD55" s="25">
        <f t="shared" si="35"/>
        <v>100000</v>
      </c>
      <c r="BE55" s="25">
        <v>250000</v>
      </c>
      <c r="BF55" s="25">
        <v>350000</v>
      </c>
      <c r="BG55" s="25">
        <v>350000</v>
      </c>
      <c r="BH55" s="25">
        <f t="shared" si="36"/>
        <v>100000</v>
      </c>
      <c r="BI55" s="25">
        <f t="shared" si="37"/>
        <v>100000</v>
      </c>
      <c r="BJ55" s="25">
        <f t="shared" si="38"/>
        <v>0</v>
      </c>
      <c r="BK55" s="8">
        <f t="shared" si="39"/>
        <v>100000</v>
      </c>
      <c r="BL55" s="25"/>
      <c r="BM55" s="25">
        <f t="shared" si="40"/>
        <v>350000</v>
      </c>
      <c r="BN55" s="37">
        <v>400000</v>
      </c>
      <c r="BO55" s="26">
        <f t="shared" si="41"/>
        <v>50000</v>
      </c>
      <c r="BP55" s="37">
        <v>250000</v>
      </c>
      <c r="BQ55" s="8">
        <f t="shared" si="42"/>
        <v>-100000</v>
      </c>
      <c r="BR55" s="8">
        <f t="shared" si="43"/>
        <v>-150000</v>
      </c>
      <c r="BS55" s="37">
        <v>350000</v>
      </c>
      <c r="BT55" s="40">
        <f t="shared" si="44"/>
        <v>0</v>
      </c>
      <c r="BU55" s="40">
        <f t="shared" si="45"/>
        <v>-50000</v>
      </c>
      <c r="BV55" s="40">
        <f t="shared" si="46"/>
        <v>100000</v>
      </c>
      <c r="BW55" s="38">
        <v>250000</v>
      </c>
      <c r="BX55" s="8">
        <f t="shared" si="47"/>
        <v>-100000</v>
      </c>
      <c r="BY55" s="8">
        <f t="shared" si="48"/>
        <v>-150000</v>
      </c>
      <c r="BZ55" s="8">
        <f t="shared" si="49"/>
        <v>-100000</v>
      </c>
      <c r="CA55" s="38">
        <v>250000</v>
      </c>
      <c r="CB55" s="8">
        <f t="shared" si="50"/>
        <v>-100000</v>
      </c>
      <c r="CC55" s="8">
        <f t="shared" si="51"/>
        <v>-150000</v>
      </c>
      <c r="CD55" s="8">
        <f t="shared" si="6"/>
        <v>-100000</v>
      </c>
      <c r="CE55" s="8">
        <f t="shared" si="52"/>
        <v>0</v>
      </c>
      <c r="CF55" s="38">
        <v>350000</v>
      </c>
      <c r="CG55" s="8">
        <f t="shared" si="53"/>
        <v>0</v>
      </c>
      <c r="CH55" s="8">
        <f t="shared" si="54"/>
        <v>-50000</v>
      </c>
      <c r="CI55" s="8">
        <f t="shared" si="55"/>
        <v>0</v>
      </c>
      <c r="CJ55" s="8">
        <f t="shared" si="56"/>
        <v>100000</v>
      </c>
      <c r="CK55" s="38">
        <v>350000</v>
      </c>
      <c r="CL55" s="8">
        <f t="shared" si="7"/>
        <v>0</v>
      </c>
      <c r="CM55" s="8">
        <f t="shared" si="57"/>
        <v>-50000</v>
      </c>
      <c r="CN55" s="8">
        <f t="shared" si="58"/>
        <v>0</v>
      </c>
      <c r="CO55" s="38">
        <v>350000</v>
      </c>
      <c r="CP55" s="38">
        <f t="shared" si="59"/>
        <v>-50000</v>
      </c>
      <c r="CQ55" s="8">
        <f t="shared" si="60"/>
        <v>0</v>
      </c>
      <c r="CR55" s="38">
        <v>250000</v>
      </c>
      <c r="CS55" s="27">
        <v>150000</v>
      </c>
      <c r="CT55" s="38">
        <f t="shared" si="61"/>
        <v>400000</v>
      </c>
      <c r="CU55" s="8">
        <f t="shared" si="62"/>
        <v>50000</v>
      </c>
      <c r="CV55" s="38">
        <f t="shared" si="63"/>
        <v>50000</v>
      </c>
      <c r="CW55" s="38">
        <f t="shared" si="64"/>
        <v>150000</v>
      </c>
      <c r="CX55" s="38">
        <v>350000</v>
      </c>
      <c r="CY55" s="8">
        <f t="shared" si="65"/>
        <v>0</v>
      </c>
      <c r="CZ55" s="38">
        <f t="shared" si="66"/>
        <v>0</v>
      </c>
      <c r="DA55" s="38">
        <f t="shared" si="67"/>
        <v>-50000</v>
      </c>
      <c r="DB55" s="38">
        <v>400000</v>
      </c>
      <c r="DC55" s="8">
        <f t="shared" si="68"/>
        <v>50000</v>
      </c>
      <c r="DD55" s="38">
        <f t="shared" si="69"/>
        <v>50000</v>
      </c>
      <c r="DE55" s="38">
        <f t="shared" si="70"/>
        <v>0</v>
      </c>
      <c r="DF55" s="38">
        <f t="shared" si="71"/>
        <v>50000</v>
      </c>
      <c r="DG55" s="38">
        <v>400000</v>
      </c>
      <c r="DH55" s="40">
        <f t="shared" si="72"/>
        <v>50000</v>
      </c>
      <c r="DI55" s="38">
        <f t="shared" si="73"/>
        <v>50000</v>
      </c>
      <c r="DJ55" s="38">
        <f t="shared" si="74"/>
        <v>0</v>
      </c>
      <c r="DK55" s="38">
        <f t="shared" si="75"/>
        <v>0</v>
      </c>
      <c r="DL55" s="38"/>
      <c r="DM55" s="38">
        <f t="shared" si="76"/>
        <v>400000</v>
      </c>
      <c r="DN55" s="38">
        <v>400000</v>
      </c>
      <c r="DO55" s="38">
        <f t="shared" si="77"/>
        <v>50000</v>
      </c>
      <c r="DP55" s="38"/>
      <c r="DQ55" s="38">
        <v>-6000</v>
      </c>
      <c r="DR55" s="38">
        <f t="shared" si="78"/>
        <v>394000</v>
      </c>
      <c r="DS55" s="38">
        <f t="shared" si="79"/>
        <v>44000</v>
      </c>
      <c r="DT55" s="38"/>
      <c r="DU55" s="38">
        <f t="shared" si="80"/>
        <v>394000</v>
      </c>
      <c r="DV55" s="38">
        <f t="shared" si="81"/>
        <v>44000</v>
      </c>
      <c r="DW55" s="38">
        <v>394000</v>
      </c>
      <c r="DX55" s="38">
        <v>394000</v>
      </c>
      <c r="DY55" s="8">
        <f>DX55-DU55</f>
        <v>0</v>
      </c>
      <c r="DZ55" s="40">
        <v>400000</v>
      </c>
      <c r="EA55" s="8">
        <f>DZ55-DU55</f>
        <v>6000</v>
      </c>
      <c r="EB55" s="8">
        <f>DZ55-DX55</f>
        <v>6000</v>
      </c>
      <c r="EC55" s="60"/>
      <c r="ED55" s="37">
        <v>500000</v>
      </c>
      <c r="EE55" s="25">
        <f>ED55-DU55</f>
        <v>106000</v>
      </c>
      <c r="EF55" s="25">
        <f>ED55-DX55</f>
        <v>106000</v>
      </c>
      <c r="EG55" s="25">
        <f t="shared" si="82"/>
        <v>100000</v>
      </c>
      <c r="EH55" s="37">
        <v>500000</v>
      </c>
      <c r="EI55" s="25">
        <f>EH55-DU55</f>
        <v>106000</v>
      </c>
      <c r="EJ55" s="25">
        <f>EH55-DX55</f>
        <v>106000</v>
      </c>
      <c r="EK55" s="25">
        <f t="shared" si="83"/>
        <v>0</v>
      </c>
      <c r="EL55" s="37">
        <v>500000</v>
      </c>
      <c r="EM55" s="25">
        <f t="shared" si="184"/>
        <v>106000</v>
      </c>
      <c r="EN55" s="25">
        <f t="shared" si="185"/>
        <v>106000</v>
      </c>
      <c r="EO55" s="25">
        <f t="shared" si="125"/>
        <v>0</v>
      </c>
      <c r="EP55" s="25">
        <f t="shared" si="84"/>
        <v>0</v>
      </c>
      <c r="EQ55" s="37">
        <v>500000</v>
      </c>
      <c r="ER55" s="25">
        <f t="shared" si="186"/>
        <v>106000</v>
      </c>
      <c r="ES55" s="25">
        <f t="shared" si="187"/>
        <v>106000</v>
      </c>
      <c r="ET55" s="25">
        <f t="shared" si="85"/>
        <v>0</v>
      </c>
      <c r="EU55" s="25">
        <f t="shared" si="86"/>
        <v>0</v>
      </c>
      <c r="EV55" s="37">
        <v>500000</v>
      </c>
      <c r="EW55" s="25">
        <f t="shared" si="188"/>
        <v>106000</v>
      </c>
      <c r="EX55" s="25">
        <f t="shared" si="87"/>
        <v>0</v>
      </c>
      <c r="EY55" s="25">
        <f t="shared" si="177"/>
        <v>0</v>
      </c>
      <c r="EZ55" s="37">
        <v>500000</v>
      </c>
      <c r="FA55" s="25">
        <f t="shared" si="189"/>
        <v>106000</v>
      </c>
      <c r="FB55" s="25"/>
      <c r="FC55" s="25">
        <f t="shared" si="88"/>
        <v>500000</v>
      </c>
      <c r="FD55" s="25"/>
      <c r="FE55" s="25"/>
      <c r="FF55" s="25">
        <f t="shared" si="89"/>
        <v>500000</v>
      </c>
      <c r="FG55" s="37">
        <v>500000</v>
      </c>
      <c r="FH55" s="25">
        <f t="shared" si="90"/>
        <v>0</v>
      </c>
      <c r="FI55" s="25"/>
      <c r="FJ55" s="37">
        <v>400000</v>
      </c>
      <c r="FK55" s="37">
        <f t="shared" si="91"/>
        <v>-100000</v>
      </c>
      <c r="FL55" s="37">
        <f t="shared" si="92"/>
        <v>-100000</v>
      </c>
      <c r="FM55" s="37">
        <v>500000</v>
      </c>
      <c r="FN55" s="37">
        <f t="shared" si="93"/>
        <v>0</v>
      </c>
      <c r="FO55" s="37">
        <f t="shared" si="94"/>
        <v>0</v>
      </c>
      <c r="FP55" s="37">
        <f t="shared" si="95"/>
        <v>100000</v>
      </c>
      <c r="FQ55" s="37"/>
      <c r="FR55" s="37">
        <v>750000</v>
      </c>
      <c r="FS55" s="37">
        <f t="shared" si="96"/>
        <v>250000</v>
      </c>
      <c r="FT55" s="37">
        <f t="shared" si="97"/>
        <v>250000</v>
      </c>
      <c r="FU55" s="37">
        <f t="shared" si="98"/>
        <v>250000</v>
      </c>
      <c r="FV55" s="100"/>
      <c r="FW55" s="37">
        <v>750000</v>
      </c>
      <c r="FX55" s="37">
        <f t="shared" si="99"/>
        <v>250000</v>
      </c>
      <c r="FY55" s="37">
        <f t="shared" si="100"/>
        <v>250000</v>
      </c>
      <c r="FZ55" s="37">
        <f t="shared" si="101"/>
        <v>250000</v>
      </c>
      <c r="GA55" s="37">
        <f t="shared" si="102"/>
        <v>0</v>
      </c>
      <c r="GB55" s="107"/>
      <c r="GC55" s="37">
        <v>500000</v>
      </c>
      <c r="GD55" s="26"/>
      <c r="GE55" s="37">
        <f t="shared" si="103"/>
        <v>500000</v>
      </c>
      <c r="GF55" s="38"/>
      <c r="GG55" s="37">
        <f t="shared" si="104"/>
        <v>500000</v>
      </c>
      <c r="GH55" s="26">
        <f t="shared" si="151"/>
        <v>0</v>
      </c>
      <c r="GI55" s="37">
        <f t="shared" si="152"/>
        <v>0</v>
      </c>
      <c r="GJ55" s="37">
        <f t="shared" si="153"/>
        <v>0</v>
      </c>
      <c r="GK55" s="37">
        <f t="shared" si="154"/>
        <v>-250000</v>
      </c>
      <c r="GL55" s="37">
        <f t="shared" si="155"/>
        <v>0</v>
      </c>
      <c r="GM55" s="107"/>
      <c r="GN55" s="115"/>
      <c r="GO55" s="113">
        <f t="shared" si="105"/>
        <v>500000</v>
      </c>
      <c r="GP55" s="113"/>
      <c r="GQ55" s="113">
        <f t="shared" si="106"/>
        <v>500000</v>
      </c>
      <c r="GR55" s="113"/>
      <c r="GS55" s="128">
        <v>500000</v>
      </c>
      <c r="GT55" s="128">
        <v>500000</v>
      </c>
      <c r="GU55" s="123">
        <f t="shared" si="179"/>
        <v>0</v>
      </c>
      <c r="GV55" s="115"/>
      <c r="GW55" s="99">
        <v>400000</v>
      </c>
      <c r="GX55" s="128">
        <f t="shared" si="190"/>
        <v>-100000</v>
      </c>
      <c r="GY55" s="128">
        <f t="shared" si="191"/>
        <v>-100000</v>
      </c>
      <c r="GZ55" s="115"/>
      <c r="HA55" s="99">
        <f>400000+100000</f>
        <v>500000</v>
      </c>
      <c r="HB55" s="128">
        <f t="shared" si="110"/>
        <v>0</v>
      </c>
      <c r="HC55" s="128">
        <f t="shared" si="111"/>
        <v>0</v>
      </c>
      <c r="HD55" s="128">
        <f t="shared" si="112"/>
        <v>100000</v>
      </c>
      <c r="HE55" s="115"/>
      <c r="HF55" s="99">
        <v>600000</v>
      </c>
      <c r="HG55" s="128">
        <f t="shared" si="126"/>
        <v>100000</v>
      </c>
      <c r="HH55" s="128">
        <f t="shared" si="113"/>
        <v>100000</v>
      </c>
      <c r="HI55" s="128">
        <f t="shared" si="114"/>
        <v>100000</v>
      </c>
      <c r="HJ55" s="115"/>
      <c r="HK55" s="99">
        <v>600000</v>
      </c>
      <c r="HL55" s="128">
        <f t="shared" si="115"/>
        <v>100000</v>
      </c>
      <c r="HM55" s="128">
        <f t="shared" si="116"/>
        <v>100000</v>
      </c>
      <c r="HN55" s="128">
        <f t="shared" si="117"/>
        <v>100000</v>
      </c>
      <c r="HO55" s="128">
        <f t="shared" si="118"/>
        <v>0</v>
      </c>
      <c r="HP55" s="115"/>
      <c r="HQ55" s="99">
        <v>475000</v>
      </c>
      <c r="HR55" s="128">
        <f t="shared" si="145"/>
        <v>-25000</v>
      </c>
      <c r="HS55" s="128">
        <f t="shared" si="156"/>
        <v>-25000</v>
      </c>
      <c r="HT55" s="128">
        <f t="shared" si="157"/>
        <v>-25000</v>
      </c>
      <c r="HU55" s="128">
        <f t="shared" si="158"/>
        <v>-125000</v>
      </c>
      <c r="HV55" s="115"/>
      <c r="HW55" s="99">
        <v>475000</v>
      </c>
      <c r="HX55" s="128">
        <f t="shared" si="159"/>
        <v>-25000</v>
      </c>
      <c r="HY55" s="128">
        <f t="shared" si="160"/>
        <v>-25000</v>
      </c>
      <c r="HZ55" s="128">
        <f t="shared" si="119"/>
        <v>0</v>
      </c>
      <c r="IA55" s="115"/>
      <c r="IB55" s="99">
        <v>475000</v>
      </c>
      <c r="IC55" s="166"/>
      <c r="ID55" s="128">
        <f t="shared" si="180"/>
        <v>475000</v>
      </c>
      <c r="IE55" s="164">
        <f t="shared" si="181"/>
        <v>-25000</v>
      </c>
      <c r="IF55" s="185">
        <v>475000</v>
      </c>
      <c r="IG55" s="40">
        <f t="shared" si="120"/>
        <v>0</v>
      </c>
      <c r="IH55" s="115"/>
    </row>
    <row r="56" spans="1:244" ht="12.75" hidden="1" x14ac:dyDescent="0.2">
      <c r="A56" s="17" t="s">
        <v>33</v>
      </c>
      <c r="B56" s="18"/>
      <c r="C56" s="52" t="s">
        <v>131</v>
      </c>
      <c r="D56" s="20">
        <v>895367</v>
      </c>
      <c r="E56" s="21">
        <v>991367</v>
      </c>
      <c r="F56" s="21">
        <v>486227</v>
      </c>
      <c r="G56" s="21">
        <v>386227</v>
      </c>
      <c r="H56" s="22"/>
      <c r="I56" s="21">
        <f t="shared" si="0"/>
        <v>386227</v>
      </c>
      <c r="J56" s="22"/>
      <c r="K56" s="22"/>
      <c r="L56" s="22">
        <f t="shared" si="1"/>
        <v>0</v>
      </c>
      <c r="M56" s="23">
        <f t="shared" si="22"/>
        <v>386227</v>
      </c>
      <c r="N56" s="23">
        <v>386227</v>
      </c>
      <c r="O56" s="23">
        <v>353227</v>
      </c>
      <c r="P56" s="23">
        <v>353227</v>
      </c>
      <c r="Q56" s="23">
        <v>386227</v>
      </c>
      <c r="R56" s="23">
        <v>353227</v>
      </c>
      <c r="S56" s="23">
        <v>0.6</v>
      </c>
      <c r="T56" s="23">
        <f t="shared" si="121"/>
        <v>-211936.19999999998</v>
      </c>
      <c r="U56" s="23">
        <f t="shared" si="122"/>
        <v>141290.80000000002</v>
      </c>
      <c r="V56" s="23">
        <f t="shared" si="178"/>
        <v>-244936.19999999998</v>
      </c>
      <c r="W56" s="24">
        <f xml:space="preserve"> 353227</f>
        <v>353227</v>
      </c>
      <c r="X56" s="24"/>
      <c r="Y56" s="24">
        <f t="shared" si="23"/>
        <v>353227</v>
      </c>
      <c r="Z56" s="25">
        <v>353227</v>
      </c>
      <c r="AA56" s="25">
        <f t="shared" si="24"/>
        <v>0</v>
      </c>
      <c r="AB56" s="25">
        <v>353227</v>
      </c>
      <c r="AC56" s="29">
        <v>753227</v>
      </c>
      <c r="AD56" s="27">
        <v>346162</v>
      </c>
      <c r="AE56" s="25">
        <f t="shared" si="162"/>
        <v>400000</v>
      </c>
      <c r="AF56" s="25">
        <f>AC56-W56+X56</f>
        <v>400000</v>
      </c>
      <c r="AG56" s="25">
        <f>AC56-Z56</f>
        <v>400000</v>
      </c>
      <c r="AH56" s="27">
        <v>746162</v>
      </c>
      <c r="AI56" s="27">
        <v>746162</v>
      </c>
      <c r="AJ56" s="29">
        <f t="shared" si="141"/>
        <v>-7065</v>
      </c>
      <c r="AK56" s="29">
        <f t="shared" si="25"/>
        <v>-7065</v>
      </c>
      <c r="AL56" s="29">
        <f t="shared" si="26"/>
        <v>-407065</v>
      </c>
      <c r="AM56" s="27">
        <f t="shared" si="27"/>
        <v>392935</v>
      </c>
      <c r="AN56" s="27">
        <f t="shared" si="28"/>
        <v>392935</v>
      </c>
      <c r="AO56" s="27">
        <f t="shared" si="4"/>
        <v>-7065</v>
      </c>
      <c r="AP56" s="29">
        <v>746162</v>
      </c>
      <c r="AQ56" s="29">
        <f t="shared" si="5"/>
        <v>392935</v>
      </c>
      <c r="AR56" s="29">
        <f t="shared" si="29"/>
        <v>392935</v>
      </c>
      <c r="AS56" s="29">
        <f t="shared" si="30"/>
        <v>392935</v>
      </c>
      <c r="AT56" s="29"/>
      <c r="AU56" s="29">
        <f t="shared" si="31"/>
        <v>746162</v>
      </c>
      <c r="AV56" s="29">
        <v>737022</v>
      </c>
      <c r="AW56" s="29">
        <f t="shared" si="32"/>
        <v>-9140</v>
      </c>
      <c r="AX56" s="29">
        <v>746162</v>
      </c>
      <c r="AY56" s="26">
        <f t="shared" si="123"/>
        <v>0</v>
      </c>
      <c r="AZ56" s="26">
        <f t="shared" si="124"/>
        <v>9140</v>
      </c>
      <c r="BA56" s="29">
        <v>746162</v>
      </c>
      <c r="BB56" s="29">
        <f t="shared" si="33"/>
        <v>0</v>
      </c>
      <c r="BC56" s="29">
        <f t="shared" si="34"/>
        <v>9140</v>
      </c>
      <c r="BD56" s="29">
        <f t="shared" si="35"/>
        <v>0</v>
      </c>
      <c r="BE56" s="29">
        <v>346162</v>
      </c>
      <c r="BF56" s="29">
        <v>346162</v>
      </c>
      <c r="BG56" s="29">
        <v>346162</v>
      </c>
      <c r="BH56" s="25">
        <f t="shared" si="36"/>
        <v>-400000</v>
      </c>
      <c r="BI56" s="25">
        <f t="shared" si="37"/>
        <v>-390860</v>
      </c>
      <c r="BJ56" s="25">
        <f t="shared" si="38"/>
        <v>-400000</v>
      </c>
      <c r="BK56" s="8">
        <f t="shared" si="39"/>
        <v>0</v>
      </c>
      <c r="BL56" s="29"/>
      <c r="BM56" s="25">
        <f t="shared" si="40"/>
        <v>346162</v>
      </c>
      <c r="BN56" s="37">
        <v>346162</v>
      </c>
      <c r="BO56" s="26">
        <f t="shared" si="41"/>
        <v>0</v>
      </c>
      <c r="BP56" s="37">
        <v>0</v>
      </c>
      <c r="BQ56" s="8">
        <f t="shared" si="42"/>
        <v>-346162</v>
      </c>
      <c r="BR56" s="8">
        <f t="shared" si="43"/>
        <v>-346162</v>
      </c>
      <c r="BS56" s="37">
        <f>BP56</f>
        <v>0</v>
      </c>
      <c r="BT56" s="40">
        <f t="shared" si="44"/>
        <v>-346162</v>
      </c>
      <c r="BU56" s="40">
        <f t="shared" si="45"/>
        <v>-346162</v>
      </c>
      <c r="BV56" s="40">
        <f t="shared" si="46"/>
        <v>0</v>
      </c>
      <c r="BW56" s="38">
        <v>346162</v>
      </c>
      <c r="BX56" s="8">
        <f t="shared" si="47"/>
        <v>0</v>
      </c>
      <c r="BY56" s="8">
        <f t="shared" si="48"/>
        <v>0</v>
      </c>
      <c r="BZ56" s="8">
        <f t="shared" si="49"/>
        <v>346162</v>
      </c>
      <c r="CA56" s="38">
        <v>346162</v>
      </c>
      <c r="CB56" s="8">
        <f t="shared" si="50"/>
        <v>0</v>
      </c>
      <c r="CC56" s="8">
        <f t="shared" si="51"/>
        <v>0</v>
      </c>
      <c r="CD56" s="8">
        <f t="shared" si="6"/>
        <v>346162</v>
      </c>
      <c r="CE56" s="8">
        <f t="shared" si="52"/>
        <v>0</v>
      </c>
      <c r="CF56" s="38">
        <v>200000</v>
      </c>
      <c r="CG56" s="8">
        <f t="shared" si="53"/>
        <v>-146162</v>
      </c>
      <c r="CH56" s="8">
        <f t="shared" si="54"/>
        <v>-146162</v>
      </c>
      <c r="CI56" s="8">
        <f t="shared" si="55"/>
        <v>200000</v>
      </c>
      <c r="CJ56" s="8">
        <f t="shared" si="56"/>
        <v>-146162</v>
      </c>
      <c r="CK56" s="38">
        <v>200000</v>
      </c>
      <c r="CL56" s="8">
        <f t="shared" si="7"/>
        <v>-146162</v>
      </c>
      <c r="CM56" s="8">
        <f t="shared" si="57"/>
        <v>-146162</v>
      </c>
      <c r="CN56" s="8">
        <f t="shared" si="58"/>
        <v>0</v>
      </c>
      <c r="CO56" s="38">
        <v>200000</v>
      </c>
      <c r="CP56" s="38">
        <f t="shared" si="59"/>
        <v>-146162</v>
      </c>
      <c r="CQ56" s="8">
        <f t="shared" si="60"/>
        <v>0</v>
      </c>
      <c r="CR56" s="38">
        <v>200000</v>
      </c>
      <c r="CS56" s="27"/>
      <c r="CT56" s="38">
        <f t="shared" si="61"/>
        <v>200000</v>
      </c>
      <c r="CU56" s="8">
        <f t="shared" si="62"/>
        <v>0</v>
      </c>
      <c r="CV56" s="38">
        <f t="shared" si="63"/>
        <v>0</v>
      </c>
      <c r="CW56" s="38">
        <f t="shared" si="64"/>
        <v>0</v>
      </c>
      <c r="CX56" s="38">
        <v>200000</v>
      </c>
      <c r="CY56" s="8">
        <f t="shared" si="65"/>
        <v>0</v>
      </c>
      <c r="CZ56" s="38">
        <f t="shared" si="66"/>
        <v>0</v>
      </c>
      <c r="DA56" s="38">
        <f t="shared" si="67"/>
        <v>0</v>
      </c>
      <c r="DB56" s="38">
        <v>200000</v>
      </c>
      <c r="DC56" s="8">
        <f t="shared" si="68"/>
        <v>0</v>
      </c>
      <c r="DD56" s="38">
        <f t="shared" si="69"/>
        <v>0</v>
      </c>
      <c r="DE56" s="38">
        <f t="shared" si="70"/>
        <v>0</v>
      </c>
      <c r="DF56" s="38">
        <f t="shared" si="71"/>
        <v>0</v>
      </c>
      <c r="DG56" s="38">
        <v>200000</v>
      </c>
      <c r="DH56" s="40">
        <f t="shared" si="72"/>
        <v>0</v>
      </c>
      <c r="DI56" s="38">
        <f t="shared" si="73"/>
        <v>0</v>
      </c>
      <c r="DJ56" s="38">
        <f t="shared" si="74"/>
        <v>0</v>
      </c>
      <c r="DK56" s="38">
        <f t="shared" si="75"/>
        <v>0</v>
      </c>
      <c r="DL56" s="38"/>
      <c r="DM56" s="38">
        <f t="shared" si="76"/>
        <v>200000</v>
      </c>
      <c r="DN56" s="38">
        <v>200000</v>
      </c>
      <c r="DO56" s="38">
        <f t="shared" si="77"/>
        <v>0</v>
      </c>
      <c r="DP56" s="38"/>
      <c r="DQ56" s="38">
        <v>0</v>
      </c>
      <c r="DR56" s="38">
        <f t="shared" si="78"/>
        <v>200000</v>
      </c>
      <c r="DS56" s="38">
        <f t="shared" si="79"/>
        <v>0</v>
      </c>
      <c r="DT56" s="38">
        <v>-188000</v>
      </c>
      <c r="DU56" s="38">
        <f t="shared" si="80"/>
        <v>12000</v>
      </c>
      <c r="DV56" s="38">
        <f t="shared" si="81"/>
        <v>-188000</v>
      </c>
      <c r="DW56" s="38">
        <v>12000</v>
      </c>
      <c r="DX56" s="38">
        <v>0</v>
      </c>
      <c r="DY56" s="8">
        <f>DX56-DU56</f>
        <v>-12000</v>
      </c>
      <c r="DZ56" s="40">
        <v>0</v>
      </c>
      <c r="EA56" s="8">
        <f>DZ56-DU56</f>
        <v>-12000</v>
      </c>
      <c r="EB56" s="8">
        <f>DZ56-DX56</f>
        <v>0</v>
      </c>
      <c r="EC56" s="60"/>
      <c r="ED56" s="37">
        <v>0</v>
      </c>
      <c r="EE56" s="25">
        <f>ED56-DU56</f>
        <v>-12000</v>
      </c>
      <c r="EF56" s="25">
        <f>ED56-DX56</f>
        <v>0</v>
      </c>
      <c r="EG56" s="25">
        <f t="shared" si="82"/>
        <v>0</v>
      </c>
      <c r="EH56" s="37">
        <v>200000</v>
      </c>
      <c r="EI56" s="25">
        <f>EH56-DU56</f>
        <v>188000</v>
      </c>
      <c r="EJ56" s="25">
        <f>EH56-DX56</f>
        <v>200000</v>
      </c>
      <c r="EK56" s="25">
        <f t="shared" si="83"/>
        <v>200000</v>
      </c>
      <c r="EL56" s="37">
        <v>200000</v>
      </c>
      <c r="EM56" s="25">
        <f t="shared" si="184"/>
        <v>188000</v>
      </c>
      <c r="EN56" s="25">
        <f t="shared" si="185"/>
        <v>200000</v>
      </c>
      <c r="EO56" s="25">
        <f t="shared" si="125"/>
        <v>200000</v>
      </c>
      <c r="EP56" s="25">
        <f t="shared" si="84"/>
        <v>0</v>
      </c>
      <c r="EQ56" s="37">
        <v>200000</v>
      </c>
      <c r="ER56" s="25">
        <f t="shared" si="186"/>
        <v>188000</v>
      </c>
      <c r="ES56" s="25">
        <f t="shared" si="187"/>
        <v>200000</v>
      </c>
      <c r="ET56" s="25">
        <f t="shared" si="85"/>
        <v>200000</v>
      </c>
      <c r="EU56" s="25">
        <f t="shared" si="86"/>
        <v>0</v>
      </c>
      <c r="EV56" s="37">
        <v>200000</v>
      </c>
      <c r="EW56" s="25">
        <f t="shared" si="188"/>
        <v>188000</v>
      </c>
      <c r="EX56" s="25">
        <f t="shared" si="87"/>
        <v>0</v>
      </c>
      <c r="EY56" s="25">
        <f t="shared" si="177"/>
        <v>0</v>
      </c>
      <c r="EZ56" s="37">
        <v>200000</v>
      </c>
      <c r="FA56" s="25">
        <f t="shared" si="189"/>
        <v>188000</v>
      </c>
      <c r="FB56" s="25"/>
      <c r="FC56" s="25">
        <f t="shared" si="88"/>
        <v>200000</v>
      </c>
      <c r="FD56" s="25"/>
      <c r="FE56" s="25"/>
      <c r="FF56" s="25">
        <f t="shared" si="89"/>
        <v>200000</v>
      </c>
      <c r="FG56" s="37">
        <v>0</v>
      </c>
      <c r="FH56" s="25">
        <f t="shared" si="90"/>
        <v>-200000</v>
      </c>
      <c r="FI56" s="25"/>
      <c r="FJ56" s="37">
        <v>0</v>
      </c>
      <c r="FK56" s="37">
        <f t="shared" si="91"/>
        <v>-200000</v>
      </c>
      <c r="FL56" s="37">
        <f t="shared" si="92"/>
        <v>0</v>
      </c>
      <c r="FM56" s="37">
        <v>0</v>
      </c>
      <c r="FN56" s="37">
        <f t="shared" si="93"/>
        <v>-200000</v>
      </c>
      <c r="FO56" s="37">
        <f t="shared" si="94"/>
        <v>0</v>
      </c>
      <c r="FP56" s="37">
        <f t="shared" si="95"/>
        <v>0</v>
      </c>
      <c r="FQ56" s="37"/>
      <c r="FR56" s="37">
        <v>0</v>
      </c>
      <c r="FS56" s="37">
        <f t="shared" si="96"/>
        <v>-200000</v>
      </c>
      <c r="FT56" s="37">
        <f t="shared" si="97"/>
        <v>0</v>
      </c>
      <c r="FU56" s="37">
        <f t="shared" si="98"/>
        <v>0</v>
      </c>
      <c r="FV56" s="100"/>
      <c r="FW56" s="37">
        <v>0</v>
      </c>
      <c r="FX56" s="37">
        <f t="shared" si="99"/>
        <v>-200000</v>
      </c>
      <c r="FY56" s="37">
        <f t="shared" si="100"/>
        <v>0</v>
      </c>
      <c r="FZ56" s="37">
        <f t="shared" si="101"/>
        <v>0</v>
      </c>
      <c r="GA56" s="37">
        <f t="shared" si="102"/>
        <v>0</v>
      </c>
      <c r="GB56" s="107"/>
      <c r="GC56" s="37">
        <v>0</v>
      </c>
      <c r="GD56" s="26"/>
      <c r="GE56" s="37">
        <f t="shared" si="103"/>
        <v>0</v>
      </c>
      <c r="GF56" s="38"/>
      <c r="GG56" s="37">
        <f t="shared" si="104"/>
        <v>0</v>
      </c>
      <c r="GH56" s="26">
        <f t="shared" si="151"/>
        <v>-200000</v>
      </c>
      <c r="GI56" s="37">
        <f t="shared" si="152"/>
        <v>0</v>
      </c>
      <c r="GJ56" s="37">
        <f t="shared" si="153"/>
        <v>0</v>
      </c>
      <c r="GK56" s="37">
        <f t="shared" si="154"/>
        <v>0</v>
      </c>
      <c r="GL56" s="37">
        <f t="shared" si="155"/>
        <v>0</v>
      </c>
      <c r="GM56" s="107"/>
      <c r="GN56" s="115"/>
      <c r="GO56" s="113">
        <f t="shared" si="105"/>
        <v>0</v>
      </c>
      <c r="GP56" s="113"/>
      <c r="GQ56" s="113">
        <f t="shared" si="106"/>
        <v>0</v>
      </c>
      <c r="GR56" s="113"/>
      <c r="GT56" s="128">
        <v>0</v>
      </c>
      <c r="GU56" s="123">
        <f>GT56-GS57</f>
        <v>-110000</v>
      </c>
      <c r="GV56" s="115"/>
      <c r="GW56" s="99">
        <v>0</v>
      </c>
      <c r="GX56" s="128">
        <f t="shared" si="190"/>
        <v>0</v>
      </c>
      <c r="GY56" s="128">
        <f t="shared" si="191"/>
        <v>0</v>
      </c>
      <c r="GZ56" s="115"/>
      <c r="HA56" s="99">
        <v>0</v>
      </c>
      <c r="HB56" s="128">
        <f t="shared" si="110"/>
        <v>0</v>
      </c>
      <c r="HC56" s="128">
        <f t="shared" si="111"/>
        <v>0</v>
      </c>
      <c r="HD56" s="128">
        <f t="shared" si="112"/>
        <v>0</v>
      </c>
      <c r="HE56" s="115"/>
      <c r="HF56" s="99"/>
      <c r="HG56" s="128">
        <f t="shared" si="126"/>
        <v>0</v>
      </c>
      <c r="HH56" s="128">
        <f t="shared" si="113"/>
        <v>0</v>
      </c>
      <c r="HI56" s="128">
        <f t="shared" si="114"/>
        <v>0</v>
      </c>
      <c r="HJ56" s="115"/>
      <c r="HK56" s="99"/>
      <c r="HL56" s="128">
        <f t="shared" si="115"/>
        <v>0</v>
      </c>
      <c r="HM56" s="128">
        <f t="shared" si="116"/>
        <v>0</v>
      </c>
      <c r="HN56" s="128">
        <f t="shared" si="117"/>
        <v>0</v>
      </c>
      <c r="HO56" s="128">
        <f t="shared" si="118"/>
        <v>0</v>
      </c>
      <c r="HP56" s="115"/>
      <c r="HQ56" s="99"/>
      <c r="HR56" s="128">
        <f t="shared" si="145"/>
        <v>0</v>
      </c>
      <c r="HS56" s="128">
        <f t="shared" si="156"/>
        <v>0</v>
      </c>
      <c r="HT56" s="128">
        <f t="shared" si="157"/>
        <v>0</v>
      </c>
      <c r="HU56" s="128">
        <f t="shared" si="158"/>
        <v>0</v>
      </c>
      <c r="HV56" s="115"/>
      <c r="HW56" s="99"/>
      <c r="HX56" s="128">
        <f t="shared" si="159"/>
        <v>0</v>
      </c>
      <c r="HY56" s="128">
        <f t="shared" si="160"/>
        <v>0</v>
      </c>
      <c r="HZ56" s="128">
        <f t="shared" si="119"/>
        <v>0</v>
      </c>
      <c r="IA56" s="115"/>
      <c r="IB56" s="99"/>
      <c r="IC56" s="115"/>
      <c r="ID56" s="128">
        <f t="shared" si="180"/>
        <v>0</v>
      </c>
      <c r="IE56" s="164">
        <f t="shared" si="181"/>
        <v>0</v>
      </c>
      <c r="IF56" s="185">
        <v>0</v>
      </c>
      <c r="IG56" s="40">
        <f t="shared" si="120"/>
        <v>0</v>
      </c>
      <c r="IH56" s="115"/>
    </row>
    <row r="57" spans="1:244" ht="24" x14ac:dyDescent="0.2">
      <c r="A57" s="17" t="s">
        <v>103</v>
      </c>
      <c r="B57" s="18"/>
      <c r="C57" s="52" t="s">
        <v>132</v>
      </c>
      <c r="D57" s="20"/>
      <c r="E57" s="21"/>
      <c r="F57" s="21"/>
      <c r="G57" s="21"/>
      <c r="H57" s="22"/>
      <c r="I57" s="21"/>
      <c r="J57" s="22"/>
      <c r="K57" s="22"/>
      <c r="L57" s="22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4"/>
      <c r="X57" s="24"/>
      <c r="Y57" s="24">
        <f t="shared" si="23"/>
        <v>0</v>
      </c>
      <c r="Z57" s="25"/>
      <c r="AA57" s="25"/>
      <c r="AB57" s="25"/>
      <c r="AC57" s="25">
        <v>300000</v>
      </c>
      <c r="AD57" s="26">
        <v>0</v>
      </c>
      <c r="AE57" s="25">
        <f t="shared" si="162"/>
        <v>300000</v>
      </c>
      <c r="AF57" s="25">
        <f>AC57-W57+X57</f>
        <v>300000</v>
      </c>
      <c r="AG57" s="25">
        <f>AC57-Z57</f>
        <v>300000</v>
      </c>
      <c r="AH57" s="27">
        <v>300000</v>
      </c>
      <c r="AI57" s="27">
        <v>300000</v>
      </c>
      <c r="AJ57" s="25">
        <f t="shared" si="141"/>
        <v>0</v>
      </c>
      <c r="AK57" s="25">
        <f t="shared" si="25"/>
        <v>0</v>
      </c>
      <c r="AL57" s="25">
        <f t="shared" si="26"/>
        <v>-300000</v>
      </c>
      <c r="AM57" s="26">
        <f t="shared" si="27"/>
        <v>300000</v>
      </c>
      <c r="AN57" s="26">
        <f t="shared" si="28"/>
        <v>300000</v>
      </c>
      <c r="AO57" s="26">
        <f t="shared" si="4"/>
        <v>0</v>
      </c>
      <c r="AP57" s="25">
        <v>300000</v>
      </c>
      <c r="AQ57" s="25">
        <f t="shared" si="5"/>
        <v>300000</v>
      </c>
      <c r="AR57" s="25">
        <f t="shared" si="29"/>
        <v>300000</v>
      </c>
      <c r="AS57" s="25">
        <f t="shared" si="30"/>
        <v>300000</v>
      </c>
      <c r="AT57" s="25"/>
      <c r="AU57" s="25">
        <f t="shared" si="31"/>
        <v>300000</v>
      </c>
      <c r="AV57" s="25">
        <v>0</v>
      </c>
      <c r="AW57" s="25">
        <f t="shared" si="32"/>
        <v>-300000</v>
      </c>
      <c r="AX57" s="25">
        <v>0</v>
      </c>
      <c r="AY57" s="26">
        <f>AX57-AP57-AT57</f>
        <v>-300000</v>
      </c>
      <c r="AZ57" s="26">
        <f>AX57-AV57</f>
        <v>0</v>
      </c>
      <c r="BA57" s="25">
        <v>251950</v>
      </c>
      <c r="BB57" s="25">
        <f t="shared" si="33"/>
        <v>-48050</v>
      </c>
      <c r="BC57" s="25">
        <f t="shared" si="34"/>
        <v>251950</v>
      </c>
      <c r="BD57" s="25">
        <f t="shared" si="35"/>
        <v>251950</v>
      </c>
      <c r="BE57" s="25">
        <v>251950</v>
      </c>
      <c r="BF57" s="25">
        <v>251950</v>
      </c>
      <c r="BG57" s="25">
        <v>251950</v>
      </c>
      <c r="BH57" s="25">
        <f t="shared" si="36"/>
        <v>-48050</v>
      </c>
      <c r="BI57" s="25">
        <f t="shared" si="37"/>
        <v>251950</v>
      </c>
      <c r="BJ57" s="25">
        <f t="shared" si="38"/>
        <v>0</v>
      </c>
      <c r="BK57" s="8">
        <f t="shared" si="39"/>
        <v>0</v>
      </c>
      <c r="BL57" s="25"/>
      <c r="BM57" s="25">
        <f t="shared" si="40"/>
        <v>251950</v>
      </c>
      <c r="BN57" s="37">
        <v>251950</v>
      </c>
      <c r="BO57" s="26">
        <f t="shared" si="41"/>
        <v>0</v>
      </c>
      <c r="BP57" s="37">
        <v>0</v>
      </c>
      <c r="BQ57" s="8">
        <f t="shared" si="42"/>
        <v>-251950</v>
      </c>
      <c r="BR57" s="8">
        <f t="shared" si="43"/>
        <v>-251950</v>
      </c>
      <c r="BS57" s="37">
        <f>BP57</f>
        <v>0</v>
      </c>
      <c r="BT57" s="40">
        <f t="shared" si="44"/>
        <v>-251950</v>
      </c>
      <c r="BU57" s="40">
        <f t="shared" si="45"/>
        <v>-251950</v>
      </c>
      <c r="BV57" s="40">
        <f t="shared" si="46"/>
        <v>0</v>
      </c>
      <c r="BW57" s="38">
        <v>251950</v>
      </c>
      <c r="BX57" s="8">
        <f t="shared" si="47"/>
        <v>0</v>
      </c>
      <c r="BY57" s="8">
        <f t="shared" si="48"/>
        <v>0</v>
      </c>
      <c r="BZ57" s="8">
        <f t="shared" si="49"/>
        <v>251950</v>
      </c>
      <c r="CA57" s="38">
        <v>251950</v>
      </c>
      <c r="CB57" s="8">
        <f t="shared" si="50"/>
        <v>0</v>
      </c>
      <c r="CC57" s="8">
        <f t="shared" si="51"/>
        <v>0</v>
      </c>
      <c r="CD57" s="8">
        <f t="shared" si="6"/>
        <v>251950</v>
      </c>
      <c r="CE57" s="8">
        <f t="shared" si="52"/>
        <v>0</v>
      </c>
      <c r="CF57" s="38">
        <v>251950</v>
      </c>
      <c r="CG57" s="8">
        <f t="shared" si="53"/>
        <v>0</v>
      </c>
      <c r="CH57" s="8">
        <f t="shared" si="54"/>
        <v>0</v>
      </c>
      <c r="CI57" s="8">
        <f t="shared" si="55"/>
        <v>251950</v>
      </c>
      <c r="CJ57" s="8">
        <f t="shared" si="56"/>
        <v>0</v>
      </c>
      <c r="CK57" s="38">
        <v>251950</v>
      </c>
      <c r="CL57" s="8">
        <f t="shared" si="7"/>
        <v>0</v>
      </c>
      <c r="CM57" s="8">
        <f t="shared" si="57"/>
        <v>0</v>
      </c>
      <c r="CN57" s="8">
        <f t="shared" si="58"/>
        <v>0</v>
      </c>
      <c r="CO57" s="38">
        <f>CK57</f>
        <v>251950</v>
      </c>
      <c r="CP57" s="38">
        <f t="shared" si="59"/>
        <v>0</v>
      </c>
      <c r="CQ57" s="8">
        <f t="shared" si="60"/>
        <v>0</v>
      </c>
      <c r="CR57" s="38">
        <v>0</v>
      </c>
      <c r="CS57" s="27">
        <v>280000</v>
      </c>
      <c r="CT57" s="38">
        <f t="shared" si="61"/>
        <v>280000</v>
      </c>
      <c r="CU57" s="8">
        <f t="shared" si="62"/>
        <v>28050</v>
      </c>
      <c r="CV57" s="38">
        <f t="shared" si="63"/>
        <v>28050</v>
      </c>
      <c r="CW57" s="38">
        <f t="shared" si="64"/>
        <v>280000</v>
      </c>
      <c r="CX57" s="38">
        <v>280000</v>
      </c>
      <c r="CY57" s="8">
        <f t="shared" si="65"/>
        <v>28050</v>
      </c>
      <c r="CZ57" s="38">
        <f t="shared" si="66"/>
        <v>28050</v>
      </c>
      <c r="DA57" s="38">
        <f t="shared" si="67"/>
        <v>0</v>
      </c>
      <c r="DB57" s="38">
        <v>280000</v>
      </c>
      <c r="DC57" s="8">
        <f t="shared" si="68"/>
        <v>28050</v>
      </c>
      <c r="DD57" s="38">
        <f t="shared" si="69"/>
        <v>28050</v>
      </c>
      <c r="DE57" s="38">
        <f t="shared" si="70"/>
        <v>0</v>
      </c>
      <c r="DF57" s="38">
        <f t="shared" si="71"/>
        <v>0</v>
      </c>
      <c r="DG57" s="38">
        <v>280000</v>
      </c>
      <c r="DH57" s="40">
        <f t="shared" si="72"/>
        <v>28050</v>
      </c>
      <c r="DI57" s="38">
        <f t="shared" si="73"/>
        <v>28050</v>
      </c>
      <c r="DJ57" s="38">
        <f t="shared" si="74"/>
        <v>0</v>
      </c>
      <c r="DK57" s="38">
        <f t="shared" si="75"/>
        <v>0</v>
      </c>
      <c r="DL57" s="38"/>
      <c r="DM57" s="38">
        <f t="shared" si="76"/>
        <v>280000</v>
      </c>
      <c r="DN57" s="38">
        <v>280000</v>
      </c>
      <c r="DO57" s="38">
        <f t="shared" si="77"/>
        <v>28050</v>
      </c>
      <c r="DP57" s="38"/>
      <c r="DQ57" s="38">
        <v>-4200</v>
      </c>
      <c r="DR57" s="38">
        <f t="shared" si="78"/>
        <v>275800</v>
      </c>
      <c r="DS57" s="38">
        <f t="shared" si="79"/>
        <v>23850</v>
      </c>
      <c r="DT57" s="38"/>
      <c r="DU57" s="38">
        <f t="shared" si="80"/>
        <v>275800</v>
      </c>
      <c r="DV57" s="38">
        <f t="shared" si="81"/>
        <v>23850</v>
      </c>
      <c r="DW57" s="38">
        <v>275800</v>
      </c>
      <c r="DX57" s="38">
        <v>0</v>
      </c>
      <c r="DY57" s="8">
        <f>DX57-DU57</f>
        <v>-275800</v>
      </c>
      <c r="DZ57" s="40">
        <v>0</v>
      </c>
      <c r="EA57" s="8">
        <f>DZ57-DU57</f>
        <v>-275800</v>
      </c>
      <c r="EB57" s="8">
        <f>DZ57-DX57</f>
        <v>0</v>
      </c>
      <c r="EC57" s="60"/>
      <c r="ED57" s="37">
        <v>100000</v>
      </c>
      <c r="EE57" s="25">
        <f>ED57-DU57</f>
        <v>-175800</v>
      </c>
      <c r="EF57" s="25">
        <f>ED57-DX57</f>
        <v>100000</v>
      </c>
      <c r="EG57" s="25">
        <f t="shared" si="82"/>
        <v>100000</v>
      </c>
      <c r="EH57" s="37">
        <v>275800</v>
      </c>
      <c r="EI57" s="25">
        <f>EH57-DU57</f>
        <v>0</v>
      </c>
      <c r="EJ57" s="25">
        <f>EH57-DX57</f>
        <v>275800</v>
      </c>
      <c r="EK57" s="25">
        <f t="shared" si="83"/>
        <v>175800</v>
      </c>
      <c r="EL57" s="37">
        <v>275800</v>
      </c>
      <c r="EM57" s="25">
        <f t="shared" si="184"/>
        <v>0</v>
      </c>
      <c r="EN57" s="25">
        <f t="shared" si="185"/>
        <v>275800</v>
      </c>
      <c r="EO57" s="25">
        <f t="shared" si="125"/>
        <v>175800</v>
      </c>
      <c r="EP57" s="25">
        <f t="shared" si="84"/>
        <v>0</v>
      </c>
      <c r="EQ57" s="37">
        <v>275800</v>
      </c>
      <c r="ER57" s="25">
        <f t="shared" si="186"/>
        <v>0</v>
      </c>
      <c r="ES57" s="25">
        <f t="shared" si="187"/>
        <v>275800</v>
      </c>
      <c r="ET57" s="25">
        <f t="shared" si="85"/>
        <v>175800</v>
      </c>
      <c r="EU57" s="25">
        <f t="shared" si="86"/>
        <v>0</v>
      </c>
      <c r="EV57" s="37">
        <v>275800</v>
      </c>
      <c r="EW57" s="25">
        <f t="shared" si="188"/>
        <v>0</v>
      </c>
      <c r="EX57" s="25">
        <f t="shared" si="87"/>
        <v>0</v>
      </c>
      <c r="EY57" s="25">
        <f t="shared" si="177"/>
        <v>0</v>
      </c>
      <c r="EZ57" s="37">
        <v>275800</v>
      </c>
      <c r="FA57" s="25">
        <f t="shared" si="189"/>
        <v>0</v>
      </c>
      <c r="FB57" s="25"/>
      <c r="FC57" s="25">
        <f t="shared" si="88"/>
        <v>275800</v>
      </c>
      <c r="FD57" s="25"/>
      <c r="FE57" s="25"/>
      <c r="FF57" s="25">
        <f t="shared" si="89"/>
        <v>275800</v>
      </c>
      <c r="FG57" s="37">
        <v>110000</v>
      </c>
      <c r="FH57" s="25">
        <f t="shared" si="90"/>
        <v>-165800</v>
      </c>
      <c r="FI57" s="25"/>
      <c r="FJ57" s="37">
        <v>0</v>
      </c>
      <c r="FK57" s="37">
        <f t="shared" si="91"/>
        <v>-275800</v>
      </c>
      <c r="FL57" s="37">
        <f t="shared" si="92"/>
        <v>-110000</v>
      </c>
      <c r="FM57" s="37">
        <v>110000</v>
      </c>
      <c r="FN57" s="37">
        <f t="shared" si="93"/>
        <v>-165800</v>
      </c>
      <c r="FO57" s="37">
        <f t="shared" si="94"/>
        <v>0</v>
      </c>
      <c r="FP57" s="37">
        <f t="shared" si="95"/>
        <v>110000</v>
      </c>
      <c r="FQ57" s="37"/>
      <c r="FR57" s="37">
        <v>110000</v>
      </c>
      <c r="FS57" s="37">
        <f t="shared" si="96"/>
        <v>-165800</v>
      </c>
      <c r="FT57" s="37">
        <f t="shared" si="97"/>
        <v>0</v>
      </c>
      <c r="FU57" s="37">
        <f t="shared" si="98"/>
        <v>0</v>
      </c>
      <c r="FV57" s="100"/>
      <c r="FW57" s="37">
        <v>110000</v>
      </c>
      <c r="FX57" s="37">
        <f t="shared" si="99"/>
        <v>-165800</v>
      </c>
      <c r="FY57" s="37">
        <f t="shared" si="100"/>
        <v>0</v>
      </c>
      <c r="FZ57" s="37">
        <f t="shared" si="101"/>
        <v>0</v>
      </c>
      <c r="GA57" s="37">
        <f t="shared" si="102"/>
        <v>0</v>
      </c>
      <c r="GB57" s="107"/>
      <c r="GC57" s="37">
        <v>110000</v>
      </c>
      <c r="GD57" s="26"/>
      <c r="GE57" s="37">
        <f t="shared" si="103"/>
        <v>110000</v>
      </c>
      <c r="GF57" s="38"/>
      <c r="GG57" s="37">
        <f t="shared" si="104"/>
        <v>110000</v>
      </c>
      <c r="GH57" s="26">
        <f t="shared" si="151"/>
        <v>-165800</v>
      </c>
      <c r="GI57" s="37">
        <f t="shared" si="152"/>
        <v>0</v>
      </c>
      <c r="GJ57" s="37">
        <f t="shared" si="153"/>
        <v>0</v>
      </c>
      <c r="GK57" s="37">
        <f t="shared" si="154"/>
        <v>0</v>
      </c>
      <c r="GL57" s="37">
        <f t="shared" si="155"/>
        <v>0</v>
      </c>
      <c r="GM57" s="107"/>
      <c r="GN57" s="115"/>
      <c r="GO57" s="113">
        <f t="shared" si="105"/>
        <v>110000</v>
      </c>
      <c r="GP57" s="113"/>
      <c r="GQ57" s="113">
        <f t="shared" si="106"/>
        <v>110000</v>
      </c>
      <c r="GR57" s="113"/>
      <c r="GS57" s="128">
        <v>110000</v>
      </c>
      <c r="GT57" s="128">
        <v>65000</v>
      </c>
      <c r="GU57" s="123" t="e">
        <f>GT57-#REF!</f>
        <v>#REF!</v>
      </c>
      <c r="GV57" s="115" t="s">
        <v>387</v>
      </c>
      <c r="GW57" s="99">
        <v>0</v>
      </c>
      <c r="GX57" s="128">
        <f t="shared" si="190"/>
        <v>-110000</v>
      </c>
      <c r="GY57" s="128">
        <f t="shared" si="191"/>
        <v>-65000</v>
      </c>
      <c r="GZ57" s="115" t="s">
        <v>400</v>
      </c>
      <c r="HA57" s="99">
        <v>56920</v>
      </c>
      <c r="HB57" s="128">
        <f t="shared" si="110"/>
        <v>-53080</v>
      </c>
      <c r="HC57" s="128">
        <f t="shared" si="111"/>
        <v>-8080</v>
      </c>
      <c r="HD57" s="128">
        <f t="shared" si="112"/>
        <v>56920</v>
      </c>
      <c r="HE57" s="115"/>
      <c r="HF57" s="99">
        <v>65000</v>
      </c>
      <c r="HG57" s="128">
        <f t="shared" si="126"/>
        <v>-45000</v>
      </c>
      <c r="HH57" s="128">
        <f t="shared" si="113"/>
        <v>0</v>
      </c>
      <c r="HI57" s="128">
        <f t="shared" si="114"/>
        <v>8080</v>
      </c>
      <c r="HJ57" s="115"/>
      <c r="HK57" s="99">
        <v>65000</v>
      </c>
      <c r="HL57" s="128">
        <f t="shared" si="115"/>
        <v>-45000</v>
      </c>
      <c r="HM57" s="128">
        <f t="shared" si="116"/>
        <v>0</v>
      </c>
      <c r="HN57" s="128">
        <f t="shared" si="117"/>
        <v>8080</v>
      </c>
      <c r="HO57" s="128">
        <f t="shared" si="118"/>
        <v>0</v>
      </c>
      <c r="HP57" s="115"/>
      <c r="HQ57" s="99">
        <v>56920</v>
      </c>
      <c r="HR57" s="128">
        <f t="shared" si="145"/>
        <v>-53080</v>
      </c>
      <c r="HS57" s="128">
        <f t="shared" si="156"/>
        <v>-8080</v>
      </c>
      <c r="HT57" s="128">
        <f t="shared" si="157"/>
        <v>0</v>
      </c>
      <c r="HU57" s="128">
        <f t="shared" si="158"/>
        <v>-8080</v>
      </c>
      <c r="HV57" s="115"/>
      <c r="HW57" s="99">
        <v>56920</v>
      </c>
      <c r="HX57" s="128">
        <f t="shared" si="159"/>
        <v>-53080</v>
      </c>
      <c r="HY57" s="128">
        <f t="shared" si="160"/>
        <v>-8080</v>
      </c>
      <c r="HZ57" s="128">
        <f t="shared" si="119"/>
        <v>0</v>
      </c>
      <c r="IA57" s="115"/>
      <c r="IB57" s="99">
        <v>56920</v>
      </c>
      <c r="IC57" s="166"/>
      <c r="ID57" s="128">
        <f t="shared" si="180"/>
        <v>56920</v>
      </c>
      <c r="IE57" s="164">
        <f t="shared" si="181"/>
        <v>-53080</v>
      </c>
      <c r="IF57" s="185">
        <v>56920</v>
      </c>
      <c r="IG57" s="40">
        <f t="shared" si="120"/>
        <v>0</v>
      </c>
      <c r="IH57" s="115"/>
    </row>
    <row r="58" spans="1:244" ht="12.75" hidden="1" x14ac:dyDescent="0.2">
      <c r="A58" s="39" t="s">
        <v>192</v>
      </c>
      <c r="B58" s="18"/>
      <c r="C58" s="51" t="s">
        <v>277</v>
      </c>
      <c r="D58" s="20"/>
      <c r="E58" s="21"/>
      <c r="F58" s="21"/>
      <c r="G58" s="21"/>
      <c r="H58" s="22"/>
      <c r="I58" s="21"/>
      <c r="J58" s="22"/>
      <c r="K58" s="22"/>
      <c r="L58" s="22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4"/>
      <c r="X58" s="24"/>
      <c r="Y58" s="24"/>
      <c r="Z58" s="25"/>
      <c r="AA58" s="25"/>
      <c r="AB58" s="25"/>
      <c r="AC58" s="25"/>
      <c r="AD58" s="26"/>
      <c r="AE58" s="25"/>
      <c r="AF58" s="25"/>
      <c r="AG58" s="25"/>
      <c r="AH58" s="27"/>
      <c r="AI58" s="27"/>
      <c r="AJ58" s="25"/>
      <c r="AK58" s="25"/>
      <c r="AL58" s="25"/>
      <c r="AM58" s="26"/>
      <c r="AN58" s="26"/>
      <c r="AO58" s="26"/>
      <c r="AP58" s="25"/>
      <c r="AQ58" s="25"/>
      <c r="AR58" s="25"/>
      <c r="AS58" s="25"/>
      <c r="AT58" s="25"/>
      <c r="AU58" s="25"/>
      <c r="AV58" s="25"/>
      <c r="AW58" s="25"/>
      <c r="AX58" s="25"/>
      <c r="AY58" s="26"/>
      <c r="AZ58" s="26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8"/>
      <c r="BL58" s="25"/>
      <c r="BM58" s="25"/>
      <c r="BN58" s="37"/>
      <c r="BO58" s="26"/>
      <c r="BP58" s="37"/>
      <c r="BQ58" s="8"/>
      <c r="BR58" s="8"/>
      <c r="BS58" s="37"/>
      <c r="BT58" s="40"/>
      <c r="BU58" s="40"/>
      <c r="BV58" s="40"/>
      <c r="BW58" s="38"/>
      <c r="BX58" s="8"/>
      <c r="BY58" s="8"/>
      <c r="BZ58" s="8"/>
      <c r="CA58" s="38">
        <v>200000</v>
      </c>
      <c r="CB58" s="8">
        <f t="shared" ref="CB58" si="192">CA58-BM58</f>
        <v>200000</v>
      </c>
      <c r="CC58" s="8">
        <f t="shared" ref="CC58" si="193">CA58-BN58</f>
        <v>200000</v>
      </c>
      <c r="CD58" s="8">
        <f t="shared" ref="CD58" si="194">CA58-BS58</f>
        <v>200000</v>
      </c>
      <c r="CE58" s="8">
        <f t="shared" ref="CE58" si="195">CA58-BW58</f>
        <v>200000</v>
      </c>
      <c r="CF58" s="38">
        <v>125000</v>
      </c>
      <c r="CG58" s="8">
        <f t="shared" si="53"/>
        <v>125000</v>
      </c>
      <c r="CH58" s="8">
        <f t="shared" si="54"/>
        <v>125000</v>
      </c>
      <c r="CI58" s="8">
        <f t="shared" si="55"/>
        <v>125000</v>
      </c>
      <c r="CJ58" s="8">
        <f t="shared" si="56"/>
        <v>-75000</v>
      </c>
      <c r="CK58" s="38">
        <v>125000</v>
      </c>
      <c r="CL58" s="8">
        <f t="shared" si="7"/>
        <v>125000</v>
      </c>
      <c r="CM58" s="8">
        <f t="shared" si="57"/>
        <v>125000</v>
      </c>
      <c r="CN58" s="8">
        <f t="shared" si="58"/>
        <v>0</v>
      </c>
      <c r="CO58" s="38">
        <v>0</v>
      </c>
      <c r="CP58" s="38">
        <f t="shared" si="59"/>
        <v>0</v>
      </c>
      <c r="CQ58" s="8">
        <f t="shared" si="60"/>
        <v>-125000</v>
      </c>
      <c r="CR58" s="38">
        <v>0</v>
      </c>
      <c r="CS58" s="27"/>
      <c r="CT58" s="38">
        <f t="shared" si="61"/>
        <v>0</v>
      </c>
      <c r="CU58" s="8">
        <f t="shared" si="62"/>
        <v>-125000</v>
      </c>
      <c r="CV58" s="38">
        <f t="shared" si="63"/>
        <v>0</v>
      </c>
      <c r="CW58" s="38">
        <f t="shared" si="64"/>
        <v>0</v>
      </c>
      <c r="CX58" s="38">
        <v>125000</v>
      </c>
      <c r="CY58" s="8">
        <f t="shared" si="65"/>
        <v>0</v>
      </c>
      <c r="CZ58" s="38">
        <f t="shared" si="66"/>
        <v>125000</v>
      </c>
      <c r="DA58" s="38">
        <f t="shared" si="67"/>
        <v>125000</v>
      </c>
      <c r="DB58" s="38">
        <v>200000</v>
      </c>
      <c r="DC58" s="8">
        <f t="shared" si="68"/>
        <v>75000</v>
      </c>
      <c r="DD58" s="38">
        <f t="shared" si="69"/>
        <v>200000</v>
      </c>
      <c r="DE58" s="38">
        <f t="shared" si="70"/>
        <v>200000</v>
      </c>
      <c r="DF58" s="38">
        <f t="shared" si="71"/>
        <v>75000</v>
      </c>
      <c r="DG58" s="38">
        <v>200000</v>
      </c>
      <c r="DH58" s="40">
        <f t="shared" si="72"/>
        <v>75000</v>
      </c>
      <c r="DI58" s="38">
        <f t="shared" si="73"/>
        <v>200000</v>
      </c>
      <c r="DJ58" s="38">
        <f t="shared" si="74"/>
        <v>200000</v>
      </c>
      <c r="DK58" s="38">
        <f t="shared" si="75"/>
        <v>0</v>
      </c>
      <c r="DL58" s="38"/>
      <c r="DM58" s="38">
        <f t="shared" si="76"/>
        <v>200000</v>
      </c>
      <c r="DN58" s="38">
        <v>200000</v>
      </c>
      <c r="DO58" s="38">
        <f t="shared" si="77"/>
        <v>75000</v>
      </c>
      <c r="DP58" s="38"/>
      <c r="DQ58" s="38">
        <v>0</v>
      </c>
      <c r="DR58" s="38">
        <f t="shared" si="78"/>
        <v>200000</v>
      </c>
      <c r="DS58" s="38">
        <f t="shared" si="79"/>
        <v>75000</v>
      </c>
      <c r="DT58" s="38"/>
      <c r="DU58" s="38">
        <f t="shared" si="80"/>
        <v>200000</v>
      </c>
      <c r="DV58" s="38">
        <f t="shared" si="81"/>
        <v>75000</v>
      </c>
      <c r="DW58" s="38">
        <v>200000</v>
      </c>
      <c r="DX58" s="38">
        <v>0</v>
      </c>
      <c r="DY58" s="8">
        <f>DX58-DU58</f>
        <v>-200000</v>
      </c>
      <c r="DZ58" s="40">
        <v>0</v>
      </c>
      <c r="EA58" s="8">
        <f>DZ58-DU58</f>
        <v>-200000</v>
      </c>
      <c r="EB58" s="8">
        <f>DZ58-DX58</f>
        <v>0</v>
      </c>
      <c r="EC58" s="60"/>
      <c r="ED58" s="37">
        <v>0</v>
      </c>
      <c r="EE58" s="25">
        <f>ED58-DU58</f>
        <v>-200000</v>
      </c>
      <c r="EF58" s="25">
        <f>ED58-DX58</f>
        <v>0</v>
      </c>
      <c r="EG58" s="25">
        <f t="shared" si="82"/>
        <v>0</v>
      </c>
      <c r="EH58" s="37">
        <v>200000</v>
      </c>
      <c r="EI58" s="25">
        <f>EH58-DU58</f>
        <v>0</v>
      </c>
      <c r="EJ58" s="25">
        <f>EH58-DX58</f>
        <v>200000</v>
      </c>
      <c r="EK58" s="25">
        <f t="shared" si="83"/>
        <v>200000</v>
      </c>
      <c r="EL58" s="37">
        <v>200000</v>
      </c>
      <c r="EM58" s="25">
        <f t="shared" si="184"/>
        <v>0</v>
      </c>
      <c r="EN58" s="25">
        <f t="shared" si="185"/>
        <v>200000</v>
      </c>
      <c r="EO58" s="25">
        <f t="shared" si="125"/>
        <v>200000</v>
      </c>
      <c r="EP58" s="25">
        <f t="shared" si="84"/>
        <v>0</v>
      </c>
      <c r="EQ58" s="37">
        <v>200000</v>
      </c>
      <c r="ER58" s="25">
        <f t="shared" si="186"/>
        <v>0</v>
      </c>
      <c r="ES58" s="25">
        <f t="shared" si="187"/>
        <v>200000</v>
      </c>
      <c r="ET58" s="25">
        <f t="shared" si="85"/>
        <v>200000</v>
      </c>
      <c r="EU58" s="25">
        <f t="shared" si="86"/>
        <v>0</v>
      </c>
      <c r="EV58" s="37">
        <f>200000-200000</f>
        <v>0</v>
      </c>
      <c r="EW58" s="25">
        <f t="shared" si="188"/>
        <v>-200000</v>
      </c>
      <c r="EX58" s="25">
        <f t="shared" si="87"/>
        <v>-200000</v>
      </c>
      <c r="EY58" s="25">
        <f t="shared" si="177"/>
        <v>200000</v>
      </c>
      <c r="EZ58" s="37">
        <f>200000</f>
        <v>200000</v>
      </c>
      <c r="FA58" s="25">
        <f t="shared" si="189"/>
        <v>0</v>
      </c>
      <c r="FB58" s="25"/>
      <c r="FC58" s="25">
        <f t="shared" si="88"/>
        <v>200000</v>
      </c>
      <c r="FD58" s="25"/>
      <c r="FE58" s="25"/>
      <c r="FF58" s="25">
        <f t="shared" si="89"/>
        <v>200000</v>
      </c>
      <c r="FG58" s="37">
        <v>0</v>
      </c>
      <c r="FH58" s="25">
        <f t="shared" si="90"/>
        <v>-200000</v>
      </c>
      <c r="FI58" s="25"/>
      <c r="FJ58" s="37">
        <v>0</v>
      </c>
      <c r="FK58" s="37">
        <f t="shared" si="91"/>
        <v>-200000</v>
      </c>
      <c r="FL58" s="37">
        <f t="shared" si="92"/>
        <v>0</v>
      </c>
      <c r="FM58" s="37">
        <v>0</v>
      </c>
      <c r="FN58" s="37">
        <f t="shared" si="93"/>
        <v>-200000</v>
      </c>
      <c r="FO58" s="37">
        <f t="shared" si="94"/>
        <v>0</v>
      </c>
      <c r="FP58" s="37">
        <f t="shared" si="95"/>
        <v>0</v>
      </c>
      <c r="FQ58" s="37"/>
      <c r="FR58" s="37">
        <v>200000</v>
      </c>
      <c r="FS58" s="37">
        <f t="shared" si="96"/>
        <v>0</v>
      </c>
      <c r="FT58" s="37">
        <f t="shared" si="97"/>
        <v>200000</v>
      </c>
      <c r="FU58" s="37">
        <f t="shared" si="98"/>
        <v>200000</v>
      </c>
      <c r="FV58" s="100"/>
      <c r="FW58" s="37">
        <v>200000</v>
      </c>
      <c r="FX58" s="37">
        <f t="shared" si="99"/>
        <v>0</v>
      </c>
      <c r="FY58" s="37">
        <f t="shared" si="100"/>
        <v>200000</v>
      </c>
      <c r="FZ58" s="37">
        <f t="shared" si="101"/>
        <v>200000</v>
      </c>
      <c r="GA58" s="37">
        <f t="shared" si="102"/>
        <v>0</v>
      </c>
      <c r="GB58" s="107"/>
      <c r="GC58" s="37">
        <v>0</v>
      </c>
      <c r="GD58" s="26"/>
      <c r="GE58" s="37">
        <f t="shared" si="103"/>
        <v>0</v>
      </c>
      <c r="GF58" s="38"/>
      <c r="GG58" s="37">
        <f t="shared" si="104"/>
        <v>0</v>
      </c>
      <c r="GH58" s="26">
        <f t="shared" si="151"/>
        <v>-200000</v>
      </c>
      <c r="GI58" s="37">
        <f t="shared" si="152"/>
        <v>0</v>
      </c>
      <c r="GJ58" s="37">
        <f t="shared" si="153"/>
        <v>0</v>
      </c>
      <c r="GK58" s="37">
        <f t="shared" si="154"/>
        <v>-200000</v>
      </c>
      <c r="GL58" s="37">
        <f t="shared" si="155"/>
        <v>0</v>
      </c>
      <c r="GM58" s="107"/>
      <c r="GN58" s="115"/>
      <c r="GO58" s="113">
        <f t="shared" si="105"/>
        <v>0</v>
      </c>
      <c r="GP58" s="113"/>
      <c r="GQ58" s="113">
        <f t="shared" si="106"/>
        <v>0</v>
      </c>
      <c r="GR58" s="113"/>
      <c r="GS58" s="128">
        <v>0</v>
      </c>
      <c r="GT58" s="128">
        <v>0</v>
      </c>
      <c r="GU58" s="123">
        <f t="shared" si="179"/>
        <v>0</v>
      </c>
      <c r="GV58" s="115"/>
      <c r="GW58" s="99">
        <v>0</v>
      </c>
      <c r="GX58" s="128">
        <f t="shared" si="190"/>
        <v>0</v>
      </c>
      <c r="GY58" s="128">
        <f t="shared" si="191"/>
        <v>0</v>
      </c>
      <c r="GZ58" s="115"/>
      <c r="HA58" s="99">
        <v>0</v>
      </c>
      <c r="HB58" s="128">
        <f t="shared" si="110"/>
        <v>0</v>
      </c>
      <c r="HC58" s="128">
        <f t="shared" si="111"/>
        <v>0</v>
      </c>
      <c r="HD58" s="128">
        <f t="shared" si="112"/>
        <v>0</v>
      </c>
      <c r="HE58" s="115"/>
      <c r="HF58" s="99"/>
      <c r="HG58" s="128">
        <f t="shared" si="126"/>
        <v>0</v>
      </c>
      <c r="HH58" s="128">
        <f t="shared" si="113"/>
        <v>0</v>
      </c>
      <c r="HI58" s="128">
        <f t="shared" si="114"/>
        <v>0</v>
      </c>
      <c r="HJ58" s="115"/>
      <c r="HK58" s="99"/>
      <c r="HL58" s="128">
        <f t="shared" si="115"/>
        <v>0</v>
      </c>
      <c r="HM58" s="128">
        <f t="shared" si="116"/>
        <v>0</v>
      </c>
      <c r="HN58" s="128">
        <f t="shared" si="117"/>
        <v>0</v>
      </c>
      <c r="HO58" s="128">
        <f t="shared" si="118"/>
        <v>0</v>
      </c>
      <c r="HP58" s="115"/>
      <c r="HQ58" s="99"/>
      <c r="HR58" s="128">
        <f t="shared" si="145"/>
        <v>0</v>
      </c>
      <c r="HS58" s="128">
        <f t="shared" si="156"/>
        <v>0</v>
      </c>
      <c r="HT58" s="128">
        <f t="shared" si="157"/>
        <v>0</v>
      </c>
      <c r="HU58" s="128">
        <f t="shared" si="158"/>
        <v>0</v>
      </c>
      <c r="HV58" s="115"/>
      <c r="HW58" s="99"/>
      <c r="HX58" s="128">
        <f t="shared" si="159"/>
        <v>0</v>
      </c>
      <c r="HY58" s="128">
        <f t="shared" si="160"/>
        <v>0</v>
      </c>
      <c r="HZ58" s="128">
        <f t="shared" si="119"/>
        <v>0</v>
      </c>
      <c r="IA58" s="115"/>
      <c r="IB58" s="99"/>
      <c r="IC58" s="115"/>
      <c r="ID58" s="128">
        <f t="shared" si="180"/>
        <v>0</v>
      </c>
      <c r="IE58" s="164">
        <f t="shared" si="181"/>
        <v>0</v>
      </c>
      <c r="IF58" s="185">
        <v>0</v>
      </c>
      <c r="IG58" s="40">
        <f t="shared" si="120"/>
        <v>0</v>
      </c>
      <c r="IH58" s="115"/>
    </row>
    <row r="59" spans="1:244" ht="24" x14ac:dyDescent="0.2">
      <c r="A59" s="39" t="s">
        <v>274</v>
      </c>
      <c r="B59" s="18"/>
      <c r="C59" s="51" t="s">
        <v>265</v>
      </c>
      <c r="D59" s="20"/>
      <c r="E59" s="21"/>
      <c r="F59" s="21"/>
      <c r="G59" s="21"/>
      <c r="H59" s="22"/>
      <c r="I59" s="21"/>
      <c r="J59" s="22"/>
      <c r="K59" s="22"/>
      <c r="L59" s="22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4"/>
      <c r="X59" s="24"/>
      <c r="Y59" s="24"/>
      <c r="Z59" s="25"/>
      <c r="AA59" s="25"/>
      <c r="AB59" s="25"/>
      <c r="AC59" s="25"/>
      <c r="AD59" s="26"/>
      <c r="AE59" s="25"/>
      <c r="AF59" s="25"/>
      <c r="AG59" s="25"/>
      <c r="AH59" s="27"/>
      <c r="AI59" s="27"/>
      <c r="AJ59" s="25"/>
      <c r="AK59" s="25"/>
      <c r="AL59" s="25"/>
      <c r="AM59" s="26"/>
      <c r="AN59" s="26"/>
      <c r="AO59" s="26"/>
      <c r="AP59" s="25"/>
      <c r="AQ59" s="25"/>
      <c r="AR59" s="25"/>
      <c r="AS59" s="25"/>
      <c r="AT59" s="25"/>
      <c r="AU59" s="25"/>
      <c r="AV59" s="25"/>
      <c r="AW59" s="25"/>
      <c r="AX59" s="25"/>
      <c r="AY59" s="26"/>
      <c r="AZ59" s="26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8"/>
      <c r="BL59" s="25"/>
      <c r="BM59" s="25"/>
      <c r="BN59" s="37"/>
      <c r="BO59" s="26"/>
      <c r="BP59" s="37"/>
      <c r="BQ59" s="8"/>
      <c r="BR59" s="8"/>
      <c r="BS59" s="37"/>
      <c r="BT59" s="40"/>
      <c r="BU59" s="40"/>
      <c r="BV59" s="40"/>
      <c r="BW59" s="38"/>
      <c r="BX59" s="8"/>
      <c r="BY59" s="8"/>
      <c r="BZ59" s="8"/>
      <c r="CA59" s="38"/>
      <c r="CB59" s="8"/>
      <c r="CC59" s="8"/>
      <c r="CD59" s="8"/>
      <c r="CE59" s="8"/>
      <c r="CF59" s="38"/>
      <c r="CG59" s="8"/>
      <c r="CH59" s="8"/>
      <c r="CI59" s="8"/>
      <c r="CJ59" s="8"/>
      <c r="CK59" s="38"/>
      <c r="CL59" s="8"/>
      <c r="CM59" s="8"/>
      <c r="CN59" s="8"/>
      <c r="CO59" s="38"/>
      <c r="CP59" s="38"/>
      <c r="CQ59" s="8"/>
      <c r="CR59" s="38"/>
      <c r="CS59" s="27"/>
      <c r="CT59" s="38"/>
      <c r="CU59" s="8"/>
      <c r="CV59" s="38"/>
      <c r="CW59" s="38"/>
      <c r="CX59" s="38"/>
      <c r="CY59" s="8"/>
      <c r="CZ59" s="38"/>
      <c r="DA59" s="38"/>
      <c r="DB59" s="38"/>
      <c r="DC59" s="8"/>
      <c r="DD59" s="38"/>
      <c r="DE59" s="38"/>
      <c r="DF59" s="38"/>
      <c r="DG59" s="38"/>
      <c r="DH59" s="40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8"/>
      <c r="DZ59" s="40"/>
      <c r="EA59" s="8"/>
      <c r="EB59" s="8"/>
      <c r="EC59" s="60"/>
      <c r="ED59" s="37"/>
      <c r="EE59" s="25"/>
      <c r="EF59" s="25"/>
      <c r="EG59" s="25"/>
      <c r="EH59" s="37"/>
      <c r="EI59" s="25"/>
      <c r="EJ59" s="25"/>
      <c r="EK59" s="25"/>
      <c r="EL59" s="37">
        <v>150000</v>
      </c>
      <c r="EM59" s="25">
        <f t="shared" si="184"/>
        <v>150000</v>
      </c>
      <c r="EN59" s="25">
        <f t="shared" si="185"/>
        <v>150000</v>
      </c>
      <c r="EO59" s="25">
        <f t="shared" si="125"/>
        <v>150000</v>
      </c>
      <c r="EP59" s="25">
        <f t="shared" si="84"/>
        <v>150000</v>
      </c>
      <c r="EQ59" s="37">
        <v>150000</v>
      </c>
      <c r="ER59" s="25">
        <f t="shared" si="186"/>
        <v>150000</v>
      </c>
      <c r="ES59" s="25">
        <f t="shared" si="187"/>
        <v>150000</v>
      </c>
      <c r="ET59" s="25">
        <f t="shared" si="85"/>
        <v>150000</v>
      </c>
      <c r="EU59" s="25">
        <f t="shared" si="86"/>
        <v>0</v>
      </c>
      <c r="EV59" s="37">
        <v>150000</v>
      </c>
      <c r="EW59" s="25">
        <f t="shared" si="188"/>
        <v>150000</v>
      </c>
      <c r="EX59" s="25">
        <f t="shared" si="87"/>
        <v>0</v>
      </c>
      <c r="EY59" s="25">
        <f t="shared" si="177"/>
        <v>0</v>
      </c>
      <c r="EZ59" s="37">
        <v>150000</v>
      </c>
      <c r="FA59" s="25">
        <f t="shared" si="189"/>
        <v>150000</v>
      </c>
      <c r="FB59" s="25"/>
      <c r="FC59" s="25">
        <f t="shared" si="88"/>
        <v>150000</v>
      </c>
      <c r="FD59" s="25"/>
      <c r="FE59" s="25"/>
      <c r="FF59" s="25">
        <f t="shared" si="89"/>
        <v>150000</v>
      </c>
      <c r="FG59" s="37">
        <v>150000</v>
      </c>
      <c r="FH59" s="25">
        <f t="shared" si="90"/>
        <v>0</v>
      </c>
      <c r="FI59" s="25"/>
      <c r="FJ59" s="37">
        <v>0</v>
      </c>
      <c r="FK59" s="37">
        <f t="shared" si="91"/>
        <v>-150000</v>
      </c>
      <c r="FL59" s="37">
        <f t="shared" si="92"/>
        <v>-150000</v>
      </c>
      <c r="FM59" s="37">
        <v>0</v>
      </c>
      <c r="FN59" s="37">
        <f t="shared" si="93"/>
        <v>-150000</v>
      </c>
      <c r="FO59" s="37">
        <f t="shared" si="94"/>
        <v>-150000</v>
      </c>
      <c r="FP59" s="37">
        <f t="shared" si="95"/>
        <v>0</v>
      </c>
      <c r="FQ59" s="37"/>
      <c r="FR59" s="37">
        <v>150000</v>
      </c>
      <c r="FS59" s="37">
        <f t="shared" si="96"/>
        <v>0</v>
      </c>
      <c r="FT59" s="37">
        <f t="shared" si="97"/>
        <v>0</v>
      </c>
      <c r="FU59" s="37">
        <f t="shared" si="98"/>
        <v>150000</v>
      </c>
      <c r="FV59" s="100"/>
      <c r="FW59" s="37">
        <v>150000</v>
      </c>
      <c r="FX59" s="37">
        <f t="shared" si="99"/>
        <v>0</v>
      </c>
      <c r="FY59" s="37">
        <f t="shared" si="100"/>
        <v>0</v>
      </c>
      <c r="FZ59" s="37">
        <f t="shared" si="101"/>
        <v>150000</v>
      </c>
      <c r="GA59" s="37">
        <f t="shared" si="102"/>
        <v>0</v>
      </c>
      <c r="GB59" s="107"/>
      <c r="GC59" s="37">
        <v>150000</v>
      </c>
      <c r="GD59" s="26"/>
      <c r="GE59" s="37">
        <f t="shared" si="103"/>
        <v>150000</v>
      </c>
      <c r="GF59" s="38"/>
      <c r="GG59" s="37">
        <f t="shared" si="104"/>
        <v>150000</v>
      </c>
      <c r="GH59" s="26">
        <f t="shared" si="151"/>
        <v>0</v>
      </c>
      <c r="GI59" s="37">
        <f t="shared" si="152"/>
        <v>0</v>
      </c>
      <c r="GJ59" s="37">
        <f t="shared" si="153"/>
        <v>150000</v>
      </c>
      <c r="GK59" s="37">
        <f t="shared" si="154"/>
        <v>0</v>
      </c>
      <c r="GL59" s="37">
        <f t="shared" si="155"/>
        <v>0</v>
      </c>
      <c r="GM59" s="107"/>
      <c r="GN59" s="115"/>
      <c r="GO59" s="113">
        <f t="shared" si="105"/>
        <v>150000</v>
      </c>
      <c r="GP59" s="113">
        <v>-1500</v>
      </c>
      <c r="GQ59" s="113">
        <f t="shared" si="106"/>
        <v>148500</v>
      </c>
      <c r="GR59" s="113"/>
      <c r="GS59" s="128">
        <f t="shared" ref="GS59" si="196">GQ59+GR59</f>
        <v>148500</v>
      </c>
      <c r="GT59" s="128">
        <v>150000</v>
      </c>
      <c r="GU59" s="123">
        <f t="shared" si="179"/>
        <v>1500</v>
      </c>
      <c r="GV59" s="115" t="s">
        <v>386</v>
      </c>
      <c r="GW59" s="99"/>
      <c r="GX59" s="128">
        <f t="shared" si="190"/>
        <v>-148500</v>
      </c>
      <c r="GY59" s="128">
        <f t="shared" si="191"/>
        <v>-150000</v>
      </c>
      <c r="GZ59" s="115" t="s">
        <v>400</v>
      </c>
      <c r="HA59" s="99">
        <v>0</v>
      </c>
      <c r="HB59" s="128">
        <f t="shared" si="110"/>
        <v>-148500</v>
      </c>
      <c r="HC59" s="128">
        <f t="shared" si="111"/>
        <v>-150000</v>
      </c>
      <c r="HD59" s="128">
        <f t="shared" si="112"/>
        <v>0</v>
      </c>
      <c r="HE59" s="115" t="s">
        <v>400</v>
      </c>
      <c r="HF59" s="99">
        <v>150000</v>
      </c>
      <c r="HG59" s="128">
        <f t="shared" si="126"/>
        <v>1500</v>
      </c>
      <c r="HH59" s="128">
        <f t="shared" si="113"/>
        <v>0</v>
      </c>
      <c r="HI59" s="128">
        <f t="shared" si="114"/>
        <v>150000</v>
      </c>
      <c r="HJ59" s="115"/>
      <c r="HK59" s="99">
        <v>150000</v>
      </c>
      <c r="HL59" s="128">
        <f t="shared" si="115"/>
        <v>1500</v>
      </c>
      <c r="HM59" s="128">
        <f t="shared" si="116"/>
        <v>0</v>
      </c>
      <c r="HN59" s="128">
        <f t="shared" si="117"/>
        <v>150000</v>
      </c>
      <c r="HO59" s="128">
        <f t="shared" si="118"/>
        <v>0</v>
      </c>
      <c r="HP59" s="115"/>
      <c r="HQ59" s="99">
        <v>150000</v>
      </c>
      <c r="HR59" s="128">
        <f t="shared" si="145"/>
        <v>1500</v>
      </c>
      <c r="HS59" s="128">
        <f t="shared" si="156"/>
        <v>0</v>
      </c>
      <c r="HT59" s="128">
        <f t="shared" si="157"/>
        <v>150000</v>
      </c>
      <c r="HU59" s="128">
        <f t="shared" si="158"/>
        <v>0</v>
      </c>
      <c r="HV59" s="115"/>
      <c r="HW59" s="99">
        <v>150000</v>
      </c>
      <c r="HX59" s="128">
        <f t="shared" si="159"/>
        <v>1500</v>
      </c>
      <c r="HY59" s="128">
        <f t="shared" si="160"/>
        <v>0</v>
      </c>
      <c r="HZ59" s="128">
        <f t="shared" si="119"/>
        <v>0</v>
      </c>
      <c r="IA59" s="115"/>
      <c r="IB59" s="99">
        <v>150000</v>
      </c>
      <c r="IC59" s="166"/>
      <c r="ID59" s="128">
        <f t="shared" si="180"/>
        <v>150000</v>
      </c>
      <c r="IE59" s="164">
        <f t="shared" si="181"/>
        <v>1500</v>
      </c>
      <c r="IF59" s="185">
        <v>150000</v>
      </c>
      <c r="IG59" s="40">
        <f t="shared" si="120"/>
        <v>0</v>
      </c>
      <c r="IH59" s="115"/>
    </row>
    <row r="60" spans="1:244" ht="12.75" x14ac:dyDescent="0.2">
      <c r="A60" s="35" t="s">
        <v>161</v>
      </c>
      <c r="B60" s="19"/>
      <c r="C60" s="67"/>
      <c r="D60" s="30">
        <f t="shared" ref="D60:L60" si="197">SUM(D8:D56)</f>
        <v>4291565177</v>
      </c>
      <c r="E60" s="141">
        <f t="shared" si="197"/>
        <v>4551124520</v>
      </c>
      <c r="F60" s="141">
        <f t="shared" si="197"/>
        <v>4100990904</v>
      </c>
      <c r="G60" s="141">
        <f t="shared" si="197"/>
        <v>4310153596</v>
      </c>
      <c r="H60" s="31">
        <f t="shared" si="197"/>
        <v>-2250000</v>
      </c>
      <c r="I60" s="141">
        <f t="shared" si="197"/>
        <v>4307903596</v>
      </c>
      <c r="J60" s="31">
        <f t="shared" si="197"/>
        <v>-13378636</v>
      </c>
      <c r="K60" s="31">
        <f t="shared" si="197"/>
        <v>0</v>
      </c>
      <c r="L60" s="31">
        <f t="shared" si="197"/>
        <v>-13378636</v>
      </c>
      <c r="M60" s="142">
        <f t="shared" ref="M60:AR60" si="198">SUM(M8:M57)</f>
        <v>4294524960</v>
      </c>
      <c r="N60" s="142">
        <f t="shared" si="198"/>
        <v>4475708972</v>
      </c>
      <c r="O60" s="142">
        <f t="shared" si="198"/>
        <v>4278073976</v>
      </c>
      <c r="P60" s="142">
        <f t="shared" si="198"/>
        <v>4275882835</v>
      </c>
      <c r="Q60" s="142">
        <f t="shared" si="198"/>
        <v>4292443683</v>
      </c>
      <c r="R60" s="142">
        <f t="shared" si="198"/>
        <v>4290394190</v>
      </c>
      <c r="S60" s="142">
        <f t="shared" si="198"/>
        <v>4.5271800000000004</v>
      </c>
      <c r="T60" s="142">
        <f t="shared" si="198"/>
        <v>-25839554.999050006</v>
      </c>
      <c r="U60" s="142">
        <f t="shared" si="198"/>
        <v>4264554635.0009508</v>
      </c>
      <c r="V60" s="142">
        <f t="shared" si="198"/>
        <v>-29970324.999049995</v>
      </c>
      <c r="W60" s="142">
        <f t="shared" si="198"/>
        <v>4264601913</v>
      </c>
      <c r="X60" s="142">
        <f t="shared" si="198"/>
        <v>2000000</v>
      </c>
      <c r="Y60" s="142">
        <f t="shared" si="198"/>
        <v>4266601913</v>
      </c>
      <c r="Z60" s="142">
        <f t="shared" si="198"/>
        <v>4484465653</v>
      </c>
      <c r="AA60" s="142">
        <f t="shared" si="198"/>
        <v>219863740</v>
      </c>
      <c r="AB60" s="142">
        <f t="shared" si="198"/>
        <v>4480669977</v>
      </c>
      <c r="AC60" s="142">
        <f t="shared" si="198"/>
        <v>4486000305</v>
      </c>
      <c r="AD60" s="142">
        <f t="shared" si="198"/>
        <v>4448424876</v>
      </c>
      <c r="AE60" s="142">
        <f t="shared" si="198"/>
        <v>5330328</v>
      </c>
      <c r="AF60" s="142">
        <f t="shared" si="198"/>
        <v>219398392</v>
      </c>
      <c r="AG60" s="142">
        <f t="shared" si="198"/>
        <v>1534652</v>
      </c>
      <c r="AH60" s="142">
        <f t="shared" si="198"/>
        <v>4463917728</v>
      </c>
      <c r="AI60" s="142">
        <f t="shared" si="198"/>
        <v>4487041280</v>
      </c>
      <c r="AJ60" s="142">
        <f t="shared" si="198"/>
        <v>181822963</v>
      </c>
      <c r="AK60" s="142">
        <f t="shared" si="198"/>
        <v>-36040777</v>
      </c>
      <c r="AL60" s="142">
        <f t="shared" si="198"/>
        <v>-37575429</v>
      </c>
      <c r="AM60" s="142">
        <f t="shared" si="198"/>
        <v>197315815</v>
      </c>
      <c r="AN60" s="142">
        <f t="shared" si="198"/>
        <v>-20547925</v>
      </c>
      <c r="AO60" s="142">
        <f t="shared" si="198"/>
        <v>-22082577</v>
      </c>
      <c r="AP60" s="142">
        <f t="shared" si="198"/>
        <v>4487041280</v>
      </c>
      <c r="AQ60" s="142">
        <f t="shared" si="198"/>
        <v>220439367</v>
      </c>
      <c r="AR60" s="142">
        <f t="shared" si="198"/>
        <v>2575627</v>
      </c>
      <c r="AS60" s="142">
        <f t="shared" ref="AS60:AT60" si="199">SUM(AS8:AS57)</f>
        <v>220439367</v>
      </c>
      <c r="AT60" s="142">
        <f t="shared" si="199"/>
        <v>3000000</v>
      </c>
      <c r="AU60" s="142">
        <f>SUM(AU8:AU58)</f>
        <v>4490041280</v>
      </c>
      <c r="AV60" s="142">
        <f t="shared" ref="AV60:CE60" si="200">SUM(AV8:AV58)</f>
        <v>4647281619</v>
      </c>
      <c r="AW60" s="142">
        <f t="shared" si="200"/>
        <v>157240339</v>
      </c>
      <c r="AX60" s="142">
        <f t="shared" si="200"/>
        <v>4675077596</v>
      </c>
      <c r="AY60" s="142">
        <f t="shared" si="200"/>
        <v>185036316</v>
      </c>
      <c r="AZ60" s="142">
        <f t="shared" si="200"/>
        <v>27795977</v>
      </c>
      <c r="BA60" s="142">
        <f t="shared" si="200"/>
        <v>4682763339</v>
      </c>
      <c r="BB60" s="142">
        <f t="shared" si="200"/>
        <v>192722059</v>
      </c>
      <c r="BC60" s="142">
        <f t="shared" si="200"/>
        <v>35481720</v>
      </c>
      <c r="BD60" s="142">
        <f t="shared" si="200"/>
        <v>7685743</v>
      </c>
      <c r="BE60" s="142">
        <f t="shared" si="200"/>
        <v>4708480378</v>
      </c>
      <c r="BF60" s="142">
        <f t="shared" si="200"/>
        <v>4723601975</v>
      </c>
      <c r="BG60" s="142">
        <f t="shared" si="200"/>
        <v>4723601975</v>
      </c>
      <c r="BH60" s="142">
        <f t="shared" si="200"/>
        <v>233560695</v>
      </c>
      <c r="BI60" s="142">
        <f t="shared" si="200"/>
        <v>76320356</v>
      </c>
      <c r="BJ60" s="142">
        <f t="shared" si="200"/>
        <v>40838636</v>
      </c>
      <c r="BK60" s="142">
        <f t="shared" si="200"/>
        <v>15121597</v>
      </c>
      <c r="BL60" s="142">
        <f t="shared" si="200"/>
        <v>21677486</v>
      </c>
      <c r="BM60" s="142">
        <f t="shared" si="200"/>
        <v>4727674489</v>
      </c>
      <c r="BN60" s="142">
        <f t="shared" si="200"/>
        <v>4954764325</v>
      </c>
      <c r="BO60" s="142">
        <f t="shared" si="200"/>
        <v>227089836</v>
      </c>
      <c r="BP60" s="142">
        <f t="shared" si="200"/>
        <v>4806178326</v>
      </c>
      <c r="BQ60" s="142">
        <f t="shared" si="200"/>
        <v>78503837</v>
      </c>
      <c r="BR60" s="142">
        <f t="shared" si="200"/>
        <v>-148585999</v>
      </c>
      <c r="BS60" s="142">
        <f t="shared" si="200"/>
        <v>4822755174</v>
      </c>
      <c r="BT60" s="142">
        <f t="shared" si="200"/>
        <v>95080685</v>
      </c>
      <c r="BU60" s="142">
        <f t="shared" si="200"/>
        <v>-132009151</v>
      </c>
      <c r="BV60" s="142">
        <f t="shared" si="200"/>
        <v>16576848</v>
      </c>
      <c r="BW60" s="142">
        <f t="shared" si="200"/>
        <v>4862516920</v>
      </c>
      <c r="BX60" s="142">
        <f t="shared" si="200"/>
        <v>134842431</v>
      </c>
      <c r="BY60" s="142">
        <f t="shared" si="200"/>
        <v>-92247405</v>
      </c>
      <c r="BZ60" s="142">
        <f t="shared" si="200"/>
        <v>39761746</v>
      </c>
      <c r="CA60" s="142">
        <f t="shared" si="200"/>
        <v>4872261601</v>
      </c>
      <c r="CB60" s="142">
        <f t="shared" si="200"/>
        <v>144587112</v>
      </c>
      <c r="CC60" s="142">
        <f t="shared" si="200"/>
        <v>-82502724</v>
      </c>
      <c r="CD60" s="142">
        <f t="shared" si="200"/>
        <v>49506427</v>
      </c>
      <c r="CE60" s="142">
        <f t="shared" si="200"/>
        <v>9744681</v>
      </c>
      <c r="CF60" s="142">
        <f t="shared" ref="CF60:CJ60" si="201">SUM(CF8:CF58)</f>
        <v>4874766789</v>
      </c>
      <c r="CG60" s="142">
        <f t="shared" si="201"/>
        <v>147092300</v>
      </c>
      <c r="CH60" s="142">
        <f t="shared" si="201"/>
        <v>-79997536</v>
      </c>
      <c r="CI60" s="142">
        <f t="shared" si="201"/>
        <v>52011615</v>
      </c>
      <c r="CJ60" s="142">
        <f t="shared" si="201"/>
        <v>2505188</v>
      </c>
      <c r="CK60" s="142">
        <f>SUM(CK8:CK58)</f>
        <v>4902931863</v>
      </c>
      <c r="CL60" s="142">
        <f t="shared" ref="CL60:CN60" si="202">SUM(CL8:CL58)</f>
        <v>175257374</v>
      </c>
      <c r="CM60" s="142">
        <f t="shared" si="202"/>
        <v>-51832462</v>
      </c>
      <c r="CN60" s="142">
        <f t="shared" si="202"/>
        <v>28165074</v>
      </c>
      <c r="CO60" s="142">
        <f>SUM(CO8:CO58)</f>
        <v>5005489259</v>
      </c>
      <c r="CP60" s="142">
        <f>SUM(CP8:CP58)</f>
        <v>50724934</v>
      </c>
      <c r="CQ60" s="44">
        <f t="shared" si="60"/>
        <v>102557396</v>
      </c>
      <c r="CR60" s="142">
        <f>SUM(CR8:CR58)</f>
        <v>4977080254</v>
      </c>
      <c r="CS60" s="142">
        <f>SUM(CS8:CS58)</f>
        <v>7470693</v>
      </c>
      <c r="CT60" s="27">
        <f>+CS60+CR60</f>
        <v>4984550947</v>
      </c>
      <c r="CU60" s="27">
        <f t="shared" ref="CU60:CW60" si="203">+CT60+CS60</f>
        <v>4992021640</v>
      </c>
      <c r="CV60" s="27">
        <f t="shared" si="203"/>
        <v>9976572587</v>
      </c>
      <c r="CW60" s="27">
        <f t="shared" si="203"/>
        <v>14968594227</v>
      </c>
      <c r="CX60" s="142">
        <f>SUM(CX8:CX58)</f>
        <v>5005239030.5</v>
      </c>
      <c r="CY60" s="142">
        <f t="shared" ref="CY60:DA60" si="204">SUM(CY8:CY58)</f>
        <v>102307167.5</v>
      </c>
      <c r="CZ60" s="142">
        <f t="shared" si="204"/>
        <v>-250228.5</v>
      </c>
      <c r="DA60" s="142">
        <f t="shared" si="204"/>
        <v>20688083.5</v>
      </c>
      <c r="DB60" s="142">
        <f>SUM(DB8:DB58)</f>
        <v>5007464030.5</v>
      </c>
      <c r="DC60" s="142">
        <f t="shared" ref="DC60:DE60" si="205">SUM(DC8:DC58)</f>
        <v>104532167.5</v>
      </c>
      <c r="DD60" s="142">
        <f t="shared" si="205"/>
        <v>1974771.5</v>
      </c>
      <c r="DE60" s="142">
        <f t="shared" si="205"/>
        <v>22913083.5</v>
      </c>
      <c r="DF60" s="142">
        <f t="shared" ref="DF60" si="206">SUM(DF8:DF58)</f>
        <v>2225000</v>
      </c>
      <c r="DG60" s="142">
        <f>SUM(DG8:DG58)</f>
        <v>5012091563.5</v>
      </c>
      <c r="DH60" s="142">
        <f t="shared" ref="DH60:DM60" si="207">SUM(DH8:DH58)</f>
        <v>109159700.5</v>
      </c>
      <c r="DI60" s="142">
        <f t="shared" si="207"/>
        <v>6602304.5</v>
      </c>
      <c r="DJ60" s="142">
        <f t="shared" si="207"/>
        <v>27540616.5</v>
      </c>
      <c r="DK60" s="142">
        <f t="shared" si="207"/>
        <v>4627533</v>
      </c>
      <c r="DL60" s="142">
        <f t="shared" si="207"/>
        <v>-2205000</v>
      </c>
      <c r="DM60" s="142">
        <f t="shared" si="207"/>
        <v>5009886563.5</v>
      </c>
      <c r="DN60" s="142">
        <f>SUM(DN8:DN58)</f>
        <v>5013091563.5</v>
      </c>
      <c r="DO60" s="142">
        <f>SUM(DO8:DO58)</f>
        <v>109159700.5</v>
      </c>
      <c r="DP60" s="142">
        <f t="shared" ref="DP60:DT60" si="208">SUM(DP8:DP58)</f>
        <v>1100000</v>
      </c>
      <c r="DQ60" s="142">
        <f t="shared" si="208"/>
        <v>-34414227</v>
      </c>
      <c r="DR60" s="142">
        <f t="shared" si="208"/>
        <v>4979777336.5</v>
      </c>
      <c r="DS60" s="142">
        <f t="shared" si="208"/>
        <v>76845473.5</v>
      </c>
      <c r="DT60" s="142">
        <f t="shared" si="208"/>
        <v>-16618704</v>
      </c>
      <c r="DU60" s="142">
        <f t="shared" ref="DU60:DW60" si="209">SUM(DU8:DU58)</f>
        <v>4963158632.5</v>
      </c>
      <c r="DV60" s="142">
        <f t="shared" si="209"/>
        <v>60226769.5</v>
      </c>
      <c r="DW60" s="142">
        <f t="shared" si="209"/>
        <v>4968158632.5</v>
      </c>
      <c r="DX60" s="142">
        <f t="shared" ref="DX60:FH60" si="210">SUM(DX8:DX59)</f>
        <v>5054911587</v>
      </c>
      <c r="DY60" s="142">
        <f t="shared" si="210"/>
        <v>90373954.5</v>
      </c>
      <c r="DZ60" s="142">
        <f t="shared" si="210"/>
        <v>5076886234</v>
      </c>
      <c r="EA60" s="142">
        <f t="shared" si="210"/>
        <v>113727601.5</v>
      </c>
      <c r="EB60" s="142">
        <f t="shared" si="210"/>
        <v>23353647</v>
      </c>
      <c r="EC60" s="142">
        <f t="shared" si="210"/>
        <v>0</v>
      </c>
      <c r="ED60" s="142">
        <f t="shared" si="210"/>
        <v>5084671681</v>
      </c>
      <c r="EE60" s="142">
        <f t="shared" si="210"/>
        <v>121513048.5</v>
      </c>
      <c r="EF60" s="142">
        <f t="shared" si="210"/>
        <v>31139094</v>
      </c>
      <c r="EG60" s="142">
        <f t="shared" si="210"/>
        <v>7785447</v>
      </c>
      <c r="EH60" s="142">
        <f t="shared" si="210"/>
        <v>5089443856</v>
      </c>
      <c r="EI60" s="142">
        <f t="shared" si="210"/>
        <v>126285223.5</v>
      </c>
      <c r="EJ60" s="142">
        <f t="shared" si="210"/>
        <v>35911269</v>
      </c>
      <c r="EK60" s="142">
        <f t="shared" si="210"/>
        <v>4772175</v>
      </c>
      <c r="EL60" s="142">
        <f t="shared" si="210"/>
        <v>5102908856</v>
      </c>
      <c r="EM60" s="142">
        <f t="shared" si="210"/>
        <v>139750223.5</v>
      </c>
      <c r="EN60" s="142">
        <f t="shared" si="210"/>
        <v>49376269</v>
      </c>
      <c r="EO60" s="142">
        <f t="shared" si="210"/>
        <v>18237175</v>
      </c>
      <c r="EP60" s="142">
        <f t="shared" si="210"/>
        <v>13465000</v>
      </c>
      <c r="EQ60" s="142">
        <f t="shared" si="210"/>
        <v>5113644536</v>
      </c>
      <c r="ER60" s="142">
        <f t="shared" si="210"/>
        <v>145485903.5</v>
      </c>
      <c r="ES60" s="142">
        <f t="shared" si="210"/>
        <v>60111949</v>
      </c>
      <c r="ET60" s="142">
        <f t="shared" si="210"/>
        <v>28972855</v>
      </c>
      <c r="EU60" s="142">
        <f t="shared" si="210"/>
        <v>10735680</v>
      </c>
      <c r="EV60" s="142">
        <f t="shared" si="210"/>
        <v>5093981823</v>
      </c>
      <c r="EW60" s="142">
        <f t="shared" si="210"/>
        <v>125823190.5</v>
      </c>
      <c r="EX60" s="142">
        <f t="shared" si="210"/>
        <v>-19662713</v>
      </c>
      <c r="EY60" s="142">
        <f t="shared" si="210"/>
        <v>19662713</v>
      </c>
      <c r="EZ60" s="142">
        <f t="shared" si="210"/>
        <v>5113644536</v>
      </c>
      <c r="FA60" s="142">
        <f t="shared" si="210"/>
        <v>145485903.5</v>
      </c>
      <c r="FB60" s="142">
        <f t="shared" si="210"/>
        <v>6338715</v>
      </c>
      <c r="FC60" s="142">
        <f t="shared" si="210"/>
        <v>5119983251</v>
      </c>
      <c r="FD60" s="142">
        <f t="shared" si="210"/>
        <v>-1854731</v>
      </c>
      <c r="FE60" s="142">
        <f t="shared" si="210"/>
        <v>-1015000</v>
      </c>
      <c r="FF60" s="142">
        <f t="shared" si="210"/>
        <v>5117113520</v>
      </c>
      <c r="FG60" s="142">
        <f t="shared" si="210"/>
        <v>5200384426</v>
      </c>
      <c r="FH60" s="142">
        <f t="shared" si="210"/>
        <v>83270906</v>
      </c>
      <c r="FI60" s="142"/>
      <c r="FJ60" s="142">
        <f t="shared" ref="FJ60:FP60" si="211">SUM(FJ8:FJ59)</f>
        <v>5209678824</v>
      </c>
      <c r="FK60" s="142">
        <f t="shared" si="211"/>
        <v>92565304</v>
      </c>
      <c r="FL60" s="142">
        <f t="shared" si="211"/>
        <v>9294398</v>
      </c>
      <c r="FM60" s="142">
        <f t="shared" si="211"/>
        <v>5215895574</v>
      </c>
      <c r="FN60" s="142">
        <f t="shared" si="211"/>
        <v>98782054</v>
      </c>
      <c r="FO60" s="142">
        <f t="shared" si="211"/>
        <v>15511148</v>
      </c>
      <c r="FP60" s="142">
        <f t="shared" si="211"/>
        <v>6216750</v>
      </c>
      <c r="FQ60" s="142"/>
      <c r="FR60" s="142">
        <f>SUM(FR8:FR59)</f>
        <v>5218122173</v>
      </c>
      <c r="FS60" s="142">
        <f>SUM(FS8:FS59)</f>
        <v>101008653</v>
      </c>
      <c r="FT60" s="142">
        <f>SUM(FT8:FT59)</f>
        <v>17737747</v>
      </c>
      <c r="FU60" s="142">
        <f>SUM(FU8:FU59)</f>
        <v>2226599</v>
      </c>
      <c r="FV60" s="104"/>
      <c r="FW60" s="142">
        <f>SUM(FW8:FW59)</f>
        <v>5226487467</v>
      </c>
      <c r="FX60" s="142">
        <f>SUM(FX8:FX59)</f>
        <v>109373947</v>
      </c>
      <c r="FY60" s="142">
        <f>SUM(FY8:FY59)</f>
        <v>26103041</v>
      </c>
      <c r="FZ60" s="142">
        <f>SUM(FZ8:FZ59)</f>
        <v>10591893</v>
      </c>
      <c r="GA60" s="142">
        <f>SUM(GA8:GA59)</f>
        <v>8365294</v>
      </c>
      <c r="GB60" s="60"/>
      <c r="GC60" s="142">
        <f t="shared" ref="GC60:GL60" si="212">SUM(GC8:GC59)</f>
        <v>5208454716</v>
      </c>
      <c r="GD60" s="142">
        <f t="shared" si="212"/>
        <v>-10143474</v>
      </c>
      <c r="GE60" s="142">
        <f t="shared" si="212"/>
        <v>5198311242</v>
      </c>
      <c r="GF60" s="117">
        <f t="shared" si="212"/>
        <v>10143474</v>
      </c>
      <c r="GG60" s="142">
        <f t="shared" si="212"/>
        <v>5208454716</v>
      </c>
      <c r="GH60" s="142">
        <f t="shared" si="212"/>
        <v>91341196</v>
      </c>
      <c r="GI60" s="142">
        <f t="shared" si="212"/>
        <v>8070290</v>
      </c>
      <c r="GJ60" s="142">
        <f t="shared" si="212"/>
        <v>-7440858</v>
      </c>
      <c r="GK60" s="142">
        <f t="shared" si="212"/>
        <v>-18032751</v>
      </c>
      <c r="GL60" s="142">
        <f t="shared" si="212"/>
        <v>0</v>
      </c>
      <c r="GM60" s="60"/>
      <c r="GN60" s="142">
        <f t="shared" ref="GN60:GY60" si="213">SUM(GN8:GN59)</f>
        <v>8751555</v>
      </c>
      <c r="GO60" s="142">
        <f t="shared" si="213"/>
        <v>5217206271</v>
      </c>
      <c r="GP60" s="142">
        <f t="shared" si="213"/>
        <v>-251667</v>
      </c>
      <c r="GQ60" s="142">
        <f t="shared" si="213"/>
        <v>5216954604</v>
      </c>
      <c r="GR60" s="142">
        <f t="shared" si="213"/>
        <v>-6301620</v>
      </c>
      <c r="GS60" s="142">
        <f t="shared" si="213"/>
        <v>5210652984</v>
      </c>
      <c r="GT60" s="142">
        <f t="shared" si="213"/>
        <v>5299759151</v>
      </c>
      <c r="GU60" s="142" t="e">
        <f t="shared" si="213"/>
        <v>#REF!</v>
      </c>
      <c r="GV60" s="60"/>
      <c r="GW60" s="142">
        <f t="shared" si="213"/>
        <v>5327168126</v>
      </c>
      <c r="GX60" s="142">
        <f>SUM(GX8:GX59)</f>
        <v>116515142</v>
      </c>
      <c r="GY60" s="142">
        <f t="shared" si="213"/>
        <v>27408975</v>
      </c>
      <c r="GZ60" s="142"/>
      <c r="HA60" s="142">
        <f t="shared" ref="HA60" si="214">SUM(HA8:HA59)</f>
        <v>5334070892</v>
      </c>
      <c r="HB60" s="142">
        <f>SUM(HB8:HB59)</f>
        <v>123417908</v>
      </c>
      <c r="HC60" s="142">
        <f t="shared" ref="HC60" si="215">SUM(HC8:HC59)</f>
        <v>34311741</v>
      </c>
      <c r="HD60" s="142">
        <f t="shared" ref="HD60" si="216">SUM(HD8:HD59)</f>
        <v>6902766</v>
      </c>
      <c r="HE60" s="142"/>
      <c r="HF60" s="142">
        <f t="shared" ref="HF60" si="217">SUM(HF8:HF59)</f>
        <v>5351455015</v>
      </c>
      <c r="HG60" s="142">
        <f>SUM(HG8:HG59)</f>
        <v>140802031</v>
      </c>
      <c r="HH60" s="142">
        <f t="shared" ref="HH60:HI60" si="218">SUM(HH8:HH59)</f>
        <v>51695864</v>
      </c>
      <c r="HI60" s="142">
        <f t="shared" si="218"/>
        <v>17384123</v>
      </c>
      <c r="HJ60" s="142"/>
      <c r="HK60" s="142">
        <f t="shared" ref="HK60" si="219">SUM(HK8:HK59)</f>
        <v>5355410015</v>
      </c>
      <c r="HL60" s="142">
        <f>SUM(HL8:HL59)</f>
        <v>144757031</v>
      </c>
      <c r="HM60" s="142">
        <f t="shared" ref="HM60:HO60" si="220">SUM(HM8:HM59)</f>
        <v>55650864</v>
      </c>
      <c r="HN60" s="142">
        <f t="shared" si="220"/>
        <v>21339123</v>
      </c>
      <c r="HO60" s="142">
        <f t="shared" si="220"/>
        <v>3955000</v>
      </c>
      <c r="HP60" s="142"/>
      <c r="HQ60" s="142">
        <f t="shared" ref="HQ60" si="221">SUM(HQ8:HQ59)</f>
        <v>5331137686</v>
      </c>
      <c r="HR60" s="142">
        <f>SUM(HR8:HR59)</f>
        <v>120239579</v>
      </c>
      <c r="HS60" s="142">
        <f t="shared" ref="HS60:HU60" si="222">SUM(HS8:HS59)</f>
        <v>31378535</v>
      </c>
      <c r="HT60" s="142">
        <f t="shared" si="222"/>
        <v>-2933206</v>
      </c>
      <c r="HU60" s="142">
        <f t="shared" si="222"/>
        <v>-24272329</v>
      </c>
      <c r="HV60" s="142"/>
      <c r="HW60" s="142">
        <f t="shared" ref="HW60" si="223">SUM(HW8:HW59)</f>
        <v>5324136173</v>
      </c>
      <c r="HX60" s="142">
        <f>SUM(HX8:HX59)</f>
        <v>113483189</v>
      </c>
      <c r="HY60" s="142">
        <f t="shared" ref="HY60:HZ60" si="224">SUM(HY8:HY59)</f>
        <v>24377022</v>
      </c>
      <c r="HZ60" s="142">
        <f t="shared" si="224"/>
        <v>-7001513</v>
      </c>
      <c r="IA60" s="142"/>
      <c r="IB60" s="142">
        <f t="shared" ref="IB60" si="225">SUM(IB8:IB59)</f>
        <v>5331137686</v>
      </c>
      <c r="IC60" s="141"/>
      <c r="ID60" s="142">
        <f>SUM(ID8:ID59)</f>
        <v>5335237686</v>
      </c>
      <c r="IE60" s="142">
        <f>SUM(IE8:IE59)</f>
        <v>124584702</v>
      </c>
      <c r="IF60" s="183">
        <f>SUM(IF8:IF59)</f>
        <v>5460750309</v>
      </c>
      <c r="IG60" s="183">
        <f>SUM(IG8:IG59)</f>
        <v>125512623</v>
      </c>
      <c r="IH60" s="141"/>
    </row>
    <row r="61" spans="1:244" ht="12.75" x14ac:dyDescent="0.2">
      <c r="A61" s="89"/>
      <c r="B61" s="71"/>
      <c r="C61" s="9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FR61" s="102"/>
      <c r="FW61" s="102"/>
      <c r="GC61" s="102"/>
      <c r="GD61" s="102"/>
      <c r="GE61" s="102"/>
      <c r="GF61" s="119"/>
      <c r="GG61" s="102"/>
      <c r="GH61" s="110"/>
      <c r="GT61" s="125"/>
      <c r="GU61" s="124"/>
      <c r="GX61" s="134"/>
      <c r="GY61" s="134"/>
      <c r="HB61" s="134">
        <f>HB60/GS60</f>
        <v>2.3685689371173064E-2</v>
      </c>
      <c r="HC61" s="134">
        <f>HC60/GT60</f>
        <v>6.474207604986312E-3</v>
      </c>
      <c r="HD61" s="134"/>
      <c r="HG61" s="134"/>
      <c r="HH61" s="134"/>
      <c r="HI61" s="134"/>
      <c r="HL61" s="134"/>
      <c r="HM61" s="134"/>
      <c r="HN61" s="134"/>
      <c r="HO61" s="134"/>
      <c r="HR61" s="134"/>
      <c r="HS61" s="134"/>
      <c r="HT61" s="134"/>
      <c r="HU61" s="134"/>
      <c r="HX61" s="134"/>
      <c r="HY61" s="134"/>
      <c r="HZ61" s="134"/>
      <c r="IF61" s="125"/>
    </row>
    <row r="62" spans="1:244" ht="14.25" customHeight="1" x14ac:dyDescent="0.2">
      <c r="A62" s="90"/>
      <c r="B62" s="71"/>
      <c r="C62" s="9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  <c r="EO62" s="71"/>
      <c r="EP62" s="71"/>
      <c r="EQ62" s="71"/>
      <c r="ER62" s="71"/>
      <c r="ES62" s="71"/>
      <c r="ET62" s="71"/>
      <c r="EU62" s="71"/>
      <c r="FK62" s="98"/>
      <c r="GQ62" s="124"/>
      <c r="GV62" s="126"/>
      <c r="GX62" s="126"/>
      <c r="GY62" s="126"/>
      <c r="GZ62" s="126"/>
      <c r="HB62" s="126"/>
      <c r="HC62" s="126"/>
      <c r="HD62" s="126"/>
      <c r="HE62" s="126"/>
      <c r="HG62" s="148"/>
      <c r="HH62" s="126"/>
      <c r="HI62" s="126"/>
      <c r="HJ62" s="126"/>
      <c r="HL62" s="148"/>
      <c r="HM62" s="126"/>
      <c r="HN62" s="126"/>
      <c r="HO62" s="126"/>
      <c r="HP62" s="126"/>
      <c r="HR62" s="148"/>
      <c r="HS62" s="126"/>
      <c r="HT62" s="126"/>
      <c r="HU62" s="126"/>
      <c r="HV62" s="126"/>
      <c r="HX62" s="148"/>
      <c r="HY62" s="126"/>
      <c r="HZ62" s="126"/>
      <c r="IA62" s="126"/>
      <c r="IC62" s="163"/>
      <c r="ID62" s="163"/>
      <c r="IE62" s="163"/>
      <c r="IF62" s="125"/>
      <c r="IH62" s="163"/>
    </row>
    <row r="63" spans="1:244" ht="14.25" customHeight="1" x14ac:dyDescent="0.2">
      <c r="A63" s="90"/>
      <c r="B63" s="71"/>
      <c r="C63" s="9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  <c r="EO63" s="71"/>
      <c r="EP63" s="71"/>
      <c r="EQ63" s="71"/>
      <c r="ER63" s="71"/>
      <c r="ES63" s="71"/>
      <c r="ET63" s="71"/>
      <c r="EU63" s="71"/>
      <c r="GQ63" s="124"/>
      <c r="GV63" s="126"/>
      <c r="GX63" s="126"/>
      <c r="GY63" s="126"/>
      <c r="GZ63" s="126"/>
      <c r="HB63" s="126"/>
      <c r="HC63" s="126"/>
      <c r="HD63" s="126"/>
      <c r="HE63" s="126"/>
      <c r="HG63" s="126"/>
      <c r="HH63" s="126"/>
      <c r="HI63" s="126"/>
      <c r="HJ63" s="126"/>
      <c r="HL63" s="126"/>
      <c r="HM63" s="126"/>
      <c r="HN63" s="126"/>
      <c r="HO63" s="126"/>
      <c r="HP63" s="126"/>
      <c r="HR63" s="126"/>
      <c r="HS63" s="126"/>
      <c r="HT63" s="126"/>
      <c r="HU63" s="126"/>
      <c r="HV63" s="126"/>
      <c r="HX63" s="126"/>
      <c r="HY63" s="126"/>
      <c r="HZ63" s="126"/>
      <c r="IA63" s="126"/>
      <c r="IC63" s="163"/>
      <c r="ID63" s="163"/>
      <c r="IE63" s="163"/>
      <c r="IH63" s="163"/>
    </row>
    <row r="64" spans="1:244" ht="14.25" customHeight="1" x14ac:dyDescent="0.2">
      <c r="A64" s="88"/>
      <c r="B64" s="71"/>
      <c r="C64" s="9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  <c r="EO64" s="71"/>
      <c r="EP64" s="71"/>
      <c r="EQ64" s="71"/>
      <c r="ER64" s="71"/>
      <c r="ES64" s="71"/>
      <c r="ET64" s="71"/>
      <c r="EU64" s="71"/>
      <c r="GE64" s="109"/>
      <c r="GF64" s="118"/>
      <c r="GG64" s="109"/>
      <c r="GH64" s="109"/>
      <c r="GV64" s="126"/>
      <c r="GX64" s="126"/>
      <c r="GY64" s="126"/>
      <c r="GZ64" s="126"/>
      <c r="HB64" s="126"/>
      <c r="HC64" s="126"/>
      <c r="HD64" s="126"/>
      <c r="HE64" s="126"/>
      <c r="HG64" s="126"/>
      <c r="HH64" s="126"/>
      <c r="HI64" s="126"/>
      <c r="HJ64" s="126"/>
      <c r="HL64" s="126"/>
      <c r="HM64" s="126"/>
      <c r="HN64" s="126"/>
      <c r="HO64" s="126"/>
      <c r="HP64" s="126"/>
      <c r="HR64" s="126"/>
      <c r="HS64" s="126"/>
      <c r="HT64" s="126"/>
      <c r="HU64" s="126"/>
      <c r="HV64" s="126"/>
      <c r="HX64" s="126"/>
      <c r="HY64" s="126"/>
      <c r="HZ64" s="126"/>
      <c r="IA64" s="126"/>
      <c r="IC64" s="163"/>
      <c r="ID64" s="163"/>
      <c r="IE64" s="163"/>
      <c r="IH64" s="163"/>
    </row>
    <row r="65" spans="1:242" ht="12.75" x14ac:dyDescent="0.2">
      <c r="A65" s="88"/>
      <c r="B65" s="71"/>
      <c r="C65" s="9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  <c r="EO65" s="71"/>
      <c r="EP65" s="71"/>
      <c r="EQ65" s="71"/>
      <c r="ER65" s="71"/>
      <c r="ES65" s="71"/>
      <c r="ET65" s="71"/>
      <c r="EU65" s="71"/>
      <c r="GV65" s="126"/>
      <c r="GX65" s="126"/>
      <c r="GY65" s="126"/>
      <c r="GZ65" s="126"/>
      <c r="HB65" s="126"/>
      <c r="HC65" s="126"/>
      <c r="HD65" s="126"/>
      <c r="HE65" s="126"/>
      <c r="HG65" s="126"/>
      <c r="HH65" s="126"/>
      <c r="HI65" s="126"/>
      <c r="HJ65" s="126"/>
      <c r="HL65" s="126"/>
      <c r="HM65" s="126"/>
      <c r="HN65" s="126"/>
      <c r="HO65" s="126"/>
      <c r="HP65" s="126"/>
      <c r="HR65" s="126"/>
      <c r="HS65" s="126"/>
      <c r="HT65" s="126"/>
      <c r="HU65" s="126"/>
      <c r="HV65" s="126"/>
      <c r="HX65" s="126"/>
      <c r="HY65" s="126"/>
      <c r="HZ65" s="126"/>
      <c r="IA65" s="126"/>
      <c r="IC65" s="163"/>
      <c r="ID65" s="163"/>
      <c r="IE65" s="163"/>
      <c r="IH65" s="163"/>
    </row>
    <row r="66" spans="1:242" ht="12.75" x14ac:dyDescent="0.2">
      <c r="A66" s="88"/>
      <c r="B66" s="71"/>
      <c r="C66" s="9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  <c r="EO66" s="71"/>
      <c r="EP66" s="71"/>
      <c r="EQ66" s="71"/>
      <c r="ER66" s="71"/>
      <c r="ES66" s="71"/>
      <c r="ET66" s="71"/>
      <c r="EU66" s="71"/>
      <c r="GV66" s="126"/>
      <c r="GX66" s="126"/>
      <c r="GY66" s="126"/>
      <c r="GZ66" s="126"/>
      <c r="HB66" s="126"/>
      <c r="HC66" s="126"/>
      <c r="HD66" s="126"/>
      <c r="HE66" s="126"/>
      <c r="HG66" s="126"/>
      <c r="HH66" s="126"/>
      <c r="HI66" s="126"/>
      <c r="HJ66" s="126"/>
      <c r="HL66" s="126"/>
      <c r="HM66" s="126"/>
      <c r="HN66" s="126"/>
      <c r="HO66" s="126"/>
      <c r="HP66" s="126"/>
      <c r="HR66" s="126"/>
      <c r="HS66" s="126"/>
      <c r="HT66" s="126"/>
      <c r="HU66" s="126"/>
      <c r="HV66" s="126"/>
      <c r="HX66" s="126"/>
      <c r="HY66" s="126"/>
      <c r="HZ66" s="126"/>
      <c r="IA66" s="126"/>
      <c r="IC66" s="163"/>
      <c r="ID66" s="163"/>
      <c r="IE66" s="163"/>
      <c r="IH66" s="163"/>
    </row>
    <row r="67" spans="1:242" ht="12.75" x14ac:dyDescent="0.2">
      <c r="A67" s="88"/>
      <c r="B67" s="71"/>
      <c r="C67" s="9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  <c r="EO67" s="71"/>
      <c r="EP67" s="71"/>
      <c r="EQ67" s="71"/>
      <c r="ER67" s="71"/>
      <c r="ES67" s="71"/>
      <c r="ET67" s="71"/>
      <c r="EU67" s="71"/>
      <c r="GV67" s="126"/>
      <c r="GX67" s="126"/>
      <c r="GY67" s="126"/>
      <c r="GZ67" s="126"/>
      <c r="HB67" s="126"/>
      <c r="HC67" s="126"/>
      <c r="HD67" s="126"/>
      <c r="HE67" s="126"/>
      <c r="HG67" s="126"/>
      <c r="HH67" s="126"/>
      <c r="HI67" s="126"/>
      <c r="HJ67" s="126"/>
      <c r="HL67" s="126"/>
      <c r="HM67" s="126"/>
      <c r="HN67" s="126"/>
      <c r="HO67" s="126"/>
      <c r="HP67" s="126"/>
      <c r="HR67" s="126"/>
      <c r="HS67" s="126"/>
      <c r="HT67" s="126"/>
      <c r="HU67" s="126"/>
      <c r="HV67" s="126"/>
      <c r="HX67" s="126"/>
      <c r="HY67" s="126"/>
      <c r="HZ67" s="126"/>
      <c r="IA67" s="126"/>
      <c r="IC67" s="163"/>
      <c r="ID67" s="163"/>
      <c r="IE67" s="163"/>
      <c r="IH67" s="163"/>
    </row>
    <row r="68" spans="1:242" ht="12.75" x14ac:dyDescent="0.2">
      <c r="A68" s="88"/>
      <c r="B68" s="71"/>
      <c r="C68" s="9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  <c r="EO68" s="71"/>
      <c r="EP68" s="71"/>
      <c r="EQ68" s="71"/>
      <c r="ER68" s="71"/>
      <c r="ES68" s="71"/>
      <c r="ET68" s="71"/>
      <c r="EU68" s="71"/>
    </row>
    <row r="69" spans="1:242" ht="12.75" x14ac:dyDescent="0.2">
      <c r="A69" s="90"/>
      <c r="B69" s="71"/>
      <c r="C69" s="9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  <c r="EO69" s="71"/>
      <c r="EP69" s="71"/>
      <c r="EQ69" s="71"/>
      <c r="ER69" s="71"/>
      <c r="ES69" s="71"/>
      <c r="ET69" s="71"/>
      <c r="EU69" s="71"/>
    </row>
    <row r="70" spans="1:242" ht="12.75" x14ac:dyDescent="0.2">
      <c r="A70" s="72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  <c r="EO70" s="71"/>
      <c r="EP70" s="71"/>
      <c r="EQ70" s="71"/>
      <c r="ER70" s="71"/>
      <c r="ES70" s="71"/>
      <c r="ET70" s="71"/>
      <c r="EU70" s="71"/>
    </row>
    <row r="71" spans="1:242" ht="12.75" x14ac:dyDescent="0.2">
      <c r="A71" s="8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  <c r="EO71" s="71"/>
      <c r="EP71" s="71"/>
      <c r="EQ71" s="71"/>
      <c r="ER71" s="71"/>
      <c r="ES71" s="71"/>
      <c r="ET71" s="71"/>
      <c r="EU71" s="71"/>
    </row>
    <row r="72" spans="1:242" ht="15" x14ac:dyDescent="0.25">
      <c r="A72" s="81"/>
      <c r="B72" s="71"/>
      <c r="C72" s="87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  <c r="EO72" s="71"/>
      <c r="EP72" s="71"/>
      <c r="EQ72" s="71"/>
      <c r="ER72" s="71"/>
      <c r="ES72" s="71"/>
      <c r="ET72" s="71"/>
      <c r="EU72" s="71"/>
      <c r="EV72" s="70"/>
      <c r="EW72" s="70"/>
      <c r="EX72" s="70"/>
      <c r="EY72" s="70"/>
      <c r="EZ72" s="70"/>
      <c r="FA72" s="70"/>
      <c r="FB72" s="70"/>
      <c r="FC72" s="70"/>
      <c r="FD72" s="70"/>
      <c r="FE72" s="70"/>
      <c r="FF72" s="70"/>
      <c r="FG72" s="70"/>
      <c r="FH72" s="70"/>
      <c r="FI72" s="70"/>
      <c r="FJ72" s="97"/>
      <c r="FK72" s="70"/>
      <c r="FL72" s="70"/>
      <c r="FM72" s="97"/>
      <c r="FN72" s="97"/>
      <c r="FO72" s="97"/>
      <c r="FP72" s="97"/>
      <c r="FQ72" s="70"/>
      <c r="FR72" s="97"/>
      <c r="FS72" s="97"/>
      <c r="FT72" s="97"/>
      <c r="FU72" s="97"/>
      <c r="FV72" s="97"/>
      <c r="FW72" s="97"/>
      <c r="FX72" s="97"/>
      <c r="FY72" s="97"/>
      <c r="FZ72" s="97"/>
      <c r="GA72" s="97"/>
      <c r="GC72" s="97"/>
      <c r="GD72" s="97"/>
      <c r="GE72" s="97"/>
      <c r="GF72" s="97"/>
      <c r="GG72" s="97"/>
      <c r="GH72" s="97"/>
      <c r="GI72" s="97"/>
      <c r="GJ72" s="97"/>
      <c r="GK72" s="97"/>
      <c r="GL72" s="97"/>
    </row>
    <row r="73" spans="1:242" ht="12.75" x14ac:dyDescent="0.2">
      <c r="A73" s="80"/>
      <c r="B73" s="7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8"/>
      <c r="AJ73" s="188"/>
      <c r="AK73" s="188"/>
      <c r="AL73" s="188"/>
      <c r="AM73" s="188"/>
      <c r="AN73" s="188"/>
      <c r="AO73" s="188"/>
      <c r="AP73" s="188"/>
      <c r="AQ73" s="188"/>
      <c r="AR73" s="188"/>
      <c r="AS73" s="188"/>
      <c r="AT73" s="188"/>
      <c r="AU73" s="188"/>
      <c r="AV73" s="188"/>
      <c r="AW73" s="188"/>
      <c r="AX73" s="188"/>
      <c r="AY73" s="188"/>
      <c r="AZ73" s="188"/>
      <c r="BA73" s="188"/>
      <c r="BB73" s="188"/>
      <c r="BC73" s="188"/>
      <c r="BD73" s="188"/>
      <c r="BE73" s="188"/>
      <c r="BF73" s="188"/>
      <c r="BG73" s="188"/>
      <c r="BH73" s="188"/>
      <c r="BI73" s="188"/>
      <c r="BJ73" s="188"/>
      <c r="BK73" s="188"/>
      <c r="BL73" s="188"/>
      <c r="BM73" s="188"/>
      <c r="BN73" s="188"/>
      <c r="BO73" s="188"/>
      <c r="BP73" s="188"/>
      <c r="BQ73" s="188"/>
      <c r="BR73" s="188"/>
      <c r="BS73" s="188"/>
      <c r="BT73" s="188"/>
      <c r="BU73" s="188"/>
      <c r="BV73" s="188"/>
      <c r="BW73" s="188"/>
      <c r="BX73" s="188"/>
      <c r="BY73" s="188"/>
      <c r="BZ73" s="188"/>
      <c r="CA73" s="188"/>
      <c r="CB73" s="188"/>
      <c r="CC73" s="188"/>
      <c r="CD73" s="188"/>
      <c r="CE73" s="188"/>
      <c r="CF73" s="188"/>
      <c r="CG73" s="188"/>
      <c r="CH73" s="188"/>
      <c r="CI73" s="188"/>
      <c r="CJ73" s="188"/>
      <c r="CK73" s="188"/>
      <c r="CL73" s="188"/>
      <c r="CM73" s="188"/>
      <c r="CN73" s="188"/>
      <c r="CO73" s="188"/>
      <c r="CP73" s="188"/>
      <c r="CQ73" s="188"/>
      <c r="CR73" s="188"/>
      <c r="CS73" s="188"/>
      <c r="CT73" s="188"/>
      <c r="CU73" s="188"/>
      <c r="CV73" s="188"/>
      <c r="CW73" s="188"/>
      <c r="CX73" s="188"/>
      <c r="CY73" s="188"/>
      <c r="CZ73" s="188"/>
      <c r="DA73" s="188"/>
      <c r="DB73" s="188"/>
      <c r="DC73" s="188"/>
      <c r="DD73" s="188"/>
      <c r="DE73" s="188"/>
      <c r="DF73" s="188"/>
      <c r="DG73" s="188"/>
      <c r="DH73" s="188"/>
      <c r="DI73" s="188"/>
      <c r="DJ73" s="188"/>
      <c r="DK73" s="188"/>
      <c r="DL73" s="188"/>
      <c r="DM73" s="188"/>
      <c r="DN73" s="188"/>
      <c r="DO73" s="188"/>
      <c r="DP73" s="188"/>
      <c r="DQ73" s="188"/>
      <c r="DR73" s="188"/>
      <c r="DS73" s="188"/>
      <c r="DT73" s="188"/>
      <c r="DU73" s="188"/>
      <c r="DV73" s="188"/>
      <c r="DW73" s="188"/>
      <c r="DX73" s="188"/>
      <c r="DY73" s="188"/>
      <c r="DZ73" s="188"/>
      <c r="EA73" s="188"/>
      <c r="EB73" s="188"/>
      <c r="EC73" s="188"/>
      <c r="ED73" s="188"/>
      <c r="EE73" s="188"/>
      <c r="EF73" s="188"/>
      <c r="EG73" s="188"/>
      <c r="EH73" s="188"/>
      <c r="EI73" s="188"/>
      <c r="EJ73" s="188"/>
      <c r="EK73" s="188"/>
      <c r="EL73" s="188"/>
      <c r="EM73" s="188"/>
      <c r="EN73" s="188"/>
      <c r="EO73" s="188"/>
      <c r="EP73" s="188"/>
      <c r="EQ73" s="188"/>
      <c r="ER73" s="188"/>
      <c r="ES73" s="188"/>
      <c r="ET73" s="188"/>
      <c r="EU73" s="188"/>
      <c r="EV73" s="70"/>
      <c r="EW73" s="70"/>
      <c r="EX73" s="70"/>
      <c r="EY73" s="70"/>
      <c r="EZ73" s="70"/>
      <c r="FA73" s="70"/>
      <c r="FB73" s="70"/>
      <c r="FC73" s="70"/>
      <c r="FD73" s="70"/>
      <c r="FE73" s="70"/>
      <c r="FF73" s="70"/>
      <c r="FG73" s="70"/>
      <c r="FH73" s="70"/>
      <c r="FI73" s="70"/>
      <c r="FJ73" s="97"/>
      <c r="FK73" s="70"/>
      <c r="FL73" s="70"/>
      <c r="FM73" s="97"/>
      <c r="FN73" s="97"/>
      <c r="FO73" s="97"/>
      <c r="FP73" s="97"/>
      <c r="FQ73" s="70"/>
      <c r="FR73" s="97"/>
      <c r="FS73" s="97"/>
      <c r="FT73" s="97"/>
      <c r="FU73" s="97"/>
      <c r="FV73" s="97"/>
      <c r="FW73" s="97"/>
      <c r="FX73" s="97"/>
      <c r="FY73" s="97"/>
      <c r="FZ73" s="97"/>
      <c r="GA73" s="97"/>
      <c r="GC73" s="97"/>
      <c r="GD73" s="97"/>
      <c r="GE73" s="97"/>
      <c r="GF73" s="97"/>
      <c r="GG73" s="97"/>
      <c r="GH73" s="97"/>
      <c r="GI73" s="97"/>
      <c r="GJ73" s="97"/>
      <c r="GK73" s="97"/>
      <c r="GL73" s="97"/>
    </row>
    <row r="74" spans="1:242" ht="12.75" x14ac:dyDescent="0.2">
      <c r="A74" s="80"/>
      <c r="B74" s="7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8"/>
      <c r="AJ74" s="188"/>
      <c r="AK74" s="188"/>
      <c r="AL74" s="188"/>
      <c r="AM74" s="188"/>
      <c r="AN74" s="188"/>
      <c r="AO74" s="188"/>
      <c r="AP74" s="188"/>
      <c r="AQ74" s="188"/>
      <c r="AR74" s="188"/>
      <c r="AS74" s="188"/>
      <c r="AT74" s="188"/>
      <c r="AU74" s="188"/>
      <c r="AV74" s="188"/>
      <c r="AW74" s="188"/>
      <c r="AX74" s="188"/>
      <c r="AY74" s="188"/>
      <c r="AZ74" s="188"/>
      <c r="BA74" s="188"/>
      <c r="BB74" s="188"/>
      <c r="BC74" s="188"/>
      <c r="BD74" s="188"/>
      <c r="BE74" s="188"/>
      <c r="BF74" s="188"/>
      <c r="BG74" s="188"/>
      <c r="BH74" s="188"/>
      <c r="BI74" s="188"/>
      <c r="BJ74" s="188"/>
      <c r="BK74" s="188"/>
      <c r="BL74" s="188"/>
      <c r="BM74" s="188"/>
      <c r="BN74" s="188"/>
      <c r="BO74" s="188"/>
      <c r="BP74" s="188"/>
      <c r="BQ74" s="188"/>
      <c r="BR74" s="188"/>
      <c r="BS74" s="188"/>
      <c r="BT74" s="188"/>
      <c r="BU74" s="188"/>
      <c r="BV74" s="188"/>
      <c r="BW74" s="188"/>
      <c r="BX74" s="188"/>
      <c r="BY74" s="188"/>
      <c r="BZ74" s="188"/>
      <c r="CA74" s="188"/>
      <c r="CB74" s="188"/>
      <c r="CC74" s="188"/>
      <c r="CD74" s="188"/>
      <c r="CE74" s="188"/>
      <c r="CF74" s="188"/>
      <c r="CG74" s="188"/>
      <c r="CH74" s="188"/>
      <c r="CI74" s="188"/>
      <c r="CJ74" s="188"/>
      <c r="CK74" s="188"/>
      <c r="CL74" s="188"/>
      <c r="CM74" s="188"/>
      <c r="CN74" s="188"/>
      <c r="CO74" s="188"/>
      <c r="CP74" s="188"/>
      <c r="CQ74" s="188"/>
      <c r="CR74" s="188"/>
      <c r="CS74" s="188"/>
      <c r="CT74" s="188"/>
      <c r="CU74" s="188"/>
      <c r="CV74" s="188"/>
      <c r="CW74" s="188"/>
      <c r="CX74" s="188"/>
      <c r="CY74" s="188"/>
      <c r="CZ74" s="188"/>
      <c r="DA74" s="188"/>
      <c r="DB74" s="188"/>
      <c r="DC74" s="188"/>
      <c r="DD74" s="188"/>
      <c r="DE74" s="188"/>
      <c r="DF74" s="188"/>
      <c r="DG74" s="188"/>
      <c r="DH74" s="188"/>
      <c r="DI74" s="188"/>
      <c r="DJ74" s="188"/>
      <c r="DK74" s="188"/>
      <c r="DL74" s="188"/>
      <c r="DM74" s="188"/>
      <c r="DN74" s="188"/>
      <c r="DO74" s="188"/>
      <c r="DP74" s="188"/>
      <c r="DQ74" s="188"/>
      <c r="DR74" s="188"/>
      <c r="DS74" s="188"/>
      <c r="DT74" s="188"/>
      <c r="DU74" s="188"/>
      <c r="DV74" s="188"/>
      <c r="DW74" s="188"/>
      <c r="DX74" s="188"/>
      <c r="DY74" s="188"/>
      <c r="DZ74" s="188"/>
      <c r="EA74" s="188"/>
      <c r="EB74" s="188"/>
      <c r="EC74" s="188"/>
      <c r="ED74" s="188"/>
      <c r="EE74" s="188"/>
      <c r="EF74" s="188"/>
      <c r="EG74" s="188"/>
      <c r="EH74" s="188"/>
      <c r="EI74" s="188"/>
      <c r="EJ74" s="188"/>
      <c r="EK74" s="188"/>
      <c r="EL74" s="188"/>
      <c r="EM74" s="188"/>
      <c r="EN74" s="188"/>
      <c r="EO74" s="188"/>
      <c r="EP74" s="188"/>
      <c r="EQ74" s="188"/>
      <c r="ER74" s="188"/>
      <c r="ES74" s="188"/>
      <c r="ET74" s="188"/>
      <c r="EU74" s="188"/>
      <c r="EV74" s="63"/>
      <c r="EW74" s="63"/>
      <c r="EX74" s="63"/>
      <c r="EY74" s="63"/>
      <c r="EZ74" s="63"/>
      <c r="FA74" s="63"/>
      <c r="FB74" s="73"/>
      <c r="FC74" s="73"/>
      <c r="FD74" s="73"/>
      <c r="FE74" s="73"/>
      <c r="FF74" s="73"/>
      <c r="FG74" s="73"/>
      <c r="FH74" s="73"/>
      <c r="FI74" s="73"/>
      <c r="FJ74" s="73"/>
      <c r="FK74" s="73"/>
      <c r="FL74" s="73"/>
      <c r="FM74" s="73"/>
      <c r="FN74" s="73"/>
      <c r="FO74" s="73"/>
      <c r="FP74" s="73"/>
      <c r="FQ74" s="73"/>
      <c r="FR74" s="73"/>
      <c r="FS74" s="73"/>
      <c r="FT74" s="73"/>
      <c r="FU74" s="73"/>
      <c r="FW74" s="73"/>
      <c r="FX74" s="73"/>
      <c r="FY74" s="73"/>
      <c r="FZ74" s="73"/>
      <c r="GA74" s="73"/>
      <c r="GC74" s="73"/>
      <c r="GD74" s="73"/>
      <c r="GE74" s="73"/>
      <c r="GF74" s="120"/>
      <c r="GG74" s="73"/>
      <c r="GH74" s="73"/>
      <c r="GI74" s="73"/>
      <c r="GJ74" s="73"/>
      <c r="GK74" s="73"/>
      <c r="GL74" s="73"/>
    </row>
    <row r="75" spans="1:242" ht="12.75" x14ac:dyDescent="0.2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2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2"/>
      <c r="CA75" s="82"/>
      <c r="CB75" s="82"/>
      <c r="CC75" s="82"/>
      <c r="CD75" s="82"/>
      <c r="CE75" s="82"/>
      <c r="CF75" s="82"/>
      <c r="CG75" s="82"/>
      <c r="CH75" s="82"/>
      <c r="CI75" s="82"/>
      <c r="CJ75" s="82"/>
      <c r="CK75" s="82"/>
      <c r="CL75" s="85"/>
      <c r="CM75" s="85"/>
      <c r="CN75" s="85"/>
      <c r="CO75" s="85"/>
      <c r="CP75" s="85"/>
      <c r="CQ75" s="85"/>
      <c r="CR75" s="85"/>
      <c r="CS75" s="85"/>
      <c r="CT75" s="85"/>
      <c r="CU75" s="85"/>
      <c r="CV75" s="85"/>
      <c r="CW75" s="85"/>
      <c r="CX75" s="85"/>
      <c r="CY75" s="85"/>
      <c r="CZ75" s="85"/>
      <c r="DA75" s="85"/>
      <c r="DB75" s="85"/>
      <c r="DC75" s="85"/>
      <c r="DD75" s="85"/>
      <c r="DE75" s="85"/>
      <c r="DF75" s="85"/>
      <c r="DG75" s="85"/>
      <c r="DH75" s="85"/>
      <c r="DI75" s="85"/>
      <c r="DJ75" s="85"/>
      <c r="DK75" s="85"/>
      <c r="DL75" s="85"/>
      <c r="DM75" s="85"/>
      <c r="DN75" s="85"/>
      <c r="DO75" s="85"/>
      <c r="DP75" s="85"/>
      <c r="DQ75" s="85"/>
      <c r="DR75" s="85"/>
      <c r="DS75" s="85"/>
      <c r="DT75" s="85"/>
      <c r="DU75" s="85"/>
      <c r="DV75" s="85"/>
      <c r="DW75" s="85"/>
      <c r="DX75" s="86"/>
      <c r="DY75" s="85"/>
      <c r="DZ75" s="85"/>
      <c r="EA75" s="85"/>
      <c r="EB75" s="85"/>
      <c r="EC75" s="85"/>
      <c r="ED75" s="85"/>
      <c r="EE75" s="85"/>
      <c r="EF75" s="85"/>
      <c r="EG75" s="85"/>
      <c r="EH75" s="85"/>
      <c r="EI75" s="85"/>
      <c r="EJ75" s="85"/>
      <c r="EK75" s="85"/>
      <c r="EL75" s="85"/>
      <c r="EM75" s="85"/>
      <c r="EN75" s="85"/>
      <c r="EO75" s="85"/>
      <c r="EP75" s="85"/>
      <c r="EQ75" s="85"/>
      <c r="ER75" s="85"/>
      <c r="ES75" s="85"/>
      <c r="ET75" s="85"/>
      <c r="EU75" s="85"/>
      <c r="EV75" s="64"/>
      <c r="EW75" s="63"/>
      <c r="EX75" s="63"/>
      <c r="EY75" s="63"/>
      <c r="EZ75" s="64"/>
      <c r="FA75" s="63"/>
      <c r="FB75" s="73"/>
      <c r="FC75" s="73"/>
      <c r="FD75" s="73"/>
      <c r="FE75" s="73"/>
      <c r="FF75" s="73"/>
      <c r="FG75" s="73"/>
      <c r="FH75" s="73"/>
      <c r="FI75" s="73"/>
      <c r="FJ75" s="73"/>
      <c r="FK75" s="73"/>
      <c r="FL75" s="73"/>
      <c r="FM75" s="73"/>
      <c r="FN75" s="73"/>
      <c r="FO75" s="73"/>
      <c r="FP75" s="73"/>
      <c r="FQ75" s="73"/>
      <c r="FR75" s="73"/>
      <c r="FS75" s="73"/>
      <c r="FT75" s="73"/>
      <c r="FU75" s="73"/>
      <c r="FW75" s="73"/>
      <c r="FX75" s="73"/>
      <c r="FY75" s="73"/>
      <c r="FZ75" s="73"/>
      <c r="GA75" s="73"/>
      <c r="GC75" s="73"/>
      <c r="GD75" s="73"/>
      <c r="GE75" s="73"/>
      <c r="GF75" s="120"/>
      <c r="GG75" s="73"/>
      <c r="GH75" s="73"/>
      <c r="GI75" s="73"/>
      <c r="GJ75" s="73"/>
      <c r="GK75" s="73"/>
      <c r="GL75" s="73"/>
    </row>
    <row r="76" spans="1:242" ht="12.75" x14ac:dyDescent="0.2">
      <c r="A76" s="81"/>
      <c r="B76" s="79"/>
      <c r="C76" s="83"/>
      <c r="D76" s="71"/>
      <c r="E76" s="72"/>
      <c r="F76" s="72"/>
      <c r="G76" s="72"/>
      <c r="H76" s="72"/>
      <c r="I76" s="72"/>
      <c r="J76" s="75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3"/>
      <c r="AB76" s="72"/>
      <c r="AC76" s="72"/>
      <c r="AD76" s="71"/>
      <c r="AE76" s="72"/>
      <c r="AF76" s="72"/>
      <c r="AG76" s="72"/>
      <c r="AH76" s="72"/>
      <c r="AI76" s="72"/>
      <c r="AJ76" s="72"/>
      <c r="AK76" s="72"/>
      <c r="AL76" s="72"/>
      <c r="AM76" s="71"/>
      <c r="AN76" s="71"/>
      <c r="AO76" s="71"/>
      <c r="AP76" s="72"/>
      <c r="AQ76" s="72"/>
      <c r="AR76" s="72"/>
      <c r="AS76" s="72"/>
      <c r="AT76" s="72"/>
      <c r="AU76" s="72"/>
      <c r="AV76" s="71"/>
      <c r="AW76" s="72"/>
      <c r="AX76" s="72"/>
      <c r="AY76" s="71"/>
      <c r="AZ76" s="71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72"/>
      <c r="BN76" s="73"/>
      <c r="BO76" s="73"/>
      <c r="BP76" s="73"/>
      <c r="BQ76" s="72"/>
      <c r="BR76" s="72"/>
      <c r="BS76" s="73"/>
      <c r="BT76" s="72"/>
      <c r="BU76" s="72"/>
      <c r="BV76" s="72"/>
      <c r="BW76" s="73"/>
      <c r="BX76" s="72"/>
      <c r="BY76" s="72"/>
      <c r="BZ76" s="72"/>
      <c r="CA76" s="73"/>
      <c r="CB76" s="72"/>
      <c r="CC76" s="72"/>
      <c r="CD76" s="72"/>
      <c r="CE76" s="72"/>
      <c r="CF76" s="73"/>
      <c r="CG76" s="72"/>
      <c r="CH76" s="72"/>
      <c r="CI76" s="72"/>
      <c r="CJ76" s="72"/>
      <c r="CK76" s="73"/>
      <c r="CL76" s="72"/>
      <c r="CM76" s="72"/>
      <c r="CN76" s="72"/>
      <c r="CO76" s="73"/>
      <c r="CP76" s="73"/>
      <c r="CQ76" s="72"/>
      <c r="CR76" s="73"/>
      <c r="CS76" s="73"/>
      <c r="CT76" s="73"/>
      <c r="CU76" s="72"/>
      <c r="CV76" s="73"/>
      <c r="CW76" s="73"/>
      <c r="CX76" s="73"/>
      <c r="CY76" s="72"/>
      <c r="CZ76" s="73"/>
      <c r="DA76" s="73"/>
      <c r="DB76" s="73"/>
      <c r="DC76" s="72"/>
      <c r="DD76" s="73"/>
      <c r="DE76" s="73"/>
      <c r="DF76" s="73"/>
      <c r="DG76" s="73"/>
      <c r="DH76" s="72"/>
      <c r="DI76" s="73"/>
      <c r="DJ76" s="73"/>
      <c r="DK76" s="73"/>
      <c r="DL76" s="73"/>
      <c r="DM76" s="73"/>
      <c r="DN76" s="73"/>
      <c r="DO76" s="73"/>
      <c r="DP76" s="73"/>
      <c r="DQ76" s="73"/>
      <c r="DR76" s="73"/>
      <c r="DS76" s="73"/>
      <c r="DT76" s="73"/>
      <c r="DU76" s="73"/>
      <c r="DV76" s="73"/>
      <c r="DW76" s="73"/>
      <c r="DX76" s="73"/>
      <c r="DY76" s="72"/>
      <c r="DZ76" s="72"/>
      <c r="EA76" s="72"/>
      <c r="EB76" s="72"/>
      <c r="EC76" s="77"/>
      <c r="ED76" s="73"/>
      <c r="EE76" s="73"/>
      <c r="EF76" s="73"/>
      <c r="EG76" s="73"/>
      <c r="EH76" s="73"/>
      <c r="EI76" s="73"/>
      <c r="EJ76" s="73"/>
      <c r="EK76" s="73"/>
      <c r="EL76" s="73"/>
      <c r="EM76" s="73"/>
      <c r="EN76" s="73"/>
      <c r="EO76" s="73"/>
      <c r="EP76" s="73"/>
      <c r="EQ76" s="73"/>
      <c r="ER76" s="73"/>
      <c r="ES76" s="73"/>
      <c r="ET76" s="73"/>
      <c r="EU76" s="73"/>
      <c r="EV76" s="1"/>
      <c r="EW76" s="63"/>
      <c r="EX76" s="63"/>
      <c r="EY76" s="63"/>
      <c r="EZ76" s="1"/>
      <c r="FA76" s="63"/>
      <c r="FB76" s="73"/>
      <c r="FC76" s="73"/>
      <c r="FD76" s="73"/>
      <c r="FE76" s="73"/>
      <c r="FF76" s="73"/>
      <c r="FG76" s="73"/>
      <c r="FH76" s="73"/>
      <c r="FI76" s="73"/>
      <c r="FJ76" s="73"/>
      <c r="FK76" s="73"/>
      <c r="FL76" s="73"/>
      <c r="FM76" s="73"/>
      <c r="FN76" s="73"/>
      <c r="FO76" s="73"/>
      <c r="FP76" s="73"/>
      <c r="FQ76" s="73"/>
      <c r="FR76" s="73"/>
      <c r="FS76" s="73"/>
      <c r="FT76" s="73"/>
      <c r="FU76" s="73"/>
      <c r="FW76" s="73"/>
      <c r="FX76" s="73"/>
      <c r="FY76" s="73"/>
      <c r="FZ76" s="73"/>
      <c r="GA76" s="73"/>
      <c r="GC76" s="73"/>
      <c r="GD76" s="73"/>
      <c r="GE76" s="73"/>
      <c r="GF76" s="120"/>
      <c r="GG76" s="73"/>
      <c r="GH76" s="73"/>
      <c r="GI76" s="73"/>
      <c r="GJ76" s="73"/>
      <c r="GK76" s="73"/>
      <c r="GL76" s="73"/>
    </row>
    <row r="77" spans="1:242" ht="12.75" x14ac:dyDescent="0.2">
      <c r="A77" s="81"/>
      <c r="B77" s="79"/>
      <c r="C77" s="83"/>
      <c r="D77" s="71"/>
      <c r="E77" s="72"/>
      <c r="F77" s="72"/>
      <c r="G77" s="72"/>
      <c r="H77" s="72"/>
      <c r="I77" s="72"/>
      <c r="J77" s="75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3"/>
      <c r="AB77" s="72"/>
      <c r="AC77" s="72"/>
      <c r="AD77" s="71"/>
      <c r="AE77" s="72"/>
      <c r="AF77" s="72"/>
      <c r="AG77" s="72"/>
      <c r="AH77" s="72"/>
      <c r="AI77" s="72"/>
      <c r="AJ77" s="72"/>
      <c r="AK77" s="72"/>
      <c r="AL77" s="72"/>
      <c r="AM77" s="71"/>
      <c r="AN77" s="71"/>
      <c r="AO77" s="71"/>
      <c r="AP77" s="72"/>
      <c r="AQ77" s="72"/>
      <c r="AR77" s="72"/>
      <c r="AS77" s="72"/>
      <c r="AT77" s="72"/>
      <c r="AU77" s="72"/>
      <c r="AV77" s="71"/>
      <c r="AW77" s="72"/>
      <c r="AX77" s="72"/>
      <c r="AY77" s="71"/>
      <c r="AZ77" s="71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2"/>
      <c r="BN77" s="73"/>
      <c r="BO77" s="73"/>
      <c r="BP77" s="73"/>
      <c r="BQ77" s="72"/>
      <c r="BR77" s="72"/>
      <c r="BS77" s="73"/>
      <c r="BT77" s="72"/>
      <c r="BU77" s="72"/>
      <c r="BV77" s="72"/>
      <c r="BW77" s="73"/>
      <c r="BX77" s="72"/>
      <c r="BY77" s="72"/>
      <c r="BZ77" s="72"/>
      <c r="CA77" s="73"/>
      <c r="CB77" s="72"/>
      <c r="CC77" s="72"/>
      <c r="CD77" s="72"/>
      <c r="CE77" s="72"/>
      <c r="CF77" s="73"/>
      <c r="CG77" s="72"/>
      <c r="CH77" s="72"/>
      <c r="CI77" s="72"/>
      <c r="CJ77" s="72"/>
      <c r="CK77" s="73"/>
      <c r="CL77" s="72"/>
      <c r="CM77" s="72"/>
      <c r="CN77" s="72"/>
      <c r="CO77" s="73"/>
      <c r="CP77" s="73"/>
      <c r="CQ77" s="72"/>
      <c r="CR77" s="73"/>
      <c r="CS77" s="73"/>
      <c r="CT77" s="73"/>
      <c r="CU77" s="72"/>
      <c r="CV77" s="73"/>
      <c r="CW77" s="73"/>
      <c r="CX77" s="73"/>
      <c r="CY77" s="72"/>
      <c r="CZ77" s="73"/>
      <c r="DA77" s="73"/>
      <c r="DB77" s="73"/>
      <c r="DC77" s="72"/>
      <c r="DD77" s="73"/>
      <c r="DE77" s="73"/>
      <c r="DF77" s="73"/>
      <c r="DG77" s="73"/>
      <c r="DH77" s="72"/>
      <c r="DI77" s="73"/>
      <c r="DJ77" s="73"/>
      <c r="DK77" s="73"/>
      <c r="DL77" s="73"/>
      <c r="DM77" s="73"/>
      <c r="DN77" s="73"/>
      <c r="DO77" s="73"/>
      <c r="DP77" s="73"/>
      <c r="DQ77" s="73"/>
      <c r="DR77" s="73"/>
      <c r="DS77" s="73"/>
      <c r="DT77" s="73"/>
      <c r="DU77" s="73"/>
      <c r="DV77" s="73"/>
      <c r="DW77" s="73"/>
      <c r="DX77" s="73"/>
      <c r="DY77" s="72"/>
      <c r="DZ77" s="72"/>
      <c r="EA77" s="72"/>
      <c r="EB77" s="72"/>
      <c r="EC77" s="77"/>
      <c r="ED77" s="73"/>
      <c r="EE77" s="73"/>
      <c r="EF77" s="73"/>
      <c r="EG77" s="73"/>
      <c r="EH77" s="73"/>
      <c r="EI77" s="73"/>
      <c r="EJ77" s="73"/>
      <c r="EK77" s="73"/>
      <c r="EL77" s="84"/>
      <c r="EM77" s="73"/>
      <c r="EN77" s="73"/>
      <c r="EO77" s="73"/>
      <c r="EP77" s="73"/>
      <c r="EQ77" s="84"/>
      <c r="ER77" s="73"/>
      <c r="ES77" s="73"/>
      <c r="ET77" s="73"/>
      <c r="EU77" s="73"/>
      <c r="EV77" s="63"/>
      <c r="EW77" s="63"/>
      <c r="EX77" s="63"/>
      <c r="EY77" s="63"/>
      <c r="EZ77" s="63"/>
      <c r="FA77" s="63"/>
      <c r="FB77" s="73"/>
      <c r="FC77" s="73"/>
      <c r="FD77" s="73"/>
      <c r="FE77" s="73"/>
      <c r="FF77" s="73"/>
      <c r="FG77" s="73"/>
      <c r="FH77" s="73"/>
      <c r="FI77" s="73"/>
      <c r="FJ77" s="73"/>
      <c r="FK77" s="73"/>
      <c r="FL77" s="73"/>
      <c r="FM77" s="73"/>
      <c r="FN77" s="73"/>
      <c r="FO77" s="73"/>
      <c r="FP77" s="73"/>
      <c r="FQ77" s="73"/>
      <c r="FR77" s="73"/>
      <c r="FS77" s="73"/>
      <c r="FT77" s="73"/>
      <c r="FU77" s="73"/>
      <c r="FW77" s="73"/>
      <c r="FX77" s="73"/>
      <c r="FY77" s="73"/>
      <c r="FZ77" s="73"/>
      <c r="GA77" s="73"/>
      <c r="GC77" s="73"/>
      <c r="GD77" s="73"/>
      <c r="GE77" s="73"/>
      <c r="GF77" s="120"/>
      <c r="GG77" s="73"/>
      <c r="GH77" s="73"/>
      <c r="GI77" s="73"/>
      <c r="GJ77" s="73"/>
      <c r="GK77" s="73"/>
      <c r="GL77" s="73"/>
    </row>
    <row r="78" spans="1:242" ht="12.75" x14ac:dyDescent="0.2">
      <c r="A78" s="80"/>
      <c r="B78" s="72"/>
      <c r="C78" s="83"/>
      <c r="D78" s="72"/>
      <c r="E78" s="71"/>
      <c r="F78" s="71"/>
      <c r="G78" s="71"/>
      <c r="H78" s="71"/>
      <c r="I78" s="71"/>
      <c r="J78" s="72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2"/>
      <c r="AB78" s="71"/>
      <c r="AC78" s="71"/>
      <c r="AD78" s="72"/>
      <c r="AE78" s="71"/>
      <c r="AF78" s="71"/>
      <c r="AG78" s="71"/>
      <c r="AH78" s="71"/>
      <c r="AI78" s="71"/>
      <c r="AJ78" s="71"/>
      <c r="AK78" s="71"/>
      <c r="AL78" s="71"/>
      <c r="AM78" s="72"/>
      <c r="AN78" s="72"/>
      <c r="AO78" s="72"/>
      <c r="AP78" s="71"/>
      <c r="AQ78" s="71"/>
      <c r="AR78" s="71"/>
      <c r="AS78" s="71"/>
      <c r="AT78" s="71"/>
      <c r="AU78" s="71"/>
      <c r="AV78" s="72"/>
      <c r="AW78" s="71"/>
      <c r="AX78" s="71"/>
      <c r="AY78" s="72"/>
      <c r="AZ78" s="72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2"/>
      <c r="BO78" s="72"/>
      <c r="BP78" s="72"/>
      <c r="BQ78" s="71"/>
      <c r="BR78" s="71"/>
      <c r="BS78" s="72"/>
      <c r="BT78" s="71"/>
      <c r="BU78" s="71"/>
      <c r="BV78" s="71"/>
      <c r="BW78" s="72"/>
      <c r="BX78" s="71"/>
      <c r="BY78" s="71"/>
      <c r="BZ78" s="71"/>
      <c r="CA78" s="72"/>
      <c r="CB78" s="71"/>
      <c r="CC78" s="71"/>
      <c r="CD78" s="71"/>
      <c r="CE78" s="71"/>
      <c r="CF78" s="72"/>
      <c r="CG78" s="71"/>
      <c r="CH78" s="71"/>
      <c r="CI78" s="71"/>
      <c r="CJ78" s="71"/>
      <c r="CK78" s="72"/>
      <c r="CL78" s="71"/>
      <c r="CM78" s="71"/>
      <c r="CN78" s="71"/>
      <c r="CO78" s="72"/>
      <c r="CP78" s="72"/>
      <c r="CQ78" s="71"/>
      <c r="CR78" s="72"/>
      <c r="CS78" s="72"/>
      <c r="CT78" s="72"/>
      <c r="CU78" s="71"/>
      <c r="CV78" s="72"/>
      <c r="CW78" s="72"/>
      <c r="CX78" s="72"/>
      <c r="CY78" s="71"/>
      <c r="CZ78" s="72"/>
      <c r="DA78" s="72"/>
      <c r="DB78" s="72"/>
      <c r="DC78" s="71"/>
      <c r="DD78" s="72"/>
      <c r="DE78" s="72"/>
      <c r="DF78" s="72"/>
      <c r="DG78" s="72"/>
      <c r="DH78" s="71"/>
      <c r="DI78" s="72"/>
      <c r="DJ78" s="72"/>
      <c r="DK78" s="72"/>
      <c r="DL78" s="72"/>
      <c r="DM78" s="72"/>
      <c r="DN78" s="72"/>
      <c r="DO78" s="72"/>
      <c r="DP78" s="72"/>
      <c r="DQ78" s="72"/>
      <c r="DR78" s="72"/>
      <c r="DS78" s="72"/>
      <c r="DT78" s="72"/>
      <c r="DU78" s="72"/>
      <c r="DV78" s="72"/>
      <c r="DW78" s="72"/>
      <c r="DX78" s="72"/>
      <c r="DY78" s="71"/>
      <c r="DZ78" s="71"/>
      <c r="EA78" s="71"/>
      <c r="EB78" s="71"/>
      <c r="EC78" s="72"/>
      <c r="ED78" s="72"/>
      <c r="EE78" s="72"/>
      <c r="EF78" s="72"/>
      <c r="EG78" s="72"/>
      <c r="EH78" s="72"/>
      <c r="EI78" s="72"/>
      <c r="EJ78" s="72"/>
      <c r="EK78" s="72"/>
      <c r="EL78" s="72"/>
      <c r="EM78" s="72"/>
      <c r="EN78" s="72"/>
      <c r="EO78" s="72"/>
      <c r="EP78" s="72"/>
      <c r="EQ78" s="72"/>
      <c r="ER78" s="73"/>
      <c r="ES78" s="73"/>
      <c r="ET78" s="73"/>
      <c r="EU78" s="73"/>
      <c r="EV78" s="63"/>
      <c r="EW78" s="63"/>
      <c r="EX78" s="63"/>
      <c r="EY78" s="63"/>
      <c r="EZ78" s="63"/>
      <c r="FA78" s="6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3"/>
      <c r="FO78" s="73"/>
      <c r="FP78" s="73"/>
      <c r="FQ78" s="73"/>
      <c r="FR78" s="73"/>
      <c r="FS78" s="73"/>
      <c r="FT78" s="73"/>
      <c r="FU78" s="73"/>
      <c r="FW78" s="73"/>
      <c r="FX78" s="73"/>
      <c r="FY78" s="73"/>
      <c r="FZ78" s="73"/>
      <c r="GA78" s="73"/>
      <c r="GC78" s="73"/>
      <c r="GD78" s="73"/>
      <c r="GE78" s="73"/>
      <c r="GF78" s="120"/>
      <c r="GG78" s="73"/>
      <c r="GH78" s="73"/>
      <c r="GI78" s="73"/>
      <c r="GJ78" s="73"/>
      <c r="GK78" s="73"/>
      <c r="GL78" s="73"/>
    </row>
    <row r="79" spans="1:242" ht="12.75" x14ac:dyDescent="0.2">
      <c r="A79" s="80"/>
      <c r="B79" s="79"/>
      <c r="C79" s="82"/>
      <c r="D79" s="71"/>
      <c r="E79" s="72"/>
      <c r="F79" s="72"/>
      <c r="G79" s="72"/>
      <c r="H79" s="72"/>
      <c r="I79" s="72"/>
      <c r="J79" s="75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3"/>
      <c r="AB79" s="72"/>
      <c r="AC79" s="72"/>
      <c r="AD79" s="71"/>
      <c r="AE79" s="72"/>
      <c r="AF79" s="72"/>
      <c r="AG79" s="72"/>
      <c r="AH79" s="72"/>
      <c r="AI79" s="72"/>
      <c r="AJ79" s="72"/>
      <c r="AK79" s="72"/>
      <c r="AL79" s="72"/>
      <c r="AM79" s="71"/>
      <c r="AN79" s="71"/>
      <c r="AO79" s="71"/>
      <c r="AP79" s="72"/>
      <c r="AQ79" s="72"/>
      <c r="AR79" s="72"/>
      <c r="AS79" s="72"/>
      <c r="AT79" s="72"/>
      <c r="AU79" s="72"/>
      <c r="AV79" s="71"/>
      <c r="AW79" s="72"/>
      <c r="AX79" s="72"/>
      <c r="AY79" s="71"/>
      <c r="AZ79" s="71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3"/>
      <c r="BO79" s="73"/>
      <c r="BP79" s="73"/>
      <c r="BQ79" s="72"/>
      <c r="BR79" s="72"/>
      <c r="BS79" s="73"/>
      <c r="BT79" s="72"/>
      <c r="BU79" s="72"/>
      <c r="BV79" s="72"/>
      <c r="BW79" s="73"/>
      <c r="BX79" s="72"/>
      <c r="BY79" s="72"/>
      <c r="BZ79" s="72"/>
      <c r="CA79" s="73"/>
      <c r="CB79" s="72"/>
      <c r="CC79" s="72"/>
      <c r="CD79" s="72"/>
      <c r="CE79" s="72"/>
      <c r="CF79" s="73"/>
      <c r="CG79" s="72"/>
      <c r="CH79" s="72"/>
      <c r="CI79" s="72"/>
      <c r="CJ79" s="72"/>
      <c r="CK79" s="73"/>
      <c r="CL79" s="72"/>
      <c r="CM79" s="72"/>
      <c r="CN79" s="72"/>
      <c r="CO79" s="73"/>
      <c r="CP79" s="73"/>
      <c r="CQ79" s="72"/>
      <c r="CR79" s="73"/>
      <c r="CS79" s="73"/>
      <c r="CT79" s="73"/>
      <c r="CU79" s="72"/>
      <c r="CV79" s="73"/>
      <c r="CW79" s="73"/>
      <c r="CX79" s="73"/>
      <c r="CY79" s="72"/>
      <c r="CZ79" s="73"/>
      <c r="DA79" s="73"/>
      <c r="DB79" s="73"/>
      <c r="DC79" s="72"/>
      <c r="DD79" s="73"/>
      <c r="DE79" s="73"/>
      <c r="DF79" s="73"/>
      <c r="DG79" s="73"/>
      <c r="DH79" s="72"/>
      <c r="DI79" s="73"/>
      <c r="DJ79" s="73"/>
      <c r="DK79" s="73"/>
      <c r="DL79" s="73"/>
      <c r="DM79" s="73"/>
      <c r="DN79" s="73"/>
      <c r="DO79" s="73"/>
      <c r="DP79" s="73"/>
      <c r="DQ79" s="73"/>
      <c r="DR79" s="73"/>
      <c r="DS79" s="73"/>
      <c r="DT79" s="73"/>
      <c r="DU79" s="73"/>
      <c r="DV79" s="73"/>
      <c r="DW79" s="73"/>
      <c r="DX79" s="73"/>
      <c r="DY79" s="72"/>
      <c r="DZ79" s="72"/>
      <c r="EA79" s="72"/>
      <c r="EB79" s="72"/>
      <c r="EC79" s="77"/>
      <c r="ED79" s="73"/>
      <c r="EE79" s="73"/>
      <c r="EF79" s="73"/>
      <c r="EG79" s="73"/>
      <c r="EH79" s="73"/>
      <c r="EI79" s="73"/>
      <c r="EJ79" s="73"/>
      <c r="EK79" s="73"/>
      <c r="EL79" s="73"/>
      <c r="EM79" s="73"/>
      <c r="EN79" s="73"/>
      <c r="EO79" s="73"/>
      <c r="EP79" s="73"/>
      <c r="EQ79" s="73"/>
      <c r="ER79" s="73"/>
      <c r="ES79" s="73"/>
      <c r="ET79" s="73"/>
      <c r="EU79" s="73"/>
    </row>
    <row r="80" spans="1:242" ht="12.75" x14ac:dyDescent="0.2">
      <c r="A80" s="80"/>
      <c r="B80" s="79"/>
      <c r="C80" s="82"/>
      <c r="D80" s="71"/>
      <c r="E80" s="72"/>
      <c r="F80" s="72"/>
      <c r="G80" s="72"/>
      <c r="H80" s="72"/>
      <c r="I80" s="72"/>
      <c r="J80" s="75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3"/>
      <c r="AB80" s="72"/>
      <c r="AC80" s="72"/>
      <c r="AD80" s="71"/>
      <c r="AE80" s="72"/>
      <c r="AF80" s="72"/>
      <c r="AG80" s="72"/>
      <c r="AH80" s="72"/>
      <c r="AI80" s="72"/>
      <c r="AJ80" s="72"/>
      <c r="AK80" s="72"/>
      <c r="AL80" s="72"/>
      <c r="AM80" s="71"/>
      <c r="AN80" s="71"/>
      <c r="AO80" s="71"/>
      <c r="AP80" s="72"/>
      <c r="AQ80" s="72"/>
      <c r="AR80" s="72"/>
      <c r="AS80" s="72"/>
      <c r="AT80" s="72"/>
      <c r="AU80" s="72"/>
      <c r="AV80" s="71"/>
      <c r="AW80" s="72"/>
      <c r="AX80" s="72"/>
      <c r="AY80" s="71"/>
      <c r="AZ80" s="71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3"/>
      <c r="BO80" s="73"/>
      <c r="BP80" s="73"/>
      <c r="BQ80" s="72"/>
      <c r="BR80" s="72"/>
      <c r="BS80" s="73"/>
      <c r="BT80" s="72"/>
      <c r="BU80" s="72"/>
      <c r="BV80" s="72"/>
      <c r="BW80" s="73"/>
      <c r="BX80" s="72"/>
      <c r="BY80" s="72"/>
      <c r="BZ80" s="72"/>
      <c r="CA80" s="73"/>
      <c r="CB80" s="72"/>
      <c r="CC80" s="72"/>
      <c r="CD80" s="72"/>
      <c r="CE80" s="72"/>
      <c r="CF80" s="73"/>
      <c r="CG80" s="72"/>
      <c r="CH80" s="72"/>
      <c r="CI80" s="72"/>
      <c r="CJ80" s="72"/>
      <c r="CK80" s="73"/>
      <c r="CL80" s="72"/>
      <c r="CM80" s="72"/>
      <c r="CN80" s="72"/>
      <c r="CO80" s="73"/>
      <c r="CP80" s="73"/>
      <c r="CQ80" s="72"/>
      <c r="CR80" s="73"/>
      <c r="CS80" s="73"/>
      <c r="CT80" s="73"/>
      <c r="CU80" s="72"/>
      <c r="CV80" s="73"/>
      <c r="CW80" s="73"/>
      <c r="CX80" s="73"/>
      <c r="CY80" s="72"/>
      <c r="CZ80" s="73"/>
      <c r="DA80" s="73"/>
      <c r="DB80" s="73"/>
      <c r="DC80" s="72"/>
      <c r="DD80" s="73"/>
      <c r="DE80" s="73"/>
      <c r="DF80" s="73"/>
      <c r="DG80" s="73"/>
      <c r="DH80" s="72"/>
      <c r="DI80" s="73"/>
      <c r="DJ80" s="73"/>
      <c r="DK80" s="73"/>
      <c r="DL80" s="73"/>
      <c r="DM80" s="73"/>
      <c r="DN80" s="73"/>
      <c r="DO80" s="73"/>
      <c r="DP80" s="73"/>
      <c r="DQ80" s="73"/>
      <c r="DR80" s="73"/>
      <c r="DS80" s="73"/>
      <c r="DT80" s="73"/>
      <c r="DU80" s="73"/>
      <c r="DV80" s="73"/>
      <c r="DW80" s="73"/>
      <c r="DX80" s="73"/>
      <c r="DY80" s="72"/>
      <c r="DZ80" s="72"/>
      <c r="EA80" s="72"/>
      <c r="EB80" s="72"/>
      <c r="EC80" s="77"/>
      <c r="ED80" s="73"/>
      <c r="EE80" s="73"/>
      <c r="EF80" s="73"/>
      <c r="EG80" s="73"/>
      <c r="EH80" s="73"/>
      <c r="EI80" s="73"/>
      <c r="EJ80" s="73"/>
      <c r="EK80" s="73"/>
      <c r="EL80" s="73"/>
      <c r="EM80" s="73"/>
      <c r="EN80" s="73"/>
      <c r="EO80" s="73"/>
      <c r="EP80" s="73"/>
      <c r="EQ80" s="73"/>
      <c r="ER80" s="73"/>
      <c r="ES80" s="73"/>
      <c r="ET80" s="73"/>
      <c r="EU80" s="73"/>
    </row>
    <row r="81" spans="1:151" ht="12.75" x14ac:dyDescent="0.2">
      <c r="A81" s="80"/>
      <c r="B81" s="79"/>
      <c r="C81" s="82"/>
      <c r="D81" s="71"/>
      <c r="E81" s="72"/>
      <c r="F81" s="72"/>
      <c r="G81" s="72"/>
      <c r="H81" s="72"/>
      <c r="I81" s="72"/>
      <c r="J81" s="75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3"/>
      <c r="AB81" s="72"/>
      <c r="AC81" s="72"/>
      <c r="AD81" s="71"/>
      <c r="AE81" s="72"/>
      <c r="AF81" s="72"/>
      <c r="AG81" s="72"/>
      <c r="AH81" s="72"/>
      <c r="AI81" s="72"/>
      <c r="AJ81" s="72"/>
      <c r="AK81" s="72"/>
      <c r="AL81" s="72"/>
      <c r="AM81" s="71"/>
      <c r="AN81" s="71"/>
      <c r="AO81" s="71"/>
      <c r="AP81" s="72"/>
      <c r="AQ81" s="72"/>
      <c r="AR81" s="72"/>
      <c r="AS81" s="72"/>
      <c r="AT81" s="72"/>
      <c r="AU81" s="72"/>
      <c r="AV81" s="71"/>
      <c r="AW81" s="72"/>
      <c r="AX81" s="72"/>
      <c r="AY81" s="71"/>
      <c r="AZ81" s="71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3"/>
      <c r="BO81" s="73"/>
      <c r="BP81" s="73"/>
      <c r="BQ81" s="72"/>
      <c r="BR81" s="72"/>
      <c r="BS81" s="73"/>
      <c r="BT81" s="72"/>
      <c r="BU81" s="72"/>
      <c r="BV81" s="72"/>
      <c r="BW81" s="73"/>
      <c r="BX81" s="72"/>
      <c r="BY81" s="72"/>
      <c r="BZ81" s="72"/>
      <c r="CA81" s="73"/>
      <c r="CB81" s="72"/>
      <c r="CC81" s="72"/>
      <c r="CD81" s="72"/>
      <c r="CE81" s="72"/>
      <c r="CF81" s="73"/>
      <c r="CG81" s="72"/>
      <c r="CH81" s="72"/>
      <c r="CI81" s="72"/>
      <c r="CJ81" s="72"/>
      <c r="CK81" s="73"/>
      <c r="CL81" s="72"/>
      <c r="CM81" s="72"/>
      <c r="CN81" s="72"/>
      <c r="CO81" s="73"/>
      <c r="CP81" s="73"/>
      <c r="CQ81" s="72"/>
      <c r="CR81" s="73"/>
      <c r="CS81" s="73"/>
      <c r="CT81" s="73"/>
      <c r="CU81" s="72"/>
      <c r="CV81" s="73"/>
      <c r="CW81" s="73"/>
      <c r="CX81" s="73"/>
      <c r="CY81" s="72"/>
      <c r="CZ81" s="73"/>
      <c r="DA81" s="73"/>
      <c r="DB81" s="73"/>
      <c r="DC81" s="72"/>
      <c r="DD81" s="73"/>
      <c r="DE81" s="73"/>
      <c r="DF81" s="73"/>
      <c r="DG81" s="73"/>
      <c r="DH81" s="72"/>
      <c r="DI81" s="73"/>
      <c r="DJ81" s="73"/>
      <c r="DK81" s="73"/>
      <c r="DL81" s="73"/>
      <c r="DM81" s="73"/>
      <c r="DN81" s="73"/>
      <c r="DO81" s="73"/>
      <c r="DP81" s="73"/>
      <c r="DQ81" s="73"/>
      <c r="DR81" s="73"/>
      <c r="DS81" s="73"/>
      <c r="DT81" s="73"/>
      <c r="DU81" s="73"/>
      <c r="DV81" s="73"/>
      <c r="DW81" s="73"/>
      <c r="DX81" s="73"/>
      <c r="DY81" s="72"/>
      <c r="DZ81" s="72"/>
      <c r="EA81" s="72"/>
      <c r="EB81" s="72"/>
      <c r="EC81" s="77"/>
      <c r="ED81" s="73"/>
      <c r="EE81" s="73"/>
      <c r="EF81" s="73"/>
      <c r="EG81" s="73"/>
      <c r="EH81" s="73"/>
      <c r="EI81" s="73"/>
      <c r="EJ81" s="73"/>
      <c r="EK81" s="73"/>
      <c r="EL81" s="73"/>
      <c r="EM81" s="73"/>
      <c r="EN81" s="73"/>
      <c r="EO81" s="73"/>
      <c r="EP81" s="73"/>
      <c r="EQ81" s="73"/>
      <c r="ER81" s="71"/>
      <c r="ES81" s="71"/>
      <c r="ET81" s="71"/>
      <c r="EU81" s="71"/>
    </row>
    <row r="82" spans="1:151" ht="12.75" x14ac:dyDescent="0.2">
      <c r="A82" s="80"/>
      <c r="B82" s="72"/>
      <c r="C82" s="82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</row>
    <row r="83" spans="1:151" ht="12.75" x14ac:dyDescent="0.2">
      <c r="A83" s="81"/>
      <c r="B83" s="71"/>
      <c r="C83" s="83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4"/>
      <c r="Q83" s="74"/>
      <c r="R83" s="74"/>
      <c r="S83" s="74"/>
      <c r="T83" s="74"/>
      <c r="U83" s="74"/>
      <c r="V83" s="74"/>
    </row>
  </sheetData>
  <autoFilter ref="A7:IJ60"/>
  <mergeCells count="4">
    <mergeCell ref="C73:EU74"/>
    <mergeCell ref="B5:B7"/>
    <mergeCell ref="A1:IH1"/>
    <mergeCell ref="A2:IH2"/>
  </mergeCells>
  <phoneticPr fontId="5" type="noConversion"/>
  <pageMargins left="0.2" right="0.2" top="0.65" bottom="0.75" header="0.18" footer="0.22"/>
  <pageSetup scale="85" fitToHeight="0" orientation="landscape" r:id="rId1"/>
  <headerFooter alignWithMargins="0">
    <oddFooter>&amp;R&amp;8&amp;Z&amp;F Budget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107"/>
  <sheetViews>
    <sheetView workbookViewId="0">
      <selection activeCell="B37" sqref="B37"/>
    </sheetView>
  </sheetViews>
  <sheetFormatPr defaultColWidth="9.140625" defaultRowHeight="12.75" x14ac:dyDescent="0.2"/>
  <cols>
    <col min="1" max="1" width="11.85546875" style="159" customWidth="1"/>
    <col min="2" max="2" width="55.28515625" style="144" customWidth="1"/>
    <col min="3" max="3" width="9.140625" style="145"/>
    <col min="4" max="4" width="9.5703125" style="145" bestFit="1" customWidth="1"/>
    <col min="5" max="5" width="16" style="145" bestFit="1" customWidth="1"/>
    <col min="6" max="16384" width="9.140625" style="145"/>
  </cols>
  <sheetData>
    <row r="1" spans="1:2" x14ac:dyDescent="0.2">
      <c r="A1" s="153" t="s">
        <v>522</v>
      </c>
    </row>
    <row r="3" spans="1:2" x14ac:dyDescent="0.2">
      <c r="A3" s="36" t="s">
        <v>21</v>
      </c>
      <c r="B3" s="169" t="s">
        <v>412</v>
      </c>
    </row>
    <row r="4" spans="1:2" x14ac:dyDescent="0.2">
      <c r="A4" s="151">
        <v>15000</v>
      </c>
      <c r="B4" s="170" t="s">
        <v>434</v>
      </c>
    </row>
    <row r="5" spans="1:2" x14ac:dyDescent="0.2">
      <c r="A5" s="151">
        <v>15000</v>
      </c>
      <c r="B5" s="170" t="s">
        <v>435</v>
      </c>
    </row>
    <row r="6" spans="1:2" x14ac:dyDescent="0.2">
      <c r="A6" s="151">
        <v>20000</v>
      </c>
      <c r="B6" s="170" t="s">
        <v>427</v>
      </c>
    </row>
    <row r="7" spans="1:2" x14ac:dyDescent="0.2">
      <c r="A7" s="151">
        <v>20000</v>
      </c>
      <c r="B7" s="170" t="s">
        <v>437</v>
      </c>
    </row>
    <row r="8" spans="1:2" x14ac:dyDescent="0.2">
      <c r="A8" s="151">
        <v>20000</v>
      </c>
      <c r="B8" s="170" t="s">
        <v>438</v>
      </c>
    </row>
    <row r="9" spans="1:2" x14ac:dyDescent="0.2">
      <c r="A9" s="151">
        <v>20000</v>
      </c>
      <c r="B9" s="170" t="s">
        <v>439</v>
      </c>
    </row>
    <row r="10" spans="1:2" x14ac:dyDescent="0.2">
      <c r="A10" s="151">
        <v>25000</v>
      </c>
      <c r="B10" s="170" t="s">
        <v>407</v>
      </c>
    </row>
    <row r="11" spans="1:2" x14ac:dyDescent="0.2">
      <c r="A11" s="151">
        <v>25000</v>
      </c>
      <c r="B11" s="170" t="s">
        <v>524</v>
      </c>
    </row>
    <row r="12" spans="1:2" x14ac:dyDescent="0.2">
      <c r="A12" s="151">
        <v>25000</v>
      </c>
      <c r="B12" s="170" t="s">
        <v>489</v>
      </c>
    </row>
    <row r="13" spans="1:2" x14ac:dyDescent="0.2">
      <c r="A13" s="151">
        <v>25000</v>
      </c>
      <c r="B13" s="170" t="s">
        <v>492</v>
      </c>
    </row>
    <row r="14" spans="1:2" x14ac:dyDescent="0.2">
      <c r="A14" s="151">
        <v>25000</v>
      </c>
      <c r="B14" s="170" t="s">
        <v>493</v>
      </c>
    </row>
    <row r="15" spans="1:2" ht="25.5" x14ac:dyDescent="0.2">
      <c r="A15" s="158">
        <v>25000</v>
      </c>
      <c r="B15" s="171" t="s">
        <v>465</v>
      </c>
    </row>
    <row r="16" spans="1:2" x14ac:dyDescent="0.2">
      <c r="A16" s="158">
        <v>25000</v>
      </c>
      <c r="B16" s="171" t="s">
        <v>525</v>
      </c>
    </row>
    <row r="17" spans="1:2" x14ac:dyDescent="0.2">
      <c r="A17" s="151">
        <v>45000</v>
      </c>
      <c r="B17" s="170" t="s">
        <v>430</v>
      </c>
    </row>
    <row r="18" spans="1:2" x14ac:dyDescent="0.2">
      <c r="A18" s="151">
        <v>50000</v>
      </c>
      <c r="B18" s="170" t="s">
        <v>428</v>
      </c>
    </row>
    <row r="19" spans="1:2" x14ac:dyDescent="0.2">
      <c r="A19" s="151">
        <v>50000</v>
      </c>
      <c r="B19" s="170" t="s">
        <v>404</v>
      </c>
    </row>
    <row r="20" spans="1:2" x14ac:dyDescent="0.2">
      <c r="A20" s="151">
        <v>50000</v>
      </c>
      <c r="B20" s="170" t="s">
        <v>408</v>
      </c>
    </row>
    <row r="21" spans="1:2" x14ac:dyDescent="0.2">
      <c r="A21" s="151">
        <v>50000</v>
      </c>
      <c r="B21" s="170" t="s">
        <v>526</v>
      </c>
    </row>
    <row r="22" spans="1:2" x14ac:dyDescent="0.2">
      <c r="A22" s="151">
        <v>60000</v>
      </c>
      <c r="B22" s="170" t="s">
        <v>527</v>
      </c>
    </row>
    <row r="23" spans="1:2" x14ac:dyDescent="0.2">
      <c r="A23" s="151">
        <v>75000</v>
      </c>
      <c r="B23" s="170" t="s">
        <v>466</v>
      </c>
    </row>
    <row r="24" spans="1:2" x14ac:dyDescent="0.2">
      <c r="A24" s="151">
        <v>100000</v>
      </c>
      <c r="B24" s="170" t="s">
        <v>528</v>
      </c>
    </row>
    <row r="25" spans="1:2" x14ac:dyDescent="0.2">
      <c r="A25" s="151">
        <v>100000</v>
      </c>
      <c r="B25" s="170" t="s">
        <v>491</v>
      </c>
    </row>
    <row r="26" spans="1:2" x14ac:dyDescent="0.2">
      <c r="A26" s="151">
        <v>100000</v>
      </c>
      <c r="B26" s="170" t="s">
        <v>433</v>
      </c>
    </row>
    <row r="27" spans="1:2" x14ac:dyDescent="0.2">
      <c r="A27" s="151">
        <v>100000</v>
      </c>
      <c r="B27" s="170" t="s">
        <v>405</v>
      </c>
    </row>
    <row r="28" spans="1:2" x14ac:dyDescent="0.2">
      <c r="A28" s="151">
        <v>125000</v>
      </c>
      <c r="B28" s="170" t="s">
        <v>431</v>
      </c>
    </row>
    <row r="29" spans="1:2" x14ac:dyDescent="0.2">
      <c r="A29" s="151">
        <v>150000</v>
      </c>
      <c r="B29" s="170" t="s">
        <v>429</v>
      </c>
    </row>
    <row r="30" spans="1:2" x14ac:dyDescent="0.2">
      <c r="A30" s="151">
        <v>200000</v>
      </c>
      <c r="B30" s="170" t="s">
        <v>432</v>
      </c>
    </row>
    <row r="31" spans="1:2" x14ac:dyDescent="0.2">
      <c r="A31" s="151">
        <v>200000</v>
      </c>
      <c r="B31" s="170" t="s">
        <v>436</v>
      </c>
    </row>
    <row r="32" spans="1:2" x14ac:dyDescent="0.2">
      <c r="A32" s="151">
        <v>250000</v>
      </c>
      <c r="B32" s="170" t="s">
        <v>406</v>
      </c>
    </row>
    <row r="33" spans="1:10" x14ac:dyDescent="0.2">
      <c r="A33" s="152">
        <v>300000</v>
      </c>
      <c r="B33" s="170" t="s">
        <v>490</v>
      </c>
    </row>
    <row r="34" spans="1:10" x14ac:dyDescent="0.2">
      <c r="A34" s="152">
        <v>300000</v>
      </c>
      <c r="B34" s="170" t="s">
        <v>449</v>
      </c>
    </row>
    <row r="35" spans="1:10" x14ac:dyDescent="0.2">
      <c r="A35" s="154">
        <f>SUM(A4:A34)</f>
        <v>2590000</v>
      </c>
      <c r="B35" s="171"/>
    </row>
    <row r="36" spans="1:10" x14ac:dyDescent="0.2">
      <c r="A36" s="154"/>
      <c r="B36" s="171"/>
    </row>
    <row r="37" spans="1:10" x14ac:dyDescent="0.2">
      <c r="A37" s="154"/>
      <c r="B37" s="171"/>
    </row>
    <row r="38" spans="1:10" x14ac:dyDescent="0.2">
      <c r="A38" s="137" t="s">
        <v>50</v>
      </c>
      <c r="B38" s="172" t="s">
        <v>412</v>
      </c>
    </row>
    <row r="39" spans="1:10" x14ac:dyDescent="0.2">
      <c r="A39" s="139">
        <v>300000</v>
      </c>
      <c r="B39" s="171" t="s">
        <v>442</v>
      </c>
    </row>
    <row r="40" spans="1:10" x14ac:dyDescent="0.2">
      <c r="A40" s="154"/>
      <c r="B40" s="171"/>
    </row>
    <row r="41" spans="1:10" x14ac:dyDescent="0.2">
      <c r="A41" s="154"/>
      <c r="B41" s="171"/>
    </row>
    <row r="42" spans="1:10" x14ac:dyDescent="0.2">
      <c r="A42" s="154" t="s">
        <v>494</v>
      </c>
      <c r="B42" s="172" t="s">
        <v>412</v>
      </c>
    </row>
    <row r="43" spans="1:10" ht="25.5" x14ac:dyDescent="0.2">
      <c r="A43" s="152">
        <v>35000</v>
      </c>
      <c r="B43" s="170" t="s">
        <v>529</v>
      </c>
    </row>
    <row r="44" spans="1:10" ht="25.5" x14ac:dyDescent="0.2">
      <c r="A44" s="152">
        <v>50000</v>
      </c>
      <c r="B44" s="170" t="s">
        <v>478</v>
      </c>
    </row>
    <row r="45" spans="1:10" x14ac:dyDescent="0.2">
      <c r="A45" s="152">
        <v>100000</v>
      </c>
      <c r="B45" s="170" t="s">
        <v>479</v>
      </c>
    </row>
    <row r="46" spans="1:10" ht="25.5" x14ac:dyDescent="0.2">
      <c r="A46" s="152">
        <v>150000</v>
      </c>
      <c r="B46" s="170" t="s">
        <v>530</v>
      </c>
    </row>
    <row r="47" spans="1:10" customFormat="1" x14ac:dyDescent="0.2">
      <c r="A47" s="138">
        <v>250000</v>
      </c>
      <c r="B47" s="170" t="s">
        <v>440</v>
      </c>
      <c r="E47" s="144"/>
      <c r="J47" s="144"/>
    </row>
    <row r="48" spans="1:10" x14ac:dyDescent="0.2">
      <c r="A48" s="36">
        <f>SUM(A43:A47)</f>
        <v>585000</v>
      </c>
      <c r="B48" s="170"/>
      <c r="D48" s="161">
        <f>A48-200000</f>
        <v>385000</v>
      </c>
    </row>
    <row r="49" spans="1:10" x14ac:dyDescent="0.2">
      <c r="A49" s="152"/>
      <c r="B49" s="170"/>
    </row>
    <row r="50" spans="1:10" x14ac:dyDescent="0.2">
      <c r="A50" s="154"/>
      <c r="B50" s="171"/>
    </row>
    <row r="51" spans="1:10" x14ac:dyDescent="0.2">
      <c r="A51" s="155" t="s">
        <v>424</v>
      </c>
      <c r="B51" s="169" t="s">
        <v>412</v>
      </c>
    </row>
    <row r="52" spans="1:10" x14ac:dyDescent="0.2">
      <c r="A52" s="152">
        <v>250000</v>
      </c>
      <c r="B52" s="171" t="s">
        <v>413</v>
      </c>
    </row>
    <row r="53" spans="1:10" customFormat="1" x14ac:dyDescent="0.2">
      <c r="A53" s="136">
        <v>50000</v>
      </c>
      <c r="B53" s="171" t="s">
        <v>414</v>
      </c>
      <c r="E53" s="144"/>
      <c r="J53" s="144"/>
    </row>
    <row r="54" spans="1:10" ht="38.25" x14ac:dyDescent="0.2">
      <c r="A54" s="152">
        <v>50000</v>
      </c>
      <c r="B54" s="170" t="s">
        <v>483</v>
      </c>
    </row>
    <row r="55" spans="1:10" x14ac:dyDescent="0.2">
      <c r="A55" s="154">
        <f>SUM(A52:A54)</f>
        <v>350000</v>
      </c>
      <c r="B55" s="171"/>
    </row>
    <row r="56" spans="1:10" x14ac:dyDescent="0.2">
      <c r="A56" s="156"/>
    </row>
    <row r="57" spans="1:10" x14ac:dyDescent="0.2">
      <c r="A57" s="156"/>
    </row>
    <row r="58" spans="1:10" customFormat="1" x14ac:dyDescent="0.2">
      <c r="A58" s="137" t="s">
        <v>20</v>
      </c>
      <c r="B58" s="172" t="s">
        <v>412</v>
      </c>
      <c r="E58" s="144"/>
      <c r="J58" s="144"/>
    </row>
    <row r="59" spans="1:10" customFormat="1" x14ac:dyDescent="0.2">
      <c r="A59" s="139">
        <v>250000</v>
      </c>
      <c r="B59" s="171" t="s">
        <v>426</v>
      </c>
      <c r="E59" s="144"/>
      <c r="J59" s="144"/>
    </row>
    <row r="60" spans="1:10" customFormat="1" x14ac:dyDescent="0.2">
      <c r="A60" s="139"/>
      <c r="B60" s="171"/>
      <c r="E60" s="144"/>
      <c r="J60" s="144"/>
    </row>
    <row r="61" spans="1:10" customFormat="1" x14ac:dyDescent="0.2">
      <c r="A61" s="139"/>
      <c r="B61" s="171"/>
      <c r="E61" s="144"/>
      <c r="J61" s="144"/>
    </row>
    <row r="62" spans="1:10" x14ac:dyDescent="0.2">
      <c r="A62" s="155" t="s">
        <v>6</v>
      </c>
      <c r="B62" s="169" t="s">
        <v>412</v>
      </c>
    </row>
    <row r="63" spans="1:10" x14ac:dyDescent="0.2">
      <c r="A63" s="152">
        <v>150000</v>
      </c>
      <c r="B63" s="171" t="s">
        <v>468</v>
      </c>
    </row>
    <row r="64" spans="1:10" ht="89.25" x14ac:dyDescent="0.2">
      <c r="A64" s="152">
        <v>500000</v>
      </c>
      <c r="B64" s="171" t="s">
        <v>469</v>
      </c>
    </row>
    <row r="65" spans="1:10" x14ac:dyDescent="0.2">
      <c r="A65" s="154">
        <f>SUM(A63:A64)</f>
        <v>650000</v>
      </c>
      <c r="B65" s="171"/>
    </row>
    <row r="66" spans="1:10" x14ac:dyDescent="0.2">
      <c r="A66" s="156"/>
    </row>
    <row r="67" spans="1:10" x14ac:dyDescent="0.2">
      <c r="A67" s="156"/>
    </row>
    <row r="68" spans="1:10" customFormat="1" x14ac:dyDescent="0.2">
      <c r="A68" s="137" t="s">
        <v>69</v>
      </c>
      <c r="B68" s="173" t="s">
        <v>412</v>
      </c>
      <c r="E68" s="144"/>
      <c r="J68" s="144"/>
    </row>
    <row r="69" spans="1:10" customFormat="1" x14ac:dyDescent="0.2">
      <c r="A69" s="141">
        <v>100000</v>
      </c>
      <c r="B69" s="174" t="s">
        <v>418</v>
      </c>
      <c r="E69" s="144"/>
      <c r="J69" s="144"/>
    </row>
    <row r="70" spans="1:10" customFormat="1" x14ac:dyDescent="0.2">
      <c r="A70" s="135"/>
      <c r="B70" s="144"/>
      <c r="E70" s="144"/>
      <c r="J70" s="144"/>
    </row>
    <row r="71" spans="1:10" customFormat="1" x14ac:dyDescent="0.2">
      <c r="A71" s="135"/>
      <c r="B71" s="144"/>
      <c r="E71" s="144"/>
      <c r="J71" s="144"/>
    </row>
    <row r="72" spans="1:10" x14ac:dyDescent="0.2">
      <c r="A72" s="146" t="s">
        <v>172</v>
      </c>
      <c r="B72" s="172" t="s">
        <v>412</v>
      </c>
    </row>
    <row r="73" spans="1:10" x14ac:dyDescent="0.2">
      <c r="A73" s="147">
        <v>15000</v>
      </c>
      <c r="B73" s="170" t="s">
        <v>496</v>
      </c>
    </row>
    <row r="74" spans="1:10" x14ac:dyDescent="0.2">
      <c r="A74" s="145"/>
    </row>
    <row r="75" spans="1:10" x14ac:dyDescent="0.2">
      <c r="A75" s="145"/>
    </row>
    <row r="76" spans="1:10" customFormat="1" x14ac:dyDescent="0.2">
      <c r="A76" s="137" t="s">
        <v>235</v>
      </c>
      <c r="B76" s="172" t="s">
        <v>412</v>
      </c>
      <c r="E76" s="144"/>
      <c r="J76" s="144"/>
    </row>
    <row r="77" spans="1:10" customFormat="1" x14ac:dyDescent="0.2">
      <c r="A77" s="139">
        <v>200000</v>
      </c>
      <c r="B77" s="171" t="s">
        <v>443</v>
      </c>
      <c r="E77" s="144"/>
      <c r="J77" s="144"/>
    </row>
    <row r="78" spans="1:10" customFormat="1" x14ac:dyDescent="0.2">
      <c r="A78" s="149"/>
      <c r="B78" s="150"/>
      <c r="E78" s="144"/>
      <c r="J78" s="144"/>
    </row>
    <row r="79" spans="1:10" customFormat="1" x14ac:dyDescent="0.2">
      <c r="E79" s="144"/>
      <c r="J79" s="144"/>
    </row>
    <row r="80" spans="1:10" x14ac:dyDescent="0.2">
      <c r="A80" s="157" t="s">
        <v>30</v>
      </c>
      <c r="B80" s="172" t="s">
        <v>412</v>
      </c>
    </row>
    <row r="81" spans="1:10" x14ac:dyDescent="0.2">
      <c r="A81" s="158">
        <v>250000</v>
      </c>
      <c r="B81" s="170" t="s">
        <v>452</v>
      </c>
    </row>
    <row r="82" spans="1:10" x14ac:dyDescent="0.2">
      <c r="A82" s="158">
        <v>75000</v>
      </c>
      <c r="B82" s="170" t="s">
        <v>453</v>
      </c>
    </row>
    <row r="83" spans="1:10" x14ac:dyDescent="0.2">
      <c r="A83" s="158">
        <v>75000</v>
      </c>
      <c r="B83" s="170" t="s">
        <v>454</v>
      </c>
    </row>
    <row r="84" spans="1:10" x14ac:dyDescent="0.2">
      <c r="A84" s="36">
        <f>SUM(A81:A83)</f>
        <v>400000</v>
      </c>
      <c r="B84" s="171"/>
    </row>
    <row r="87" spans="1:10" x14ac:dyDescent="0.2">
      <c r="A87" s="157" t="s">
        <v>36</v>
      </c>
      <c r="B87" s="175" t="s">
        <v>412</v>
      </c>
    </row>
    <row r="88" spans="1:10" customFormat="1" ht="25.5" x14ac:dyDescent="0.2">
      <c r="A88" s="158">
        <v>15000</v>
      </c>
      <c r="B88" s="58" t="s">
        <v>477</v>
      </c>
      <c r="E88" s="144"/>
      <c r="J88" s="144"/>
    </row>
    <row r="89" spans="1:10" customFormat="1" x14ac:dyDescent="0.2">
      <c r="A89" s="140">
        <v>20000</v>
      </c>
      <c r="B89" s="176" t="s">
        <v>472</v>
      </c>
      <c r="E89" s="144"/>
      <c r="J89" s="144"/>
    </row>
    <row r="90" spans="1:10" customFormat="1" x14ac:dyDescent="0.2">
      <c r="A90" s="158">
        <v>20000</v>
      </c>
      <c r="B90" s="58" t="s">
        <v>471</v>
      </c>
      <c r="E90" s="144"/>
      <c r="J90" s="144"/>
    </row>
    <row r="91" spans="1:10" customFormat="1" x14ac:dyDescent="0.2">
      <c r="A91" s="140">
        <v>25000</v>
      </c>
      <c r="B91" s="177" t="s">
        <v>421</v>
      </c>
      <c r="E91" s="144"/>
      <c r="J91" s="144"/>
    </row>
    <row r="92" spans="1:10" customFormat="1" x14ac:dyDescent="0.2">
      <c r="A92" s="140">
        <v>25000</v>
      </c>
      <c r="B92" s="176" t="s">
        <v>497</v>
      </c>
      <c r="E92" s="144"/>
      <c r="J92" s="144"/>
    </row>
    <row r="93" spans="1:10" customFormat="1" x14ac:dyDescent="0.2">
      <c r="A93" s="158">
        <v>25000</v>
      </c>
      <c r="B93" s="58" t="s">
        <v>455</v>
      </c>
      <c r="E93" s="144"/>
      <c r="J93" s="144"/>
    </row>
    <row r="94" spans="1:10" x14ac:dyDescent="0.2">
      <c r="A94" s="151">
        <v>30000</v>
      </c>
      <c r="B94" s="178" t="s">
        <v>531</v>
      </c>
    </row>
    <row r="95" spans="1:10" ht="25.5" x14ac:dyDescent="0.2">
      <c r="A95" s="158">
        <v>50000</v>
      </c>
      <c r="B95" s="58" t="s">
        <v>498</v>
      </c>
    </row>
    <row r="96" spans="1:10" ht="25.5" x14ac:dyDescent="0.2">
      <c r="A96" s="158">
        <v>60000</v>
      </c>
      <c r="B96" s="58" t="s">
        <v>476</v>
      </c>
    </row>
    <row r="97" spans="1:7" x14ac:dyDescent="0.2">
      <c r="A97" s="140">
        <v>100000</v>
      </c>
      <c r="B97" s="179" t="s">
        <v>419</v>
      </c>
      <c r="D97" s="156"/>
      <c r="E97" s="156"/>
      <c r="F97" s="156"/>
      <c r="G97" s="156"/>
    </row>
    <row r="98" spans="1:7" ht="25.5" x14ac:dyDescent="0.2">
      <c r="A98" s="140">
        <v>100000</v>
      </c>
      <c r="B98" s="180" t="s">
        <v>420</v>
      </c>
      <c r="D98" s="156"/>
      <c r="E98" s="156"/>
      <c r="F98" s="156"/>
      <c r="G98" s="156"/>
    </row>
    <row r="99" spans="1:7" x14ac:dyDescent="0.2">
      <c r="A99" s="158">
        <v>100000</v>
      </c>
      <c r="B99" s="58" t="s">
        <v>456</v>
      </c>
      <c r="D99" s="156"/>
      <c r="E99" s="156"/>
      <c r="F99" s="156"/>
      <c r="G99" s="156"/>
    </row>
    <row r="100" spans="1:7" ht="38.25" x14ac:dyDescent="0.2">
      <c r="A100" s="158">
        <v>100000</v>
      </c>
      <c r="B100" s="58" t="s">
        <v>473</v>
      </c>
      <c r="D100" s="156"/>
      <c r="E100" s="156"/>
      <c r="F100" s="156"/>
      <c r="G100" s="156"/>
    </row>
    <row r="101" spans="1:7" ht="25.5" x14ac:dyDescent="0.2">
      <c r="A101" s="158">
        <v>100000</v>
      </c>
      <c r="B101" s="58" t="s">
        <v>474</v>
      </c>
      <c r="D101" s="156"/>
      <c r="E101" s="156"/>
      <c r="F101" s="156"/>
      <c r="G101" s="156"/>
    </row>
    <row r="102" spans="1:7" x14ac:dyDescent="0.2">
      <c r="A102" s="158">
        <v>200000</v>
      </c>
      <c r="B102" s="58" t="s">
        <v>422</v>
      </c>
      <c r="D102" s="156"/>
      <c r="E102" s="156"/>
      <c r="F102" s="156"/>
      <c r="G102" s="156"/>
    </row>
    <row r="103" spans="1:7" ht="51" x14ac:dyDescent="0.2">
      <c r="A103" s="158">
        <v>200000</v>
      </c>
      <c r="B103" s="58" t="s">
        <v>475</v>
      </c>
      <c r="D103" s="156"/>
      <c r="E103" s="156"/>
      <c r="F103" s="156"/>
      <c r="G103" s="156"/>
    </row>
    <row r="104" spans="1:7" x14ac:dyDescent="0.2">
      <c r="A104" s="36">
        <f>SUM(A88:A103)</f>
        <v>1170000</v>
      </c>
      <c r="B104" s="181"/>
      <c r="D104" s="156"/>
      <c r="E104" s="156"/>
      <c r="F104" s="156"/>
      <c r="G104" s="156"/>
    </row>
    <row r="105" spans="1:7" x14ac:dyDescent="0.2">
      <c r="D105" s="156"/>
      <c r="E105" s="156"/>
      <c r="F105" s="156"/>
      <c r="G105" s="156"/>
    </row>
    <row r="106" spans="1:7" x14ac:dyDescent="0.2">
      <c r="D106" s="156"/>
      <c r="E106" s="156"/>
      <c r="F106" s="156"/>
      <c r="G106" s="156"/>
    </row>
    <row r="107" spans="1:7" x14ac:dyDescent="0.2">
      <c r="D107" s="156"/>
      <c r="E107" s="156"/>
      <c r="F107" s="156"/>
      <c r="G107" s="156"/>
    </row>
  </sheetData>
  <sortState ref="A89:B108">
    <sortCondition ref="A89:A108"/>
  </sortState>
  <pageMargins left="0.25" right="0.25" top="0.75" bottom="0.75" header="0.3" footer="0.3"/>
  <pageSetup scale="95" fitToWidth="2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DESE-231-40058</_dlc_DocId>
    <_dlc_DocIdUrl xmlns="733efe1c-5bbe-4968-87dc-d400e65c879f">
      <Url>https://sharepoint.doemass.org/ese/webteam/cps/_layouts/DocIdRedir.aspx?ID=DESE-231-40058</Url>
      <Description>DESE-231-40058</Description>
    </_dlc_DocIdUrl>
  </documentManagement>
</p:properties>
</file>

<file path=customXml/itemProps1.xml><?xml version="1.0" encoding="utf-8"?>
<ds:datastoreItem xmlns:ds="http://schemas.openxmlformats.org/officeDocument/2006/customXml" ds:itemID="{8BD7E2D6-3DE8-46E9-BA38-C0DE85FD99D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06F16EB-E36A-4EF6-8A5B-9FE5F4851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66895D-0348-419E-8CB6-CB384B1A974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1E9BBE6-7C24-4F8E-9EA6-B61B14E09C5C}">
  <ds:schemaRefs>
    <ds:schemaRef ds:uri="http://schemas.openxmlformats.org/package/2006/metadata/core-properties"/>
    <ds:schemaRef ds:uri="http://purl.org/dc/dcmitype/"/>
    <ds:schemaRef ds:uri="733efe1c-5bbe-4968-87dc-d400e65c879f"/>
    <ds:schemaRef ds:uri="http://schemas.microsoft.com/office/2006/documentManagement/types"/>
    <ds:schemaRef ds:uri="0a4e05da-b9bc-4326-ad73-01ef31b95567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FY18 earmarks</vt:lpstr>
      <vt:lpstr>Summary!Print_Area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BESE Feb. 2018 Item 8 BOE's FY19 Maintenance Budgets and Expansion Budget Recommendations, January 2018</dc:title>
  <dc:creator>ESE</dc:creator>
  <cp:lastModifiedBy>dzou</cp:lastModifiedBy>
  <cp:lastPrinted>2018-02-20T19:54:45Z</cp:lastPrinted>
  <dcterms:created xsi:type="dcterms:W3CDTF">2003-04-23T14:43:01Z</dcterms:created>
  <dcterms:modified xsi:type="dcterms:W3CDTF">2018-02-20T20:15:27Z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Feb 20 2018</vt:lpwstr>
  </property>
</Properties>
</file>