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1965" windowWidth="15480" windowHeight="8850" tabRatio="702"/>
  </bookViews>
  <sheets>
    <sheet name="Sheet1" sheetId="5" r:id="rId1"/>
  </sheets>
  <definedNames>
    <definedName name="_xlnm.Print_Area" localSheetId="0">Sheet1!$A$1:$CN$52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CK25" i="5" l="1"/>
  <c r="CK9" i="5"/>
  <c r="CK51" i="5" s="1"/>
  <c r="BM32" i="5"/>
  <c r="CM10" i="5"/>
  <c r="CM11" i="5"/>
  <c r="CM12" i="5"/>
  <c r="CM13" i="5"/>
  <c r="CM14" i="5"/>
  <c r="CM15" i="5"/>
  <c r="CM16" i="5"/>
  <c r="CM17" i="5"/>
  <c r="CM18" i="5"/>
  <c r="CM19" i="5"/>
  <c r="CM20" i="5"/>
  <c r="CM21" i="5"/>
  <c r="CM22" i="5"/>
  <c r="CM23" i="5"/>
  <c r="CM24" i="5"/>
  <c r="CM25" i="5"/>
  <c r="CM26" i="5"/>
  <c r="CM27" i="5"/>
  <c r="CM28" i="5"/>
  <c r="CM29" i="5"/>
  <c r="CM30" i="5"/>
  <c r="CM31" i="5"/>
  <c r="CM32" i="5"/>
  <c r="CM33" i="5"/>
  <c r="CM34" i="5"/>
  <c r="CM35" i="5"/>
  <c r="CM36" i="5"/>
  <c r="CM37" i="5"/>
  <c r="CM38" i="5"/>
  <c r="CM39" i="5"/>
  <c r="CM40" i="5"/>
  <c r="CM41" i="5"/>
  <c r="CM42" i="5"/>
  <c r="CM43" i="5"/>
  <c r="CM44" i="5"/>
  <c r="CM45" i="5"/>
  <c r="CM46" i="5"/>
  <c r="CM47" i="5"/>
  <c r="CM48" i="5"/>
  <c r="CM49" i="5"/>
  <c r="CM50" i="5"/>
  <c r="CM9" i="5"/>
  <c r="CN10" i="5"/>
  <c r="CN11" i="5"/>
  <c r="CN12" i="5"/>
  <c r="CN13" i="5"/>
  <c r="CN14" i="5"/>
  <c r="CN15" i="5"/>
  <c r="CN16" i="5"/>
  <c r="CN17" i="5"/>
  <c r="CN18" i="5"/>
  <c r="CN19" i="5"/>
  <c r="CN20" i="5"/>
  <c r="CN21" i="5"/>
  <c r="CN22" i="5"/>
  <c r="CN23" i="5"/>
  <c r="CN24" i="5"/>
  <c r="CN25" i="5"/>
  <c r="CN26" i="5"/>
  <c r="CN27" i="5"/>
  <c r="CN28" i="5"/>
  <c r="CN29" i="5"/>
  <c r="CN30" i="5"/>
  <c r="CN31" i="5"/>
  <c r="CN32" i="5"/>
  <c r="CN33" i="5"/>
  <c r="CN34" i="5"/>
  <c r="CN35" i="5"/>
  <c r="CN36" i="5"/>
  <c r="CN37" i="5"/>
  <c r="CN38" i="5"/>
  <c r="CN39" i="5"/>
  <c r="CN40" i="5"/>
  <c r="CN41" i="5"/>
  <c r="CN42" i="5"/>
  <c r="CN43" i="5"/>
  <c r="CN44" i="5"/>
  <c r="CN45" i="5"/>
  <c r="CN46" i="5"/>
  <c r="CN47" i="5"/>
  <c r="CN48" i="5"/>
  <c r="CN49" i="5"/>
  <c r="CN50" i="5"/>
  <c r="CN9" i="5"/>
  <c r="CL33" i="5"/>
  <c r="CL43" i="5"/>
  <c r="CL50" i="5"/>
  <c r="CJ11" i="5"/>
  <c r="CJ12" i="5"/>
  <c r="CJ15" i="5"/>
  <c r="CJ16" i="5"/>
  <c r="CJ17" i="5"/>
  <c r="CJ21" i="5"/>
  <c r="CJ22" i="5"/>
  <c r="CJ23" i="5"/>
  <c r="CJ24" i="5"/>
  <c r="CJ25" i="5"/>
  <c r="CJ26" i="5"/>
  <c r="CJ28" i="5"/>
  <c r="CJ29" i="5"/>
  <c r="CJ31" i="5"/>
  <c r="CJ32" i="5"/>
  <c r="CJ33" i="5"/>
  <c r="CJ34" i="5"/>
  <c r="CJ35" i="5"/>
  <c r="CJ36" i="5"/>
  <c r="CJ38" i="5"/>
  <c r="CJ39" i="5"/>
  <c r="CJ40" i="5"/>
  <c r="CJ41" i="5"/>
  <c r="CJ43" i="5"/>
  <c r="CJ44" i="5"/>
  <c r="CJ45" i="5"/>
  <c r="CJ47" i="5"/>
  <c r="CJ48" i="5"/>
  <c r="CJ49" i="5"/>
  <c r="CJ50" i="5"/>
  <c r="CI10" i="5"/>
  <c r="CI11" i="5"/>
  <c r="CI12" i="5"/>
  <c r="CI13" i="5"/>
  <c r="CI18" i="5"/>
  <c r="CI20" i="5"/>
  <c r="CI22" i="5"/>
  <c r="CI23" i="5"/>
  <c r="CI26" i="5"/>
  <c r="CI27" i="5"/>
  <c r="CI28" i="5"/>
  <c r="CI30" i="5"/>
  <c r="CI38" i="5"/>
  <c r="CI39" i="5"/>
  <c r="CI41" i="5"/>
  <c r="CI42" i="5"/>
  <c r="CI43" i="5"/>
  <c r="CI44" i="5"/>
  <c r="CI46" i="5"/>
  <c r="CI47" i="5"/>
  <c r="CI50" i="5"/>
  <c r="CI9" i="5"/>
  <c r="CH10" i="5"/>
  <c r="CH51" i="5" s="1"/>
  <c r="CH11" i="5"/>
  <c r="CH12" i="5"/>
  <c r="CH13" i="5"/>
  <c r="CH14" i="5"/>
  <c r="CH15" i="5"/>
  <c r="CH16" i="5"/>
  <c r="CH17" i="5"/>
  <c r="CH18" i="5"/>
  <c r="CH19" i="5"/>
  <c r="CH20" i="5"/>
  <c r="CH21" i="5"/>
  <c r="CH22" i="5"/>
  <c r="CH23" i="5"/>
  <c r="CH24" i="5"/>
  <c r="CH25" i="5"/>
  <c r="CH26" i="5"/>
  <c r="CH27" i="5"/>
  <c r="CH28" i="5"/>
  <c r="CH29" i="5"/>
  <c r="CH30" i="5"/>
  <c r="CH31" i="5"/>
  <c r="CH32" i="5"/>
  <c r="CH33" i="5"/>
  <c r="CH34" i="5"/>
  <c r="CH35" i="5"/>
  <c r="CH36" i="5"/>
  <c r="CH37" i="5"/>
  <c r="CH38" i="5"/>
  <c r="CH39" i="5"/>
  <c r="CH40" i="5"/>
  <c r="CH41" i="5"/>
  <c r="CH42" i="5"/>
  <c r="CH43" i="5"/>
  <c r="CH44" i="5"/>
  <c r="CH45" i="5"/>
  <c r="CH46" i="5"/>
  <c r="CH47" i="5"/>
  <c r="CH48" i="5"/>
  <c r="CH49" i="5"/>
  <c r="CH50" i="5"/>
  <c r="CH9" i="5"/>
  <c r="CG33" i="5"/>
  <c r="CG43" i="5"/>
  <c r="CG50" i="5"/>
  <c r="CF51" i="5"/>
  <c r="BM19" i="5"/>
  <c r="CG19" i="5" s="1"/>
  <c r="CB50" i="5"/>
  <c r="CC50" i="5"/>
  <c r="CD50" i="5"/>
  <c r="CE50" i="5"/>
  <c r="AV51" i="5"/>
  <c r="AX51" i="5"/>
  <c r="BA51" i="5"/>
  <c r="BN51" i="5"/>
  <c r="BP51" i="5"/>
  <c r="BW51" i="5"/>
  <c r="CA9" i="5"/>
  <c r="CJ9" i="5" s="1"/>
  <c r="CA42" i="5"/>
  <c r="CJ42" i="5" s="1"/>
  <c r="CA13" i="5"/>
  <c r="CE13" i="5" s="1"/>
  <c r="CA10" i="5"/>
  <c r="CJ10" i="5" s="1"/>
  <c r="CE11" i="5"/>
  <c r="CE12" i="5"/>
  <c r="CE15" i="5"/>
  <c r="CE16" i="5"/>
  <c r="CE17" i="5"/>
  <c r="CE21" i="5"/>
  <c r="CE22" i="5"/>
  <c r="CE23" i="5"/>
  <c r="CE24" i="5"/>
  <c r="CE25" i="5"/>
  <c r="CE26" i="5"/>
  <c r="CE28" i="5"/>
  <c r="CE29" i="5"/>
  <c r="CE31" i="5"/>
  <c r="CE32" i="5"/>
  <c r="CE33" i="5"/>
  <c r="CE34" i="5"/>
  <c r="CE35" i="5"/>
  <c r="CE36" i="5"/>
  <c r="CE38" i="5"/>
  <c r="CE39" i="5"/>
  <c r="CE40" i="5"/>
  <c r="CE41" i="5"/>
  <c r="CE43" i="5"/>
  <c r="CE44" i="5"/>
  <c r="CE45" i="5"/>
  <c r="CE47" i="5"/>
  <c r="CE48" i="5"/>
  <c r="CE49" i="5"/>
  <c r="CA19" i="5"/>
  <c r="CJ19" i="5" s="1"/>
  <c r="CA20" i="5"/>
  <c r="CE20" i="5" s="1"/>
  <c r="CA27" i="5"/>
  <c r="CJ27" i="5" s="1"/>
  <c r="CA30" i="5"/>
  <c r="CE30" i="5" s="1"/>
  <c r="CA14" i="5"/>
  <c r="CE14" i="5" s="1"/>
  <c r="CA18" i="5"/>
  <c r="CE18" i="5" s="1"/>
  <c r="CA46" i="5"/>
  <c r="CE46" i="5" s="1"/>
  <c r="CA37" i="5"/>
  <c r="CJ37" i="5" s="1"/>
  <c r="CE9" i="5" l="1"/>
  <c r="CM51" i="5"/>
  <c r="CN51" i="5"/>
  <c r="CE42" i="5"/>
  <c r="CL19" i="5"/>
  <c r="CE10" i="5"/>
  <c r="CE37" i="5"/>
  <c r="CE27" i="5"/>
  <c r="CE19" i="5"/>
  <c r="CJ46" i="5"/>
  <c r="CJ30" i="5"/>
  <c r="CJ20" i="5"/>
  <c r="CJ18" i="5"/>
  <c r="CJ14" i="5"/>
  <c r="CA51" i="5"/>
  <c r="CJ13" i="5"/>
  <c r="CB19" i="5"/>
  <c r="CB33" i="5"/>
  <c r="CB43" i="5"/>
  <c r="CE51" i="5" l="1"/>
  <c r="CJ51" i="5"/>
  <c r="CD9" i="5"/>
  <c r="BZ9" i="5"/>
  <c r="CD10" i="5"/>
  <c r="CD11" i="5"/>
  <c r="CD12" i="5"/>
  <c r="CD13" i="5"/>
  <c r="CD18" i="5"/>
  <c r="CD20" i="5"/>
  <c r="CD22" i="5"/>
  <c r="CD23" i="5"/>
  <c r="CD26" i="5"/>
  <c r="CD27" i="5"/>
  <c r="CD28" i="5"/>
  <c r="CD30" i="5"/>
  <c r="CD38" i="5"/>
  <c r="CD39" i="5"/>
  <c r="CD41" i="5"/>
  <c r="CD42" i="5"/>
  <c r="CD43" i="5"/>
  <c r="CD44" i="5"/>
  <c r="CD46" i="5"/>
  <c r="CD47" i="5"/>
  <c r="CC10" i="5"/>
  <c r="CC11" i="5"/>
  <c r="CC12" i="5"/>
  <c r="CC13" i="5"/>
  <c r="CC14" i="5"/>
  <c r="CC15" i="5"/>
  <c r="CC16" i="5"/>
  <c r="CC17" i="5"/>
  <c r="CC18" i="5"/>
  <c r="CC19" i="5"/>
  <c r="CC20" i="5"/>
  <c r="CC21" i="5"/>
  <c r="CC22" i="5"/>
  <c r="CC23" i="5"/>
  <c r="CC24" i="5"/>
  <c r="CC25" i="5"/>
  <c r="CC26" i="5"/>
  <c r="CC27" i="5"/>
  <c r="CC28" i="5"/>
  <c r="CC29" i="5"/>
  <c r="CC30" i="5"/>
  <c r="CC31" i="5"/>
  <c r="CC32" i="5"/>
  <c r="CC33" i="5"/>
  <c r="CC34" i="5"/>
  <c r="CC35" i="5"/>
  <c r="CC36" i="5"/>
  <c r="CC37" i="5"/>
  <c r="CC38" i="5"/>
  <c r="CC39" i="5"/>
  <c r="CC40" i="5"/>
  <c r="CC41" i="5"/>
  <c r="CC42" i="5"/>
  <c r="CC43" i="5"/>
  <c r="CC44" i="5"/>
  <c r="CC45" i="5"/>
  <c r="CC46" i="5"/>
  <c r="CC47" i="5"/>
  <c r="CC48" i="5"/>
  <c r="CC49" i="5"/>
  <c r="CC9" i="5"/>
  <c r="BZ10" i="5"/>
  <c r="BZ11" i="5"/>
  <c r="BZ12" i="5"/>
  <c r="BZ13" i="5"/>
  <c r="BZ18" i="5"/>
  <c r="BZ20" i="5"/>
  <c r="BZ22" i="5"/>
  <c r="BZ23" i="5"/>
  <c r="BZ26" i="5"/>
  <c r="BZ27" i="5"/>
  <c r="BZ28" i="5"/>
  <c r="BZ30" i="5"/>
  <c r="BZ38" i="5"/>
  <c r="BZ39" i="5"/>
  <c r="BZ41" i="5"/>
  <c r="BZ42" i="5"/>
  <c r="BZ43" i="5"/>
  <c r="BZ44" i="5"/>
  <c r="BZ46" i="5"/>
  <c r="BZ47" i="5"/>
  <c r="BY10" i="5"/>
  <c r="BY11" i="5"/>
  <c r="BY12" i="5"/>
  <c r="BY13" i="5"/>
  <c r="BY14" i="5"/>
  <c r="BY15" i="5"/>
  <c r="BY16" i="5"/>
  <c r="BY17" i="5"/>
  <c r="BY18" i="5"/>
  <c r="BY19" i="5"/>
  <c r="BY20" i="5"/>
  <c r="BY21" i="5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37" i="5"/>
  <c r="BY38" i="5"/>
  <c r="BY39" i="5"/>
  <c r="BY40" i="5"/>
  <c r="BY41" i="5"/>
  <c r="BY42" i="5"/>
  <c r="BY43" i="5"/>
  <c r="BY44" i="5"/>
  <c r="BY45" i="5"/>
  <c r="BY46" i="5"/>
  <c r="BY47" i="5"/>
  <c r="BY48" i="5"/>
  <c r="BY49" i="5"/>
  <c r="BY9" i="5"/>
  <c r="BX19" i="5"/>
  <c r="BX33" i="5"/>
  <c r="BX43" i="5"/>
  <c r="BV10" i="5"/>
  <c r="BV11" i="5"/>
  <c r="BV12" i="5"/>
  <c r="BV13" i="5"/>
  <c r="BV18" i="5"/>
  <c r="BV20" i="5"/>
  <c r="BV22" i="5"/>
  <c r="BV23" i="5"/>
  <c r="BV26" i="5"/>
  <c r="BV27" i="5"/>
  <c r="BV28" i="5"/>
  <c r="BV30" i="5"/>
  <c r="BV38" i="5"/>
  <c r="BV39" i="5"/>
  <c r="BV41" i="5"/>
  <c r="BV42" i="5"/>
  <c r="BV43" i="5"/>
  <c r="BV44" i="5"/>
  <c r="BV46" i="5"/>
  <c r="BV47" i="5"/>
  <c r="BV9" i="5"/>
  <c r="BS49" i="5"/>
  <c r="CI49" i="5" s="1"/>
  <c r="BS48" i="5"/>
  <c r="CI48" i="5" s="1"/>
  <c r="BS45" i="5"/>
  <c r="CI45" i="5" s="1"/>
  <c r="BS40" i="5"/>
  <c r="CI40" i="5" s="1"/>
  <c r="BS32" i="5"/>
  <c r="CI32" i="5" s="1"/>
  <c r="BS33" i="5"/>
  <c r="CI33" i="5" s="1"/>
  <c r="BS34" i="5"/>
  <c r="CI34" i="5" s="1"/>
  <c r="BS35" i="5"/>
  <c r="CI35" i="5" s="1"/>
  <c r="BS36" i="5"/>
  <c r="CI36" i="5" s="1"/>
  <c r="BS37" i="5"/>
  <c r="CI37" i="5" s="1"/>
  <c r="BS31" i="5"/>
  <c r="CI31" i="5" s="1"/>
  <c r="BS29" i="5"/>
  <c r="CI29" i="5" s="1"/>
  <c r="BS25" i="5"/>
  <c r="CI25" i="5" s="1"/>
  <c r="BS24" i="5"/>
  <c r="CI24" i="5" s="1"/>
  <c r="BS21" i="5"/>
  <c r="CI21" i="5" s="1"/>
  <c r="BS19" i="5"/>
  <c r="CI19" i="5" s="1"/>
  <c r="BS15" i="5"/>
  <c r="CI15" i="5" s="1"/>
  <c r="BS16" i="5"/>
  <c r="CI16" i="5" s="1"/>
  <c r="BS17" i="5"/>
  <c r="CI17" i="5" s="1"/>
  <c r="BS14" i="5"/>
  <c r="BT43" i="5"/>
  <c r="BU43" i="5"/>
  <c r="BU10" i="5"/>
  <c r="BU11" i="5"/>
  <c r="BU12" i="5"/>
  <c r="BU13" i="5"/>
  <c r="BU17" i="5"/>
  <c r="BU18" i="5"/>
  <c r="BU20" i="5"/>
  <c r="BU22" i="5"/>
  <c r="BU23" i="5"/>
  <c r="BU26" i="5"/>
  <c r="BU27" i="5"/>
  <c r="BU28" i="5"/>
  <c r="BU29" i="5"/>
  <c r="BU30" i="5"/>
  <c r="BU31" i="5"/>
  <c r="BU32" i="5"/>
  <c r="BU34" i="5"/>
  <c r="BU35" i="5"/>
  <c r="BU36" i="5"/>
  <c r="BU37" i="5"/>
  <c r="BU38" i="5"/>
  <c r="BU39" i="5"/>
  <c r="BU41" i="5"/>
  <c r="BU42" i="5"/>
  <c r="BU44" i="5"/>
  <c r="BU45" i="5"/>
  <c r="BU46" i="5"/>
  <c r="BU47" i="5"/>
  <c r="BU9" i="5"/>
  <c r="BR10" i="5"/>
  <c r="BR11" i="5"/>
  <c r="BR12" i="5"/>
  <c r="BR13" i="5"/>
  <c r="BR14" i="5"/>
  <c r="BR15" i="5"/>
  <c r="BR16" i="5"/>
  <c r="BR17" i="5"/>
  <c r="BR18" i="5"/>
  <c r="BR19" i="5"/>
  <c r="BR20" i="5"/>
  <c r="BR21" i="5"/>
  <c r="BR22" i="5"/>
  <c r="BR23" i="5"/>
  <c r="BR24" i="5"/>
  <c r="BR25" i="5"/>
  <c r="BR26" i="5"/>
  <c r="BR27" i="5"/>
  <c r="BR28" i="5"/>
  <c r="BR29" i="5"/>
  <c r="BR30" i="5"/>
  <c r="BR31" i="5"/>
  <c r="BR32" i="5"/>
  <c r="BR33" i="5"/>
  <c r="BR34" i="5"/>
  <c r="BR35" i="5"/>
  <c r="BR36" i="5"/>
  <c r="BR37" i="5"/>
  <c r="BR38" i="5"/>
  <c r="BR39" i="5"/>
  <c r="BR40" i="5"/>
  <c r="BR41" i="5"/>
  <c r="BR42" i="5"/>
  <c r="BR44" i="5"/>
  <c r="BR45" i="5"/>
  <c r="BR46" i="5"/>
  <c r="BR47" i="5"/>
  <c r="BR48" i="5"/>
  <c r="BR49" i="5"/>
  <c r="BR9" i="5"/>
  <c r="BQ33" i="5"/>
  <c r="BO33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4" i="5"/>
  <c r="Y35" i="5"/>
  <c r="Y36" i="5"/>
  <c r="Y37" i="5"/>
  <c r="Y38" i="5"/>
  <c r="Y39" i="5"/>
  <c r="Y40" i="5"/>
  <c r="Y41" i="5"/>
  <c r="Y42" i="5"/>
  <c r="Y44" i="5"/>
  <c r="Y45" i="5"/>
  <c r="Y46" i="5"/>
  <c r="Y47" i="5"/>
  <c r="Y49" i="5"/>
  <c r="Y9" i="5"/>
  <c r="BL35" i="5"/>
  <c r="BM35" i="5" s="1"/>
  <c r="BL28" i="5"/>
  <c r="BM28" i="5" s="1"/>
  <c r="CL28" i="5" s="1"/>
  <c r="BL15" i="5"/>
  <c r="BM10" i="5"/>
  <c r="CL10" i="5" s="1"/>
  <c r="BM11" i="5"/>
  <c r="CL11" i="5" s="1"/>
  <c r="BM12" i="5"/>
  <c r="CL12" i="5" s="1"/>
  <c r="BM13" i="5"/>
  <c r="CL13" i="5" s="1"/>
  <c r="BM16" i="5"/>
  <c r="CL16" i="5" s="1"/>
  <c r="BM17" i="5"/>
  <c r="CL17" i="5" s="1"/>
  <c r="BM18" i="5"/>
  <c r="CL18" i="5" s="1"/>
  <c r="BO19" i="5"/>
  <c r="BM21" i="5"/>
  <c r="CL21" i="5" s="1"/>
  <c r="BM22" i="5"/>
  <c r="BM23" i="5"/>
  <c r="CL23" i="5" s="1"/>
  <c r="BM24" i="5"/>
  <c r="CL24" i="5" s="1"/>
  <c r="BM25" i="5"/>
  <c r="CL25" i="5" s="1"/>
  <c r="BM26" i="5"/>
  <c r="CL26" i="5" s="1"/>
  <c r="BM27" i="5"/>
  <c r="CL27" i="5" s="1"/>
  <c r="BM29" i="5"/>
  <c r="CL29" i="5" s="1"/>
  <c r="BM30" i="5"/>
  <c r="CL30" i="5" s="1"/>
  <c r="BM31" i="5"/>
  <c r="CL31" i="5" s="1"/>
  <c r="CL32" i="5"/>
  <c r="BM34" i="5"/>
  <c r="CL34" i="5" s="1"/>
  <c r="BM36" i="5"/>
  <c r="CL36" i="5" s="1"/>
  <c r="BM37" i="5"/>
  <c r="BM38" i="5"/>
  <c r="CL38" i="5" s="1"/>
  <c r="BM39" i="5"/>
  <c r="BM40" i="5"/>
  <c r="CL40" i="5" s="1"/>
  <c r="BM41" i="5"/>
  <c r="BM42" i="5"/>
  <c r="CL42" i="5" s="1"/>
  <c r="BM44" i="5"/>
  <c r="CL44" i="5" s="1"/>
  <c r="BM45" i="5"/>
  <c r="CL45" i="5" s="1"/>
  <c r="BM46" i="5"/>
  <c r="CL46" i="5" s="1"/>
  <c r="BM47" i="5"/>
  <c r="CL47" i="5" s="1"/>
  <c r="BM48" i="5"/>
  <c r="CL48" i="5" s="1"/>
  <c r="BM49" i="5"/>
  <c r="CL49" i="5" s="1"/>
  <c r="BM9" i="5"/>
  <c r="CL9" i="5" s="1"/>
  <c r="BK27" i="5"/>
  <c r="BJ27" i="5"/>
  <c r="BI27" i="5"/>
  <c r="BG20" i="5"/>
  <c r="BG14" i="5"/>
  <c r="BK49" i="5"/>
  <c r="BK48" i="5"/>
  <c r="BK47" i="5"/>
  <c r="BK46" i="5"/>
  <c r="BK45" i="5"/>
  <c r="BK44" i="5"/>
  <c r="BK42" i="5"/>
  <c r="BK41" i="5"/>
  <c r="BK40" i="5"/>
  <c r="BK38" i="5"/>
  <c r="BK37" i="5"/>
  <c r="BK36" i="5"/>
  <c r="BK35" i="5"/>
  <c r="BK34" i="5"/>
  <c r="BK32" i="5"/>
  <c r="BK31" i="5"/>
  <c r="BK30" i="5"/>
  <c r="BK29" i="5"/>
  <c r="BK28" i="5"/>
  <c r="BK26" i="5"/>
  <c r="BK25" i="5"/>
  <c r="BK24" i="5"/>
  <c r="BK23" i="5"/>
  <c r="BK22" i="5"/>
  <c r="BK21" i="5"/>
  <c r="BK19" i="5"/>
  <c r="BK18" i="5"/>
  <c r="BK17" i="5"/>
  <c r="BK16" i="5"/>
  <c r="BK15" i="5"/>
  <c r="BK12" i="5"/>
  <c r="BK11" i="5"/>
  <c r="BK9" i="5"/>
  <c r="BJ49" i="5"/>
  <c r="BJ48" i="5"/>
  <c r="BJ47" i="5"/>
  <c r="BJ46" i="5"/>
  <c r="BJ45" i="5"/>
  <c r="BJ44" i="5"/>
  <c r="BJ42" i="5"/>
  <c r="BJ41" i="5"/>
  <c r="BJ40" i="5"/>
  <c r="BJ39" i="5"/>
  <c r="BJ38" i="5"/>
  <c r="BJ37" i="5"/>
  <c r="BJ36" i="5"/>
  <c r="BJ35" i="5"/>
  <c r="BJ34" i="5"/>
  <c r="BJ32" i="5"/>
  <c r="BJ31" i="5"/>
  <c r="BJ30" i="5"/>
  <c r="BJ29" i="5"/>
  <c r="BJ28" i="5"/>
  <c r="BJ26" i="5"/>
  <c r="BJ25" i="5"/>
  <c r="BJ24" i="5"/>
  <c r="BJ23" i="5"/>
  <c r="BJ22" i="5"/>
  <c r="BJ21" i="5"/>
  <c r="BJ19" i="5"/>
  <c r="BJ18" i="5"/>
  <c r="BJ17" i="5"/>
  <c r="BJ16" i="5"/>
  <c r="BJ15" i="5"/>
  <c r="BJ13" i="5"/>
  <c r="BJ12" i="5"/>
  <c r="BJ11" i="5"/>
  <c r="BJ10" i="5"/>
  <c r="BJ9" i="5"/>
  <c r="BI49" i="5"/>
  <c r="BI48" i="5"/>
  <c r="BI47" i="5"/>
  <c r="BI46" i="5"/>
  <c r="BI45" i="5"/>
  <c r="BI44" i="5"/>
  <c r="BI42" i="5"/>
  <c r="BI41" i="5"/>
  <c r="BI40" i="5"/>
  <c r="BI39" i="5"/>
  <c r="BI38" i="5"/>
  <c r="BI37" i="5"/>
  <c r="BI36" i="5"/>
  <c r="BI35" i="5"/>
  <c r="BI34" i="5"/>
  <c r="BI32" i="5"/>
  <c r="BI31" i="5"/>
  <c r="BI30" i="5"/>
  <c r="BI29" i="5"/>
  <c r="BI28" i="5"/>
  <c r="BI26" i="5"/>
  <c r="BI25" i="5"/>
  <c r="BI24" i="5"/>
  <c r="BI23" i="5"/>
  <c r="BI22" i="5"/>
  <c r="BI21" i="5"/>
  <c r="BI19" i="5"/>
  <c r="BI18" i="5"/>
  <c r="BI17" i="5"/>
  <c r="BI16" i="5"/>
  <c r="BI15" i="5"/>
  <c r="BI13" i="5"/>
  <c r="BI12" i="5"/>
  <c r="BI11" i="5"/>
  <c r="BI10" i="5"/>
  <c r="BI9" i="5"/>
  <c r="BF20" i="5"/>
  <c r="BH20" i="5" s="1"/>
  <c r="BF14" i="5"/>
  <c r="BI14" i="5" s="1"/>
  <c r="BE10" i="5"/>
  <c r="BE39" i="5"/>
  <c r="BK39" i="5" s="1"/>
  <c r="BE13" i="5"/>
  <c r="BK13" i="5" s="1"/>
  <c r="BE14" i="5"/>
  <c r="BE20" i="5"/>
  <c r="AT51" i="5"/>
  <c r="AU10" i="5"/>
  <c r="BH10" i="5" s="1"/>
  <c r="AU11" i="5"/>
  <c r="BH11" i="5" s="1"/>
  <c r="AU12" i="5"/>
  <c r="BH12" i="5" s="1"/>
  <c r="AU13" i="5"/>
  <c r="BH13" i="5" s="1"/>
  <c r="AU14" i="5"/>
  <c r="AU15" i="5"/>
  <c r="BH15" i="5" s="1"/>
  <c r="AU16" i="5"/>
  <c r="BH16" i="5" s="1"/>
  <c r="AU17" i="5"/>
  <c r="BH17" i="5" s="1"/>
  <c r="AU18" i="5"/>
  <c r="BH18" i="5" s="1"/>
  <c r="AU19" i="5"/>
  <c r="BH19" i="5" s="1"/>
  <c r="AU20" i="5"/>
  <c r="AU21" i="5"/>
  <c r="BH21" i="5" s="1"/>
  <c r="AU22" i="5"/>
  <c r="BH22" i="5" s="1"/>
  <c r="AU23" i="5"/>
  <c r="AU24" i="5"/>
  <c r="BH24" i="5" s="1"/>
  <c r="AU25" i="5"/>
  <c r="BH25" i="5" s="1"/>
  <c r="AU26" i="5"/>
  <c r="BH26" i="5" s="1"/>
  <c r="AU27" i="5"/>
  <c r="BH27" i="5" s="1"/>
  <c r="AU28" i="5"/>
  <c r="BH28" i="5" s="1"/>
  <c r="AU29" i="5"/>
  <c r="BH29" i="5" s="1"/>
  <c r="AU30" i="5"/>
  <c r="BH30" i="5" s="1"/>
  <c r="AU31" i="5"/>
  <c r="BH31" i="5" s="1"/>
  <c r="AU32" i="5"/>
  <c r="BH32" i="5" s="1"/>
  <c r="AU34" i="5"/>
  <c r="BH34" i="5" s="1"/>
  <c r="AU35" i="5"/>
  <c r="BH35" i="5" s="1"/>
  <c r="AU36" i="5"/>
  <c r="BH36" i="5" s="1"/>
  <c r="AU37" i="5"/>
  <c r="BH37" i="5" s="1"/>
  <c r="AU38" i="5"/>
  <c r="BH38" i="5" s="1"/>
  <c r="AU39" i="5"/>
  <c r="BH39" i="5" s="1"/>
  <c r="AU40" i="5"/>
  <c r="BH40" i="5" s="1"/>
  <c r="AU41" i="5"/>
  <c r="BH41" i="5" s="1"/>
  <c r="AU42" i="5"/>
  <c r="BH42" i="5" s="1"/>
  <c r="AU44" i="5"/>
  <c r="BH44" i="5" s="1"/>
  <c r="AU45" i="5"/>
  <c r="BH45" i="5" s="1"/>
  <c r="AU46" i="5"/>
  <c r="BH46" i="5" s="1"/>
  <c r="AU47" i="5"/>
  <c r="BH47" i="5" s="1"/>
  <c r="AU48" i="5"/>
  <c r="BH48" i="5" s="1"/>
  <c r="AU49" i="5"/>
  <c r="BH49" i="5" s="1"/>
  <c r="AU9" i="5"/>
  <c r="BH9" i="5" s="1"/>
  <c r="BD10" i="5"/>
  <c r="BD11" i="5"/>
  <c r="BD12" i="5"/>
  <c r="BD13" i="5"/>
  <c r="BD14" i="5"/>
  <c r="BD15" i="5"/>
  <c r="BD16" i="5"/>
  <c r="BD17" i="5"/>
  <c r="BD18" i="5"/>
  <c r="BD19" i="5"/>
  <c r="BD20" i="5"/>
  <c r="BD21" i="5"/>
  <c r="BD22" i="5"/>
  <c r="BD23" i="5"/>
  <c r="BD24" i="5"/>
  <c r="BD25" i="5"/>
  <c r="BD26" i="5"/>
  <c r="BD27" i="5"/>
  <c r="BD28" i="5"/>
  <c r="BD29" i="5"/>
  <c r="BD30" i="5"/>
  <c r="BD31" i="5"/>
  <c r="BD32" i="5"/>
  <c r="BD34" i="5"/>
  <c r="BD35" i="5"/>
  <c r="BD36" i="5"/>
  <c r="BD37" i="5"/>
  <c r="BD38" i="5"/>
  <c r="BD39" i="5"/>
  <c r="BD40" i="5"/>
  <c r="BD41" i="5"/>
  <c r="BD42" i="5"/>
  <c r="BD44" i="5"/>
  <c r="BD45" i="5"/>
  <c r="BD46" i="5"/>
  <c r="BD47" i="5"/>
  <c r="BD48" i="5"/>
  <c r="BD49" i="5"/>
  <c r="BD9" i="5"/>
  <c r="BC10" i="5"/>
  <c r="BC11" i="5"/>
  <c r="BC12" i="5"/>
  <c r="BC13" i="5"/>
  <c r="BC14" i="5"/>
  <c r="BC15" i="5"/>
  <c r="BC16" i="5"/>
  <c r="BC17" i="5"/>
  <c r="BC18" i="5"/>
  <c r="BC19" i="5"/>
  <c r="BC20" i="5"/>
  <c r="BC21" i="5"/>
  <c r="BC22" i="5"/>
  <c r="BC23" i="5"/>
  <c r="BC24" i="5"/>
  <c r="BC25" i="5"/>
  <c r="BC26" i="5"/>
  <c r="BC27" i="5"/>
  <c r="BC28" i="5"/>
  <c r="BC29" i="5"/>
  <c r="BC30" i="5"/>
  <c r="BC31" i="5"/>
  <c r="BC32" i="5"/>
  <c r="BC34" i="5"/>
  <c r="BC35" i="5"/>
  <c r="BC36" i="5"/>
  <c r="BC37" i="5"/>
  <c r="BC38" i="5"/>
  <c r="BC39" i="5"/>
  <c r="BC40" i="5"/>
  <c r="BC41" i="5"/>
  <c r="BC42" i="5"/>
  <c r="BC44" i="5"/>
  <c r="BC45" i="5"/>
  <c r="BC46" i="5"/>
  <c r="BC47" i="5"/>
  <c r="BC48" i="5"/>
  <c r="BC49" i="5"/>
  <c r="BC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4" i="5"/>
  <c r="BB35" i="5"/>
  <c r="BB36" i="5"/>
  <c r="BB37" i="5"/>
  <c r="BB38" i="5"/>
  <c r="BB39" i="5"/>
  <c r="BB40" i="5"/>
  <c r="BB41" i="5"/>
  <c r="BB42" i="5"/>
  <c r="BB44" i="5"/>
  <c r="BB45" i="5"/>
  <c r="BB46" i="5"/>
  <c r="BB47" i="5"/>
  <c r="BB48" i="5"/>
  <c r="BB49" i="5"/>
  <c r="BB9" i="5"/>
  <c r="AY11" i="5"/>
  <c r="AZ11" i="5"/>
  <c r="AY12" i="5"/>
  <c r="AZ12" i="5"/>
  <c r="AY13" i="5"/>
  <c r="AZ13" i="5"/>
  <c r="AY14" i="5"/>
  <c r="AZ14" i="5"/>
  <c r="AY15" i="5"/>
  <c r="AZ15" i="5"/>
  <c r="AY16" i="5"/>
  <c r="AZ16" i="5"/>
  <c r="AY17" i="5"/>
  <c r="AZ17" i="5"/>
  <c r="AY18" i="5"/>
  <c r="AZ18" i="5"/>
  <c r="AY19" i="5"/>
  <c r="AZ19" i="5"/>
  <c r="AY20" i="5"/>
  <c r="AZ20" i="5"/>
  <c r="AY21" i="5"/>
  <c r="AZ21" i="5"/>
  <c r="AY22" i="5"/>
  <c r="AZ22" i="5"/>
  <c r="AY23" i="5"/>
  <c r="AZ23" i="5"/>
  <c r="AY24" i="5"/>
  <c r="AZ24" i="5"/>
  <c r="AY25" i="5"/>
  <c r="AZ25" i="5"/>
  <c r="AY26" i="5"/>
  <c r="AZ26" i="5"/>
  <c r="AY27" i="5"/>
  <c r="AZ27" i="5"/>
  <c r="AY28" i="5"/>
  <c r="AZ28" i="5"/>
  <c r="AY29" i="5"/>
  <c r="AZ29" i="5"/>
  <c r="AY30" i="5"/>
  <c r="AZ30" i="5"/>
  <c r="AY31" i="5"/>
  <c r="AZ31" i="5"/>
  <c r="AY32" i="5"/>
  <c r="AZ32" i="5"/>
  <c r="AY34" i="5"/>
  <c r="AZ34" i="5"/>
  <c r="AY35" i="5"/>
  <c r="AZ35" i="5"/>
  <c r="AY36" i="5"/>
  <c r="AZ36" i="5"/>
  <c r="AY37" i="5"/>
  <c r="AZ37" i="5"/>
  <c r="AY38" i="5"/>
  <c r="AZ38" i="5"/>
  <c r="AY39" i="5"/>
  <c r="AZ39" i="5"/>
  <c r="AY40" i="5"/>
  <c r="AZ40" i="5"/>
  <c r="AY41" i="5"/>
  <c r="AZ41" i="5"/>
  <c r="AY42" i="5"/>
  <c r="AZ42" i="5"/>
  <c r="AY44" i="5"/>
  <c r="AZ44" i="5"/>
  <c r="AY45" i="5"/>
  <c r="AZ45" i="5"/>
  <c r="AY46" i="5"/>
  <c r="AZ46" i="5"/>
  <c r="AY47" i="5"/>
  <c r="AZ47" i="5"/>
  <c r="AY48" i="5"/>
  <c r="AZ48" i="5"/>
  <c r="AY9" i="5"/>
  <c r="AZ10" i="5"/>
  <c r="AZ49" i="5"/>
  <c r="AZ9" i="5"/>
  <c r="AY10" i="5"/>
  <c r="AY49" i="5"/>
  <c r="AW22" i="5"/>
  <c r="AS22" i="5"/>
  <c r="AA22" i="5"/>
  <c r="AW10" i="5"/>
  <c r="AW11" i="5"/>
  <c r="AW12" i="5"/>
  <c r="AW13" i="5"/>
  <c r="AW14" i="5"/>
  <c r="AW15" i="5"/>
  <c r="AW16" i="5"/>
  <c r="AW17" i="5"/>
  <c r="AW18" i="5"/>
  <c r="AW20" i="5"/>
  <c r="AW21" i="5"/>
  <c r="AW23" i="5"/>
  <c r="AW24" i="5"/>
  <c r="AW25" i="5"/>
  <c r="AW26" i="5"/>
  <c r="AW27" i="5"/>
  <c r="AW28" i="5"/>
  <c r="AW29" i="5"/>
  <c r="AW30" i="5"/>
  <c r="AW32" i="5"/>
  <c r="AW34" i="5"/>
  <c r="AW35" i="5"/>
  <c r="AW36" i="5"/>
  <c r="AW37" i="5"/>
  <c r="AW38" i="5"/>
  <c r="AW39" i="5"/>
  <c r="AW40" i="5"/>
  <c r="AW41" i="5"/>
  <c r="AW42" i="5"/>
  <c r="AW44" i="5"/>
  <c r="AW45" i="5"/>
  <c r="AW46" i="5"/>
  <c r="AW47" i="5"/>
  <c r="AW48" i="5"/>
  <c r="AW49" i="5"/>
  <c r="AW9" i="5"/>
  <c r="X51" i="5"/>
  <c r="AP51" i="5"/>
  <c r="AS49" i="5"/>
  <c r="AS47" i="5"/>
  <c r="AS46" i="5"/>
  <c r="AS45" i="5"/>
  <c r="AS44" i="5"/>
  <c r="AS42" i="5"/>
  <c r="AS41" i="5"/>
  <c r="AS40" i="5"/>
  <c r="AS39" i="5"/>
  <c r="AS38" i="5"/>
  <c r="AS37" i="5"/>
  <c r="AS36" i="5"/>
  <c r="AS35" i="5"/>
  <c r="AS34" i="5"/>
  <c r="AS32" i="5"/>
  <c r="AS30" i="5"/>
  <c r="AS29" i="5"/>
  <c r="AS28" i="5"/>
  <c r="AS27" i="5"/>
  <c r="AS26" i="5"/>
  <c r="AS25" i="5"/>
  <c r="AS24" i="5"/>
  <c r="AS23" i="5"/>
  <c r="AS21" i="5"/>
  <c r="AS20" i="5"/>
  <c r="AS18" i="5"/>
  <c r="AS17" i="5"/>
  <c r="AS16" i="5"/>
  <c r="AS15" i="5"/>
  <c r="AS14" i="5"/>
  <c r="AS13" i="5"/>
  <c r="AS12" i="5"/>
  <c r="AS11" i="5"/>
  <c r="AS10" i="5"/>
  <c r="AS9" i="5"/>
  <c r="AR49" i="5"/>
  <c r="AR48" i="5"/>
  <c r="AR47" i="5"/>
  <c r="AR46" i="5"/>
  <c r="AR45" i="5"/>
  <c r="AR44" i="5"/>
  <c r="AR42" i="5"/>
  <c r="AR41" i="5"/>
  <c r="AR40" i="5"/>
  <c r="AR39" i="5"/>
  <c r="AR38" i="5"/>
  <c r="AR37" i="5"/>
  <c r="AR36" i="5"/>
  <c r="AR35" i="5"/>
  <c r="AR34" i="5"/>
  <c r="AR32" i="5"/>
  <c r="AR30" i="5"/>
  <c r="AR29" i="5"/>
  <c r="AR28" i="5"/>
  <c r="AR27" i="5"/>
  <c r="AR26" i="5"/>
  <c r="AR25" i="5"/>
  <c r="AR24" i="5"/>
  <c r="AR23" i="5"/>
  <c r="AR21" i="5"/>
  <c r="AR20" i="5"/>
  <c r="AR18" i="5"/>
  <c r="AR17" i="5"/>
  <c r="AR16" i="5"/>
  <c r="AR15" i="5"/>
  <c r="AR14" i="5"/>
  <c r="AR13" i="5"/>
  <c r="AR12" i="5"/>
  <c r="AR11" i="5"/>
  <c r="AR10" i="5"/>
  <c r="AR9" i="5"/>
  <c r="AR51" i="5" s="1"/>
  <c r="AQ49" i="5"/>
  <c r="AQ47" i="5"/>
  <c r="AQ46" i="5"/>
  <c r="AQ45" i="5"/>
  <c r="AQ44" i="5"/>
  <c r="AQ42" i="5"/>
  <c r="AQ41" i="5"/>
  <c r="AQ40" i="5"/>
  <c r="AQ39" i="5"/>
  <c r="AQ38" i="5"/>
  <c r="AQ37" i="5"/>
  <c r="AQ36" i="5"/>
  <c r="AQ35" i="5"/>
  <c r="AQ34" i="5"/>
  <c r="AQ32" i="5"/>
  <c r="AQ30" i="5"/>
  <c r="AQ29" i="5"/>
  <c r="AQ28" i="5"/>
  <c r="AQ27" i="5"/>
  <c r="AQ26" i="5"/>
  <c r="AQ25" i="5"/>
  <c r="AQ24" i="5"/>
  <c r="AQ23" i="5"/>
  <c r="AQ21" i="5"/>
  <c r="AQ20" i="5"/>
  <c r="AQ18" i="5"/>
  <c r="AQ17" i="5"/>
  <c r="AQ16" i="5"/>
  <c r="AQ15" i="5"/>
  <c r="AQ14" i="5"/>
  <c r="AQ13" i="5"/>
  <c r="AQ12" i="5"/>
  <c r="AQ11" i="5"/>
  <c r="AQ10" i="5"/>
  <c r="AQ9" i="5"/>
  <c r="AI51" i="5"/>
  <c r="AH51" i="5"/>
  <c r="AO10" i="5"/>
  <c r="AO11" i="5"/>
  <c r="AO12" i="5"/>
  <c r="AO13" i="5"/>
  <c r="AO14" i="5"/>
  <c r="AO15" i="5"/>
  <c r="AO16" i="5"/>
  <c r="AO17" i="5"/>
  <c r="AO18" i="5"/>
  <c r="AO20" i="5"/>
  <c r="AO21" i="5"/>
  <c r="AO51" i="5" s="1"/>
  <c r="AO23" i="5"/>
  <c r="AO24" i="5"/>
  <c r="AO25" i="5"/>
  <c r="AO26" i="5"/>
  <c r="AO27" i="5"/>
  <c r="AO28" i="5"/>
  <c r="AO29" i="5"/>
  <c r="AO30" i="5"/>
  <c r="AO32" i="5"/>
  <c r="AO34" i="5"/>
  <c r="AO35" i="5"/>
  <c r="AO36" i="5"/>
  <c r="AO37" i="5"/>
  <c r="AO38" i="5"/>
  <c r="AO39" i="5"/>
  <c r="AO40" i="5"/>
  <c r="AO41" i="5"/>
  <c r="AO42" i="5"/>
  <c r="AO44" i="5"/>
  <c r="AO45" i="5"/>
  <c r="AO46" i="5"/>
  <c r="AO47" i="5"/>
  <c r="AO48" i="5"/>
  <c r="AO49" i="5"/>
  <c r="AO9" i="5"/>
  <c r="AN10" i="5"/>
  <c r="AN11" i="5"/>
  <c r="AN12" i="5"/>
  <c r="AN13" i="5"/>
  <c r="AN14" i="5"/>
  <c r="AN15" i="5"/>
  <c r="AN16" i="5"/>
  <c r="AN17" i="5"/>
  <c r="AN18" i="5"/>
  <c r="AN20" i="5"/>
  <c r="AN21" i="5"/>
  <c r="AN23" i="5"/>
  <c r="AN24" i="5"/>
  <c r="AN25" i="5"/>
  <c r="AN26" i="5"/>
  <c r="AN27" i="5"/>
  <c r="AN28" i="5"/>
  <c r="AN29" i="5"/>
  <c r="AN30" i="5"/>
  <c r="AN32" i="5"/>
  <c r="AN34" i="5"/>
  <c r="AN35" i="5"/>
  <c r="AN36" i="5"/>
  <c r="AN37" i="5"/>
  <c r="AN38" i="5"/>
  <c r="AN39" i="5"/>
  <c r="AN40" i="5"/>
  <c r="AN41" i="5"/>
  <c r="AN42" i="5"/>
  <c r="AN44" i="5"/>
  <c r="AN45" i="5"/>
  <c r="AN46" i="5"/>
  <c r="AN47" i="5"/>
  <c r="AN48" i="5"/>
  <c r="AN49" i="5"/>
  <c r="AN9" i="5"/>
  <c r="AM13" i="5"/>
  <c r="AM10" i="5"/>
  <c r="AM11" i="5"/>
  <c r="AM12" i="5"/>
  <c r="AM14" i="5"/>
  <c r="AM15" i="5"/>
  <c r="AM16" i="5"/>
  <c r="AM17" i="5"/>
  <c r="AM18" i="5"/>
  <c r="AM20" i="5"/>
  <c r="AM21" i="5"/>
  <c r="AM23" i="5"/>
  <c r="AM24" i="5"/>
  <c r="AM25" i="5"/>
  <c r="AM26" i="5"/>
  <c r="AM27" i="5"/>
  <c r="AM28" i="5"/>
  <c r="AM29" i="5"/>
  <c r="AM30" i="5"/>
  <c r="AM32" i="5"/>
  <c r="AM34" i="5"/>
  <c r="AM35" i="5"/>
  <c r="AM36" i="5"/>
  <c r="AM37" i="5"/>
  <c r="AM38" i="5"/>
  <c r="AM39" i="5"/>
  <c r="AM40" i="5"/>
  <c r="AM41" i="5"/>
  <c r="AM42" i="5"/>
  <c r="AM44" i="5"/>
  <c r="AM45" i="5"/>
  <c r="AM46" i="5"/>
  <c r="AM47" i="5"/>
  <c r="AM49" i="5"/>
  <c r="AM9" i="5"/>
  <c r="AJ13" i="5"/>
  <c r="AK12" i="5"/>
  <c r="AL13" i="5"/>
  <c r="AK13" i="5"/>
  <c r="AK10" i="5"/>
  <c r="AK11" i="5"/>
  <c r="AK14" i="5"/>
  <c r="AK15" i="5"/>
  <c r="AK16" i="5"/>
  <c r="AK17" i="5"/>
  <c r="AK18" i="5"/>
  <c r="AK20" i="5"/>
  <c r="AK21" i="5"/>
  <c r="AK23" i="5"/>
  <c r="AK24" i="5"/>
  <c r="AK25" i="5"/>
  <c r="AK26" i="5"/>
  <c r="AK27" i="5"/>
  <c r="AK28" i="5"/>
  <c r="AK29" i="5"/>
  <c r="AK30" i="5"/>
  <c r="AK32" i="5"/>
  <c r="AK34" i="5"/>
  <c r="AK35" i="5"/>
  <c r="AK36" i="5"/>
  <c r="AK37" i="5"/>
  <c r="AK38" i="5"/>
  <c r="AK39" i="5"/>
  <c r="AK40" i="5"/>
  <c r="AK41" i="5"/>
  <c r="AK42" i="5"/>
  <c r="AK44" i="5"/>
  <c r="AK45" i="5"/>
  <c r="AK46" i="5"/>
  <c r="AK47" i="5"/>
  <c r="AK48" i="5"/>
  <c r="AK49" i="5"/>
  <c r="AK9" i="5"/>
  <c r="AJ10" i="5"/>
  <c r="AJ11" i="5"/>
  <c r="AJ12" i="5"/>
  <c r="AJ14" i="5"/>
  <c r="AJ15" i="5"/>
  <c r="AJ16" i="5"/>
  <c r="AJ17" i="5"/>
  <c r="AJ18" i="5"/>
  <c r="AJ20" i="5"/>
  <c r="AJ21" i="5"/>
  <c r="AJ23" i="5"/>
  <c r="AJ24" i="5"/>
  <c r="AJ25" i="5"/>
  <c r="AJ26" i="5"/>
  <c r="AJ27" i="5"/>
  <c r="AJ28" i="5"/>
  <c r="AJ29" i="5"/>
  <c r="AJ30" i="5"/>
  <c r="AJ32" i="5"/>
  <c r="AJ34" i="5"/>
  <c r="AJ35" i="5"/>
  <c r="AJ36" i="5"/>
  <c r="AJ37" i="5"/>
  <c r="AJ38" i="5"/>
  <c r="AJ39" i="5"/>
  <c r="AJ40" i="5"/>
  <c r="AJ41" i="5"/>
  <c r="AJ42" i="5"/>
  <c r="AJ44" i="5"/>
  <c r="AJ45" i="5"/>
  <c r="AJ46" i="5"/>
  <c r="AJ47" i="5"/>
  <c r="AJ49" i="5"/>
  <c r="AJ9" i="5"/>
  <c r="AD51" i="5"/>
  <c r="AL10" i="5"/>
  <c r="AL11" i="5"/>
  <c r="AL12" i="5"/>
  <c r="AL14" i="5"/>
  <c r="AL15" i="5"/>
  <c r="AL16" i="5"/>
  <c r="AL17" i="5"/>
  <c r="AL18" i="5"/>
  <c r="AL20" i="5"/>
  <c r="AL21" i="5"/>
  <c r="AL23" i="5"/>
  <c r="AL24" i="5"/>
  <c r="AL25" i="5"/>
  <c r="AL26" i="5"/>
  <c r="AL27" i="5"/>
  <c r="AL28" i="5"/>
  <c r="AL29" i="5"/>
  <c r="AL30" i="5"/>
  <c r="AL32" i="5"/>
  <c r="AL34" i="5"/>
  <c r="AL35" i="5"/>
  <c r="AL36" i="5"/>
  <c r="AL37" i="5"/>
  <c r="AL38" i="5"/>
  <c r="AL39" i="5"/>
  <c r="AL40" i="5"/>
  <c r="AL41" i="5"/>
  <c r="AL42" i="5"/>
  <c r="AL44" i="5"/>
  <c r="AL45" i="5"/>
  <c r="AL46" i="5"/>
  <c r="AL47" i="5"/>
  <c r="AL48" i="5"/>
  <c r="AL49" i="5"/>
  <c r="AL9" i="5"/>
  <c r="AF15" i="5"/>
  <c r="AF26" i="5"/>
  <c r="AF27" i="5"/>
  <c r="AF28" i="5"/>
  <c r="AF32" i="5"/>
  <c r="AF34" i="5"/>
  <c r="AF36" i="5"/>
  <c r="AF37" i="5"/>
  <c r="AF40" i="5"/>
  <c r="AF41" i="5"/>
  <c r="AF47" i="5"/>
  <c r="AF13" i="5"/>
  <c r="AF49" i="5"/>
  <c r="AG36" i="5"/>
  <c r="AG47" i="5"/>
  <c r="AG48" i="5"/>
  <c r="AG49" i="5"/>
  <c r="AG11" i="5"/>
  <c r="AG12" i="5"/>
  <c r="AG13" i="5"/>
  <c r="AG15" i="5"/>
  <c r="AG17" i="5"/>
  <c r="AG18" i="5"/>
  <c r="AG25" i="5"/>
  <c r="AG26" i="5"/>
  <c r="AG27" i="5"/>
  <c r="AG29" i="5"/>
  <c r="AG30" i="5"/>
  <c r="AG32" i="5"/>
  <c r="AG34" i="5"/>
  <c r="AE10" i="5"/>
  <c r="AE49" i="5"/>
  <c r="O51" i="5"/>
  <c r="P51" i="5"/>
  <c r="Q51" i="5"/>
  <c r="R51" i="5"/>
  <c r="S51" i="5"/>
  <c r="Z51" i="5"/>
  <c r="AB51" i="5"/>
  <c r="AC51" i="5"/>
  <c r="AE36" i="5"/>
  <c r="AE37" i="5"/>
  <c r="AE40" i="5"/>
  <c r="AE44" i="5"/>
  <c r="AE46" i="5"/>
  <c r="AE47" i="5"/>
  <c r="AE48" i="5"/>
  <c r="L9" i="5"/>
  <c r="I9" i="5"/>
  <c r="W48" i="5"/>
  <c r="AS48" i="5" s="1"/>
  <c r="AA47" i="5"/>
  <c r="AA46" i="5"/>
  <c r="AA45" i="5"/>
  <c r="AA44" i="5"/>
  <c r="AA42" i="5"/>
  <c r="AA41" i="5"/>
  <c r="AA40" i="5"/>
  <c r="AA39" i="5"/>
  <c r="AA38" i="5"/>
  <c r="AA37" i="5"/>
  <c r="AA36" i="5"/>
  <c r="AA35" i="5"/>
  <c r="AA34" i="5"/>
  <c r="AA32" i="5"/>
  <c r="AA30" i="5"/>
  <c r="AA29" i="5"/>
  <c r="AA28" i="5"/>
  <c r="AA27" i="5"/>
  <c r="AA26" i="5"/>
  <c r="AA25" i="5"/>
  <c r="AA24" i="5"/>
  <c r="AA23" i="5"/>
  <c r="AA21" i="5"/>
  <c r="AA20" i="5"/>
  <c r="AA18" i="5"/>
  <c r="AA17" i="5"/>
  <c r="AA16" i="5"/>
  <c r="AA15" i="5"/>
  <c r="AA14" i="5"/>
  <c r="AA13" i="5"/>
  <c r="AA12" i="5"/>
  <c r="AA11" i="5"/>
  <c r="AA10" i="5"/>
  <c r="AA9" i="5"/>
  <c r="D51" i="5"/>
  <c r="T48" i="5"/>
  <c r="U48" i="5" s="1"/>
  <c r="L48" i="5"/>
  <c r="I48" i="5"/>
  <c r="T47" i="5"/>
  <c r="U47" i="5" s="1"/>
  <c r="L47" i="5"/>
  <c r="I47" i="5"/>
  <c r="T46" i="5"/>
  <c r="U46" i="5" s="1"/>
  <c r="L46" i="5"/>
  <c r="I46" i="5"/>
  <c r="T45" i="5"/>
  <c r="U45" i="5" s="1"/>
  <c r="L45" i="5"/>
  <c r="I45" i="5"/>
  <c r="T44" i="5"/>
  <c r="U44" i="5" s="1"/>
  <c r="L44" i="5"/>
  <c r="I44" i="5"/>
  <c r="T42" i="5"/>
  <c r="U42" i="5" s="1"/>
  <c r="L42" i="5"/>
  <c r="I42" i="5"/>
  <c r="T41" i="5"/>
  <c r="U41" i="5" s="1"/>
  <c r="L41" i="5"/>
  <c r="G41" i="5"/>
  <c r="I41" i="5" s="1"/>
  <c r="T39" i="5"/>
  <c r="U39" i="5" s="1"/>
  <c r="L39" i="5"/>
  <c r="I39" i="5"/>
  <c r="T38" i="5"/>
  <c r="U38" i="5" s="1"/>
  <c r="L38" i="5"/>
  <c r="I38" i="5"/>
  <c r="T37" i="5"/>
  <c r="U37" i="5" s="1"/>
  <c r="L37" i="5"/>
  <c r="I37" i="5"/>
  <c r="T36" i="5"/>
  <c r="U36" i="5" s="1"/>
  <c r="L36" i="5"/>
  <c r="I36" i="5"/>
  <c r="T35" i="5"/>
  <c r="U35" i="5" s="1"/>
  <c r="L35" i="5"/>
  <c r="I35" i="5"/>
  <c r="T34" i="5"/>
  <c r="U34" i="5" s="1"/>
  <c r="L34" i="5"/>
  <c r="I34" i="5"/>
  <c r="T32" i="5"/>
  <c r="U32" i="5" s="1"/>
  <c r="L32" i="5"/>
  <c r="I32" i="5"/>
  <c r="T30" i="5"/>
  <c r="U30" i="5" s="1"/>
  <c r="V30" i="5" s="1"/>
  <c r="T29" i="5"/>
  <c r="U29" i="5" s="1"/>
  <c r="L29" i="5"/>
  <c r="I29" i="5"/>
  <c r="T28" i="5"/>
  <c r="U28" i="5" s="1"/>
  <c r="L28" i="5"/>
  <c r="G28" i="5"/>
  <c r="I28" i="5" s="1"/>
  <c r="T27" i="5"/>
  <c r="U27" i="5" s="1"/>
  <c r="L27" i="5"/>
  <c r="I27" i="5"/>
  <c r="T26" i="5"/>
  <c r="U26" i="5" s="1"/>
  <c r="L26" i="5"/>
  <c r="I26" i="5"/>
  <c r="T25" i="5"/>
  <c r="U25" i="5" s="1"/>
  <c r="L25" i="5"/>
  <c r="I25" i="5"/>
  <c r="T24" i="5"/>
  <c r="U24" i="5" s="1"/>
  <c r="L24" i="5"/>
  <c r="I24" i="5"/>
  <c r="T23" i="5"/>
  <c r="U23" i="5" s="1"/>
  <c r="L23" i="5"/>
  <c r="I23" i="5"/>
  <c r="T21" i="5"/>
  <c r="U21" i="5" s="1"/>
  <c r="L21" i="5"/>
  <c r="I21" i="5"/>
  <c r="T20" i="5"/>
  <c r="U20" i="5" s="1"/>
  <c r="L20" i="5"/>
  <c r="I20" i="5"/>
  <c r="T18" i="5"/>
  <c r="U18" i="5" s="1"/>
  <c r="L18" i="5"/>
  <c r="I18" i="5"/>
  <c r="T17" i="5"/>
  <c r="U17" i="5" s="1"/>
  <c r="L17" i="5"/>
  <c r="I17" i="5"/>
  <c r="T16" i="5"/>
  <c r="U16" i="5" s="1"/>
  <c r="L16" i="5"/>
  <c r="G16" i="5"/>
  <c r="I16" i="5" s="1"/>
  <c r="T15" i="5"/>
  <c r="U15" i="5" s="1"/>
  <c r="L15" i="5"/>
  <c r="I15" i="5"/>
  <c r="T14" i="5"/>
  <c r="U14" i="5" s="1"/>
  <c r="L14" i="5"/>
  <c r="I14" i="5"/>
  <c r="U13" i="5"/>
  <c r="L13" i="5"/>
  <c r="I13" i="5"/>
  <c r="T12" i="5"/>
  <c r="U12" i="5" s="1"/>
  <c r="L12" i="5"/>
  <c r="I12" i="5"/>
  <c r="T11" i="5"/>
  <c r="U11" i="5" s="1"/>
  <c r="L11" i="5"/>
  <c r="I11" i="5"/>
  <c r="T10" i="5"/>
  <c r="U10" i="5" s="1"/>
  <c r="L10" i="5"/>
  <c r="I10" i="5"/>
  <c r="T9" i="5"/>
  <c r="U9" i="5" s="1"/>
  <c r="K51" i="5"/>
  <c r="F51" i="5"/>
  <c r="J51" i="5"/>
  <c r="E51" i="5"/>
  <c r="H51" i="5"/>
  <c r="AF48" i="5"/>
  <c r="AN51" i="5"/>
  <c r="BU16" i="5" l="1"/>
  <c r="AF51" i="5"/>
  <c r="BU25" i="5"/>
  <c r="BJ14" i="5"/>
  <c r="BH14" i="5"/>
  <c r="BU49" i="5"/>
  <c r="BU24" i="5"/>
  <c r="BT33" i="5"/>
  <c r="BI20" i="5"/>
  <c r="BU48" i="5"/>
  <c r="BU15" i="5"/>
  <c r="BU40" i="5"/>
  <c r="BJ20" i="5"/>
  <c r="AS51" i="5"/>
  <c r="BU33" i="5"/>
  <c r="BX22" i="5"/>
  <c r="CL22" i="5"/>
  <c r="AE51" i="5"/>
  <c r="BX41" i="5"/>
  <c r="CL41" i="5"/>
  <c r="BX39" i="5"/>
  <c r="CL39" i="5"/>
  <c r="BX37" i="5"/>
  <c r="CL37" i="5"/>
  <c r="BX35" i="5"/>
  <c r="CL35" i="5"/>
  <c r="BU21" i="5"/>
  <c r="M9" i="5"/>
  <c r="AJ48" i="5"/>
  <c r="BK10" i="5"/>
  <c r="BE51" i="5"/>
  <c r="BM14" i="5"/>
  <c r="CL14" i="5" s="1"/>
  <c r="BG51" i="5"/>
  <c r="BO49" i="5"/>
  <c r="CG49" i="5"/>
  <c r="CB49" i="5"/>
  <c r="BO47" i="5"/>
  <c r="CG47" i="5"/>
  <c r="CB47" i="5"/>
  <c r="BO45" i="5"/>
  <c r="CG45" i="5"/>
  <c r="CB45" i="5"/>
  <c r="BO42" i="5"/>
  <c r="CG42" i="5"/>
  <c r="CB42" i="5"/>
  <c r="BO40" i="5"/>
  <c r="CG40" i="5"/>
  <c r="CB40" i="5"/>
  <c r="BO38" i="5"/>
  <c r="CG38" i="5"/>
  <c r="CB38" i="5"/>
  <c r="BO36" i="5"/>
  <c r="CG36" i="5"/>
  <c r="CB36" i="5"/>
  <c r="BO34" i="5"/>
  <c r="CG34" i="5"/>
  <c r="CB34" i="5"/>
  <c r="BO31" i="5"/>
  <c r="CG31" i="5"/>
  <c r="CB31" i="5"/>
  <c r="BO29" i="5"/>
  <c r="CG29" i="5"/>
  <c r="CB29" i="5"/>
  <c r="BO27" i="5"/>
  <c r="CG27" i="5"/>
  <c r="CB27" i="5"/>
  <c r="BO25" i="5"/>
  <c r="CG25" i="5"/>
  <c r="CB25" i="5"/>
  <c r="BO21" i="5"/>
  <c r="CG21" i="5"/>
  <c r="CB21" i="5"/>
  <c r="BO18" i="5"/>
  <c r="CG18" i="5"/>
  <c r="CB18" i="5"/>
  <c r="BO16" i="5"/>
  <c r="CG16" i="5"/>
  <c r="CB16" i="5"/>
  <c r="BO12" i="5"/>
  <c r="CG12" i="5"/>
  <c r="CB12" i="5"/>
  <c r="BO10" i="5"/>
  <c r="CG10" i="5"/>
  <c r="CB10" i="5"/>
  <c r="CG28" i="5"/>
  <c r="CB28" i="5"/>
  <c r="BU14" i="5"/>
  <c r="BS51" i="5"/>
  <c r="CI14" i="5"/>
  <c r="CI51" i="5" s="1"/>
  <c r="AW51" i="5"/>
  <c r="AY51" i="5"/>
  <c r="BB51" i="5"/>
  <c r="BD51" i="5"/>
  <c r="BR51" i="5"/>
  <c r="BV48" i="5"/>
  <c r="BV40" i="5"/>
  <c r="BV36" i="5"/>
  <c r="BV34" i="5"/>
  <c r="BV32" i="5"/>
  <c r="BV24" i="5"/>
  <c r="BV16" i="5"/>
  <c r="BV14" i="5"/>
  <c r="BX49" i="5"/>
  <c r="BX47" i="5"/>
  <c r="BX45" i="5"/>
  <c r="BX31" i="5"/>
  <c r="BX29" i="5"/>
  <c r="BX27" i="5"/>
  <c r="BX25" i="5"/>
  <c r="BX18" i="5"/>
  <c r="BX16" i="5"/>
  <c r="BX12" i="5"/>
  <c r="BX10" i="5"/>
  <c r="BY51" i="5"/>
  <c r="BZ49" i="5"/>
  <c r="BZ45" i="5"/>
  <c r="BZ37" i="5"/>
  <c r="BZ35" i="5"/>
  <c r="BZ33" i="5"/>
  <c r="BZ31" i="5"/>
  <c r="BZ29" i="5"/>
  <c r="BZ25" i="5"/>
  <c r="BZ21" i="5"/>
  <c r="BZ19" i="5"/>
  <c r="BZ17" i="5"/>
  <c r="BZ15" i="5"/>
  <c r="CD48" i="5"/>
  <c r="CD40" i="5"/>
  <c r="CD36" i="5"/>
  <c r="CD34" i="5"/>
  <c r="CD32" i="5"/>
  <c r="CD24" i="5"/>
  <c r="CD16" i="5"/>
  <c r="CD14" i="5"/>
  <c r="BM20" i="5"/>
  <c r="BO9" i="5"/>
  <c r="CG9" i="5"/>
  <c r="CB9" i="5"/>
  <c r="BO48" i="5"/>
  <c r="CG48" i="5"/>
  <c r="CB48" i="5"/>
  <c r="BO46" i="5"/>
  <c r="CG46" i="5"/>
  <c r="CB46" i="5"/>
  <c r="BO44" i="5"/>
  <c r="CG44" i="5"/>
  <c r="CB44" i="5"/>
  <c r="BO41" i="5"/>
  <c r="CG41" i="5"/>
  <c r="CB41" i="5"/>
  <c r="BO39" i="5"/>
  <c r="CG39" i="5"/>
  <c r="CB39" i="5"/>
  <c r="BO37" i="5"/>
  <c r="CG37" i="5"/>
  <c r="CB37" i="5"/>
  <c r="BO35" i="5"/>
  <c r="CG35" i="5"/>
  <c r="CB35" i="5"/>
  <c r="BO32" i="5"/>
  <c r="CG32" i="5"/>
  <c r="CB32" i="5"/>
  <c r="BO30" i="5"/>
  <c r="CG30" i="5"/>
  <c r="CB30" i="5"/>
  <c r="BO26" i="5"/>
  <c r="CG26" i="5"/>
  <c r="CB26" i="5"/>
  <c r="BO24" i="5"/>
  <c r="CG24" i="5"/>
  <c r="CB24" i="5"/>
  <c r="BO22" i="5"/>
  <c r="CG22" i="5"/>
  <c r="CB22" i="5"/>
  <c r="BO17" i="5"/>
  <c r="CG17" i="5"/>
  <c r="CB17" i="5"/>
  <c r="BO13" i="5"/>
  <c r="CG13" i="5"/>
  <c r="CB13" i="5"/>
  <c r="BO11" i="5"/>
  <c r="CG11" i="5"/>
  <c r="CB11" i="5"/>
  <c r="BM15" i="5"/>
  <c r="CL15" i="5" s="1"/>
  <c r="BL51" i="5"/>
  <c r="AZ51" i="5"/>
  <c r="BC51" i="5"/>
  <c r="BF51" i="5"/>
  <c r="BI51" i="5"/>
  <c r="BJ51" i="5"/>
  <c r="BO28" i="5"/>
  <c r="BU19" i="5"/>
  <c r="BV49" i="5"/>
  <c r="BV45" i="5"/>
  <c r="BV37" i="5"/>
  <c r="BV35" i="5"/>
  <c r="BV33" i="5"/>
  <c r="BV31" i="5"/>
  <c r="BV29" i="5"/>
  <c r="BV25" i="5"/>
  <c r="BV21" i="5"/>
  <c r="BV19" i="5"/>
  <c r="BV17" i="5"/>
  <c r="BV15" i="5"/>
  <c r="BX9" i="5"/>
  <c r="BX48" i="5"/>
  <c r="BX46" i="5"/>
  <c r="BX44" i="5"/>
  <c r="BX42" i="5"/>
  <c r="BX40" i="5"/>
  <c r="BX38" i="5"/>
  <c r="BX36" i="5"/>
  <c r="BX34" i="5"/>
  <c r="BX32" i="5"/>
  <c r="BX30" i="5"/>
  <c r="BX28" i="5"/>
  <c r="BX26" i="5"/>
  <c r="BX24" i="5"/>
  <c r="BX21" i="5"/>
  <c r="BX17" i="5"/>
  <c r="BX13" i="5"/>
  <c r="BX11" i="5"/>
  <c r="BZ48" i="5"/>
  <c r="BZ40" i="5"/>
  <c r="BZ36" i="5"/>
  <c r="BZ34" i="5"/>
  <c r="BZ32" i="5"/>
  <c r="BZ24" i="5"/>
  <c r="BZ16" i="5"/>
  <c r="BZ14" i="5"/>
  <c r="CC51" i="5"/>
  <c r="CD49" i="5"/>
  <c r="CD45" i="5"/>
  <c r="CD37" i="5"/>
  <c r="CD35" i="5"/>
  <c r="CD33" i="5"/>
  <c r="CD31" i="5"/>
  <c r="CD29" i="5"/>
  <c r="CD25" i="5"/>
  <c r="CD21" i="5"/>
  <c r="CD19" i="5"/>
  <c r="CD17" i="5"/>
  <c r="CD15" i="5"/>
  <c r="BO23" i="5"/>
  <c r="CG23" i="5"/>
  <c r="CB23" i="5"/>
  <c r="BX23" i="5"/>
  <c r="BH23" i="5"/>
  <c r="BH51" i="5" s="1"/>
  <c r="AU51" i="5"/>
  <c r="BQ48" i="5"/>
  <c r="BQ46" i="5"/>
  <c r="BQ44" i="5"/>
  <c r="BQ40" i="5"/>
  <c r="BQ38" i="5"/>
  <c r="BQ36" i="5"/>
  <c r="BQ34" i="5"/>
  <c r="BQ32" i="5"/>
  <c r="BQ30" i="5"/>
  <c r="BQ28" i="5"/>
  <c r="BQ26" i="5"/>
  <c r="BQ24" i="5"/>
  <c r="BQ22" i="5"/>
  <c r="BQ18" i="5"/>
  <c r="BQ16" i="5"/>
  <c r="BQ12" i="5"/>
  <c r="BQ10" i="5"/>
  <c r="BQ9" i="5"/>
  <c r="BT49" i="5"/>
  <c r="BT47" i="5"/>
  <c r="BT45" i="5"/>
  <c r="BT42" i="5"/>
  <c r="BT40" i="5"/>
  <c r="BT38" i="5"/>
  <c r="BT36" i="5"/>
  <c r="BT34" i="5"/>
  <c r="BT32" i="5"/>
  <c r="BT30" i="5"/>
  <c r="BT28" i="5"/>
  <c r="BT26" i="5"/>
  <c r="BT24" i="5"/>
  <c r="BT22" i="5"/>
  <c r="BT20" i="5"/>
  <c r="BT18" i="5"/>
  <c r="BT16" i="5"/>
  <c r="BT14" i="5"/>
  <c r="BT12" i="5"/>
  <c r="BT10" i="5"/>
  <c r="BQ49" i="5"/>
  <c r="BQ47" i="5"/>
  <c r="BQ45" i="5"/>
  <c r="BQ42" i="5"/>
  <c r="BQ39" i="5"/>
  <c r="BQ37" i="5"/>
  <c r="BQ35" i="5"/>
  <c r="BQ31" i="5"/>
  <c r="BQ29" i="5"/>
  <c r="BQ27" i="5"/>
  <c r="BQ25" i="5"/>
  <c r="BQ23" i="5"/>
  <c r="BQ21" i="5"/>
  <c r="BQ19" i="5"/>
  <c r="BQ17" i="5"/>
  <c r="BQ15" i="5"/>
  <c r="BQ13" i="5"/>
  <c r="BQ11" i="5"/>
  <c r="BT9" i="5"/>
  <c r="BT48" i="5"/>
  <c r="BT46" i="5"/>
  <c r="BT44" i="5"/>
  <c r="BT41" i="5"/>
  <c r="BT39" i="5"/>
  <c r="BT37" i="5"/>
  <c r="BT35" i="5"/>
  <c r="BT31" i="5"/>
  <c r="BT29" i="5"/>
  <c r="BT27" i="5"/>
  <c r="BT25" i="5"/>
  <c r="BT23" i="5"/>
  <c r="BT21" i="5"/>
  <c r="BT19" i="5"/>
  <c r="BT17" i="5"/>
  <c r="BT15" i="5"/>
  <c r="BT13" i="5"/>
  <c r="BT11" i="5"/>
  <c r="BQ41" i="5"/>
  <c r="M35" i="5"/>
  <c r="T51" i="5"/>
  <c r="M32" i="5"/>
  <c r="V32" i="5" s="1"/>
  <c r="M21" i="5"/>
  <c r="V21" i="5" s="1"/>
  <c r="M24" i="5"/>
  <c r="N24" i="5" s="1"/>
  <c r="M46" i="5"/>
  <c r="V46" i="5" s="1"/>
  <c r="BK20" i="5"/>
  <c r="M18" i="5"/>
  <c r="M25" i="5"/>
  <c r="V25" i="5" s="1"/>
  <c r="M26" i="5"/>
  <c r="V26" i="5" s="1"/>
  <c r="M27" i="5"/>
  <c r="V27" i="5" s="1"/>
  <c r="M29" i="5"/>
  <c r="M34" i="5"/>
  <c r="V34" i="5" s="1"/>
  <c r="M36" i="5"/>
  <c r="V36" i="5" s="1"/>
  <c r="M37" i="5"/>
  <c r="V37" i="5" s="1"/>
  <c r="M38" i="5"/>
  <c r="V38" i="5" s="1"/>
  <c r="M39" i="5"/>
  <c r="V39" i="5" s="1"/>
  <c r="M41" i="5"/>
  <c r="V41" i="5" s="1"/>
  <c r="M42" i="5"/>
  <c r="V42" i="5" s="1"/>
  <c r="M44" i="5"/>
  <c r="V44" i="5" s="1"/>
  <c r="M45" i="5"/>
  <c r="V45" i="5" s="1"/>
  <c r="AL51" i="5"/>
  <c r="AK51" i="5"/>
  <c r="G51" i="5"/>
  <c r="M47" i="5"/>
  <c r="V47" i="5" s="1"/>
  <c r="M48" i="5"/>
  <c r="V48" i="5" s="1"/>
  <c r="L51" i="5"/>
  <c r="AG51" i="5"/>
  <c r="M13" i="5"/>
  <c r="N13" i="5" s="1"/>
  <c r="M14" i="5"/>
  <c r="V14" i="5" s="1"/>
  <c r="M17" i="5"/>
  <c r="V17" i="5" s="1"/>
  <c r="M20" i="5"/>
  <c r="N20" i="5" s="1"/>
  <c r="AJ51" i="5"/>
  <c r="AQ48" i="5"/>
  <c r="AQ51" i="5" s="1"/>
  <c r="AM48" i="5"/>
  <c r="AM51" i="5" s="1"/>
  <c r="W51" i="5"/>
  <c r="AA48" i="5"/>
  <c r="AA51" i="5" s="1"/>
  <c r="M10" i="5"/>
  <c r="N10" i="5" s="1"/>
  <c r="M23" i="5"/>
  <c r="N23" i="5" s="1"/>
  <c r="V29" i="5"/>
  <c r="BK14" i="5"/>
  <c r="V9" i="5"/>
  <c r="M12" i="5"/>
  <c r="N12" i="5" s="1"/>
  <c r="M28" i="5"/>
  <c r="V28" i="5" s="1"/>
  <c r="V13" i="5"/>
  <c r="V18" i="5"/>
  <c r="M11" i="5"/>
  <c r="V11" i="5" s="1"/>
  <c r="M15" i="5"/>
  <c r="V15" i="5" s="1"/>
  <c r="V35" i="5"/>
  <c r="M16" i="5"/>
  <c r="I51" i="5"/>
  <c r="U51" i="5"/>
  <c r="Y48" i="5"/>
  <c r="Y51" i="5" s="1"/>
  <c r="BK51" i="5" l="1"/>
  <c r="BQ14" i="5"/>
  <c r="BO20" i="5"/>
  <c r="CL20" i="5"/>
  <c r="BQ20" i="5"/>
  <c r="BM51" i="5"/>
  <c r="BU51" i="5"/>
  <c r="BZ51" i="5"/>
  <c r="BV51" i="5"/>
  <c r="CD51" i="5"/>
  <c r="BO15" i="5"/>
  <c r="CG15" i="5"/>
  <c r="CB15" i="5"/>
  <c r="BX15" i="5"/>
  <c r="BO14" i="5"/>
  <c r="CG14" i="5"/>
  <c r="CB14" i="5"/>
  <c r="BX14" i="5"/>
  <c r="BQ51" i="5"/>
  <c r="CG20" i="5"/>
  <c r="CB20" i="5"/>
  <c r="BX20" i="5"/>
  <c r="BT51" i="5"/>
  <c r="CG51" i="5"/>
  <c r="V23" i="5"/>
  <c r="N14" i="5"/>
  <c r="V10" i="5"/>
  <c r="V24" i="5"/>
  <c r="M51" i="5"/>
  <c r="N11" i="5"/>
  <c r="V12" i="5"/>
  <c r="V20" i="5"/>
  <c r="V16" i="5"/>
  <c r="N16" i="5"/>
  <c r="N51" i="5" s="1"/>
  <c r="BO51" i="5" l="1"/>
  <c r="CL51" i="5"/>
  <c r="CB51" i="5"/>
  <c r="BX51" i="5"/>
  <c r="V51" i="5"/>
</calcChain>
</file>

<file path=xl/sharedStrings.xml><?xml version="1.0" encoding="utf-8"?>
<sst xmlns="http://schemas.openxmlformats.org/spreadsheetml/2006/main" count="397" uniqueCount="219">
  <si>
    <t>ACCOUNT</t>
  </si>
  <si>
    <t>NUMBER</t>
  </si>
  <si>
    <t>7061-0008</t>
  </si>
  <si>
    <t>7028-0031</t>
  </si>
  <si>
    <t>7035-0006</t>
  </si>
  <si>
    <t>7061-0011</t>
  </si>
  <si>
    <t>7061-0012</t>
  </si>
  <si>
    <t>7061-9010</t>
  </si>
  <si>
    <t>7061-9400</t>
  </si>
  <si>
    <t>7061-9404</t>
  </si>
  <si>
    <t>7051-0015</t>
  </si>
  <si>
    <t>7061-9619</t>
  </si>
  <si>
    <t>Franklin Institute</t>
  </si>
  <si>
    <t>7061-9634</t>
  </si>
  <si>
    <t>7010-0012</t>
  </si>
  <si>
    <t>7027-0019</t>
  </si>
  <si>
    <t>7030-1002</t>
  </si>
  <si>
    <t>7030-1005</t>
  </si>
  <si>
    <t>7035-0002</t>
  </si>
  <si>
    <t>7053-1909</t>
  </si>
  <si>
    <t>7053-1925</t>
  </si>
  <si>
    <t>7010-0005</t>
  </si>
  <si>
    <t>7061-9200</t>
  </si>
  <si>
    <t>7061-9604</t>
  </si>
  <si>
    <t>7061-9626</t>
  </si>
  <si>
    <t>YouthBuild Programs</t>
  </si>
  <si>
    <t>Supplemental Food Assistance</t>
  </si>
  <si>
    <t>7035-0007</t>
  </si>
  <si>
    <t>7061-9614</t>
  </si>
  <si>
    <t>7027-1004</t>
  </si>
  <si>
    <t>7061-9408</t>
  </si>
  <si>
    <t>School Breakfast Program</t>
  </si>
  <si>
    <t>7061-9412</t>
  </si>
  <si>
    <t>7061-9804</t>
  </si>
  <si>
    <t>PROGRAM</t>
  </si>
  <si>
    <t>7061-0029</t>
  </si>
  <si>
    <t>7061-9611</t>
  </si>
  <si>
    <t>After-School Grant Program</t>
  </si>
  <si>
    <t>7061-9600</t>
  </si>
  <si>
    <t>Expanded Learning Time Grants</t>
  </si>
  <si>
    <t>Alternative Education</t>
  </si>
  <si>
    <t>FY2009</t>
  </si>
  <si>
    <t>7010-0020</t>
  </si>
  <si>
    <t xml:space="preserve">Massachusetts Service Alliance Grants </t>
  </si>
  <si>
    <t>Chapter #182</t>
  </si>
  <si>
    <t xml:space="preserve">FY2009 </t>
  </si>
  <si>
    <t xml:space="preserve">ESE Budget </t>
  </si>
  <si>
    <t>Regional School Transportation</t>
  </si>
  <si>
    <t>Charter School Tuition Reimbursements</t>
  </si>
  <si>
    <t xml:space="preserve"> </t>
  </si>
  <si>
    <t xml:space="preserve">after overrides, </t>
  </si>
  <si>
    <t>inc. supplementals</t>
  </si>
  <si>
    <t>7010-0033</t>
  </si>
  <si>
    <t>Massachusetts Department of Elementary &amp; Secondary Education</t>
  </si>
  <si>
    <t>Current</t>
  </si>
  <si>
    <t>FY2010 GAA</t>
  </si>
  <si>
    <t xml:space="preserve">Governor's </t>
  </si>
  <si>
    <t>Budget Vetoes</t>
  </si>
  <si>
    <t>FY2010</t>
  </si>
  <si>
    <t xml:space="preserve">Budget </t>
  </si>
  <si>
    <t>Revised</t>
  </si>
  <si>
    <t>METCO</t>
  </si>
  <si>
    <t>(less vetoes)</t>
  </si>
  <si>
    <t>9C Budget</t>
  </si>
  <si>
    <t>Reductions</t>
  </si>
  <si>
    <t>Furlough</t>
  </si>
  <si>
    <t xml:space="preserve">Total of </t>
  </si>
  <si>
    <t>All 9C Budget</t>
  </si>
  <si>
    <t>FY2011</t>
  </si>
  <si>
    <t>House Ways &amp;</t>
  </si>
  <si>
    <t>Means FY2011</t>
  </si>
  <si>
    <t>Budget</t>
  </si>
  <si>
    <t>7061-0033</t>
  </si>
  <si>
    <t>Reserve for shortfall in Federal Impact Aid</t>
  </si>
  <si>
    <t xml:space="preserve">Final </t>
  </si>
  <si>
    <t>House Budget</t>
  </si>
  <si>
    <t xml:space="preserve">Variance between </t>
  </si>
  <si>
    <t>the FY2011</t>
  </si>
  <si>
    <t xml:space="preserve">Senate </t>
  </si>
  <si>
    <t>FY2011 Ways &amp;</t>
  </si>
  <si>
    <t>Means Budget</t>
  </si>
  <si>
    <t xml:space="preserve">Conference </t>
  </si>
  <si>
    <t>Committee</t>
  </si>
  <si>
    <t xml:space="preserve">Percent </t>
  </si>
  <si>
    <t>from Federal</t>
  </si>
  <si>
    <t>FMAP Relief Fund</t>
  </si>
  <si>
    <t>appropriated</t>
  </si>
  <si>
    <t xml:space="preserve">the Federal </t>
  </si>
  <si>
    <t>Adj. amount if</t>
  </si>
  <si>
    <t xml:space="preserve">Funds are </t>
  </si>
  <si>
    <t>NOT appropriated</t>
  </si>
  <si>
    <t>Amount</t>
  </si>
  <si>
    <t>associated with</t>
  </si>
  <si>
    <t>the FMAP</t>
  </si>
  <si>
    <t>Funds</t>
  </si>
  <si>
    <t xml:space="preserve">FMAP Adj. Budget </t>
  </si>
  <si>
    <t>to FY2010 GAA</t>
  </si>
  <si>
    <t>FY2008</t>
  </si>
  <si>
    <t>FY2012</t>
  </si>
  <si>
    <t>7061-9601</t>
  </si>
  <si>
    <t xml:space="preserve">GAA </t>
  </si>
  <si>
    <t>House 1</t>
  </si>
  <si>
    <t>FY12 House 1</t>
  </si>
  <si>
    <t>HWM</t>
  </si>
  <si>
    <t xml:space="preserve">Variance </t>
  </si>
  <si>
    <t>between the</t>
  </si>
  <si>
    <t xml:space="preserve">FY11 GAA and the </t>
  </si>
  <si>
    <t>Early Intervention Tutorial Literacy</t>
  </si>
  <si>
    <t>Supplem.</t>
  </si>
  <si>
    <t>7061-9810</t>
  </si>
  <si>
    <t>Final House</t>
  </si>
  <si>
    <t>Variance</t>
  </si>
  <si>
    <t xml:space="preserve">FY12 </t>
  </si>
  <si>
    <t xml:space="preserve">FY11 </t>
  </si>
  <si>
    <t>FY12</t>
  </si>
  <si>
    <t>HWM to FY12</t>
  </si>
  <si>
    <t xml:space="preserve">Final House </t>
  </si>
  <si>
    <t>Spending to FY12</t>
  </si>
  <si>
    <t>House 1 to FY12</t>
  </si>
  <si>
    <t>House Budget to</t>
  </si>
  <si>
    <t>SWM</t>
  </si>
  <si>
    <t>Variance between</t>
  </si>
  <si>
    <t>the FY12</t>
  </si>
  <si>
    <t>House 1 Budget to</t>
  </si>
  <si>
    <t>to FY12 SWM Budget</t>
  </si>
  <si>
    <t>FY12 SWM Budget</t>
  </si>
  <si>
    <t>the FY11 GAA and</t>
  </si>
  <si>
    <t>Supplemental Budget</t>
  </si>
  <si>
    <t>Senate</t>
  </si>
  <si>
    <t>to FY12 Senate Budget</t>
  </si>
  <si>
    <t>FY12 Senate Budget</t>
  </si>
  <si>
    <t>to FY12 Conference</t>
  </si>
  <si>
    <t>Committee Budget</t>
  </si>
  <si>
    <t>Supp. Budget to FY12</t>
  </si>
  <si>
    <t>Conf. Committee Budget</t>
  </si>
  <si>
    <t>Variance between the</t>
  </si>
  <si>
    <t>FY12 House 1 Budget</t>
  </si>
  <si>
    <t>House</t>
  </si>
  <si>
    <t>Supports to Close the Achievement Gap</t>
  </si>
  <si>
    <t>P.D. for Mathematics</t>
  </si>
  <si>
    <t>Regional Bonus Aid</t>
  </si>
  <si>
    <t>GAA</t>
  </si>
  <si>
    <t>Supp. Budget to</t>
  </si>
  <si>
    <t>FY12 GAA Budget</t>
  </si>
  <si>
    <t>FY2013</t>
  </si>
  <si>
    <t>School-To-Work Connecting Activities</t>
  </si>
  <si>
    <t xml:space="preserve">Chapter # 70, Foundation Aid </t>
  </si>
  <si>
    <t>Educator Certification Program - Admin.</t>
  </si>
  <si>
    <t>FY12 GAA + Supp</t>
  </si>
  <si>
    <t>7035-0035</t>
  </si>
  <si>
    <t>and FY13 House 1</t>
  </si>
  <si>
    <t>FY12 GAA and</t>
  </si>
  <si>
    <t>the FY13  HWM</t>
  </si>
  <si>
    <t>FY13 House 1 and</t>
  </si>
  <si>
    <t>the FY13 HWM</t>
  </si>
  <si>
    <t>7035-0005</t>
  </si>
  <si>
    <t>7061-0928</t>
  </si>
  <si>
    <t>Transportation Reimbursement for Homeless Children</t>
  </si>
  <si>
    <t>Financial Literacy Grants</t>
  </si>
  <si>
    <t xml:space="preserve">Bay State Reading Institute </t>
  </si>
  <si>
    <t xml:space="preserve">Consolidated Literacy Program </t>
  </si>
  <si>
    <t xml:space="preserve">Special Education in Institutional Settings </t>
  </si>
  <si>
    <t xml:space="preserve">Adult Learning Centers </t>
  </si>
  <si>
    <t xml:space="preserve">SPED Circuit Breaker Program </t>
  </si>
  <si>
    <t xml:space="preserve">Student Assessment (MCAS) </t>
  </si>
  <si>
    <t xml:space="preserve">Teacher Certification Retained Revenue </t>
  </si>
  <si>
    <t>the FY13 House</t>
  </si>
  <si>
    <t>FY13 House 2 and</t>
  </si>
  <si>
    <t>House 2</t>
  </si>
  <si>
    <t>FY13 HWM Budget</t>
  </si>
  <si>
    <t>and the FY13 House</t>
  </si>
  <si>
    <t>Total:</t>
  </si>
  <si>
    <t xml:space="preserve"> FY13 Conference</t>
  </si>
  <si>
    <t>and FY13 House 2</t>
  </si>
  <si>
    <t>and FY13 House</t>
  </si>
  <si>
    <t>and FY13 Senate</t>
  </si>
  <si>
    <t xml:space="preserve">GAA   </t>
  </si>
  <si>
    <t xml:space="preserve"> FY13 GAA and</t>
  </si>
  <si>
    <t>9C Cut</t>
  </si>
  <si>
    <t>FY2014</t>
  </si>
  <si>
    <t>FY13 GAA after 9C</t>
  </si>
  <si>
    <t>and FY14 House 1</t>
  </si>
  <si>
    <t>7061-9011</t>
  </si>
  <si>
    <t>Budget (Post 9C)</t>
  </si>
  <si>
    <t>Foundation Reserve</t>
  </si>
  <si>
    <t>English. Language Acquisition</t>
  </si>
  <si>
    <t>Kindergarten Expansion Grants</t>
  </si>
  <si>
    <t>Non-Resident Vocationa Students Transportation</t>
  </si>
  <si>
    <t>AP Math and Science Programs</t>
  </si>
  <si>
    <t>School Lunch Program</t>
  </si>
  <si>
    <t>School &amp; District Accountability Reviews &amp; Monitoring</t>
  </si>
  <si>
    <t>Education Data Services</t>
  </si>
  <si>
    <t>FY13 GAA and</t>
  </si>
  <si>
    <t>the FY14 HWM</t>
  </si>
  <si>
    <t>FY14 House 1 and</t>
  </si>
  <si>
    <t>the FY14 House</t>
  </si>
  <si>
    <t>7061-9612</t>
  </si>
  <si>
    <t>Safe and Supportive Schools Grant Program **</t>
  </si>
  <si>
    <t>Pilot Concurrent Enrollment Program ***</t>
  </si>
  <si>
    <t>FY14 HWM and</t>
  </si>
  <si>
    <t>the FY14 SWM</t>
  </si>
  <si>
    <t>FY14 House and</t>
  </si>
  <si>
    <t>the FY14 Senate</t>
  </si>
  <si>
    <t>FY14 SWM and</t>
  </si>
  <si>
    <t>FY14 Senate and</t>
  </si>
  <si>
    <t>Conference</t>
  </si>
  <si>
    <t>FY14 Conference</t>
  </si>
  <si>
    <t>7061-9811</t>
  </si>
  <si>
    <t>Targeted Assistance to Schools &amp; Districts</t>
  </si>
  <si>
    <t>FY14 GAA</t>
  </si>
  <si>
    <t>and FY14 GAA Budget</t>
  </si>
  <si>
    <t>FY14 House 1</t>
  </si>
  <si>
    <t>and FY14 GAA</t>
  </si>
  <si>
    <t>FY 14 Conference</t>
  </si>
  <si>
    <t>FY08 to FY14 Final Budget Summary</t>
  </si>
  <si>
    <t>Creative Challenge Index</t>
  </si>
  <si>
    <t xml:space="preserve">Innovation Schools </t>
  </si>
  <si>
    <t xml:space="preserve">Department of Education - Admin. </t>
  </si>
  <si>
    <t xml:space="preserve">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</si>
</sst>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6" fillId="0" borderId="0" xfId="0" applyFont="1"/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left"/>
    </xf>
    <xf numFmtId="164" fontId="6" fillId="0" borderId="0" xfId="1" applyNumberFormat="1" applyFont="1"/>
    <xf numFmtId="164" fontId="6" fillId="0" borderId="0" xfId="0" applyNumberFormat="1" applyFont="1"/>
    <xf numFmtId="0" fontId="13" fillId="0" borderId="0" xfId="0" applyFont="1"/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2" fillId="0" borderId="0" xfId="0" applyFont="1"/>
    <xf numFmtId="164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Fill="1" applyBorder="1" applyAlignment="1"/>
    <xf numFmtId="3" fontId="6" fillId="0" borderId="1" xfId="0" applyNumberFormat="1" applyFont="1" applyFill="1" applyBorder="1" applyAlignment="1"/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Border="1"/>
    <xf numFmtId="10" fontId="8" fillId="0" borderId="1" xfId="2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/>
    <xf numFmtId="3" fontId="6" fillId="0" borderId="1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/>
    <xf numFmtId="164" fontId="7" fillId="0" borderId="1" xfId="1" applyNumberFormat="1" applyFont="1" applyFill="1" applyBorder="1" applyAlignment="1"/>
    <xf numFmtId="164" fontId="10" fillId="0" borderId="1" xfId="1" applyNumberFormat="1" applyFont="1" applyFill="1" applyBorder="1" applyAlignment="1"/>
    <xf numFmtId="164" fontId="10" fillId="0" borderId="1" xfId="1" applyNumberFormat="1" applyFont="1" applyBorder="1"/>
    <xf numFmtId="164" fontId="6" fillId="0" borderId="1" xfId="1" applyNumberFormat="1" applyFont="1" applyBorder="1"/>
    <xf numFmtId="164" fontId="2" fillId="0" borderId="1" xfId="1" applyNumberFormat="1" applyFont="1" applyBorder="1"/>
    <xf numFmtId="164" fontId="2" fillId="0" borderId="1" xfId="1" applyNumberFormat="1" applyFont="1" applyFill="1" applyBorder="1"/>
    <xf numFmtId="164" fontId="4" fillId="0" borderId="1" xfId="1" applyNumberFormat="1" applyFont="1" applyFill="1" applyBorder="1" applyAlignment="1">
      <alignment horizontal="center"/>
    </xf>
    <xf numFmtId="164" fontId="6" fillId="0" borderId="1" xfId="1" applyNumberFormat="1" applyFont="1" applyFill="1" applyBorder="1"/>
    <xf numFmtId="3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Border="1" applyAlignment="1"/>
    <xf numFmtId="164" fontId="4" fillId="0" borderId="1" xfId="1" applyNumberFormat="1" applyFont="1" applyBorder="1" applyAlignment="1"/>
    <xf numFmtId="164" fontId="9" fillId="0" borderId="1" xfId="1" applyNumberFormat="1" applyFont="1" applyBorder="1" applyAlignment="1"/>
    <xf numFmtId="0" fontId="11" fillId="0" borderId="0" xfId="0" applyFont="1" applyFill="1" applyBorder="1" applyAlignment="1">
      <alignment horizontal="center"/>
    </xf>
    <xf numFmtId="0" fontId="6" fillId="0" borderId="0" xfId="0" applyFont="1" applyBorder="1"/>
    <xf numFmtId="0" fontId="14" fillId="0" borderId="0" xfId="0" applyFont="1" applyFill="1" applyBorder="1" applyAlignment="1">
      <alignment horizontal="center"/>
    </xf>
    <xf numFmtId="164" fontId="6" fillId="0" borderId="0" xfId="1" applyNumberFormat="1" applyFont="1" applyBorder="1" applyAlignment="1"/>
    <xf numFmtId="164" fontId="13" fillId="0" borderId="0" xfId="1" applyNumberFormat="1" applyFont="1" applyBorder="1" applyAlignment="1"/>
    <xf numFmtId="164" fontId="6" fillId="0" borderId="0" xfId="1" applyNumberFormat="1" applyFont="1" applyBorder="1"/>
    <xf numFmtId="0" fontId="2" fillId="0" borderId="0" xfId="0" applyFont="1" applyBorder="1"/>
    <xf numFmtId="0" fontId="2" fillId="0" borderId="1" xfId="0" applyNumberFormat="1" applyFont="1" applyFill="1" applyBorder="1" applyAlignment="1">
      <alignment horizontal="right"/>
    </xf>
    <xf numFmtId="164" fontId="2" fillId="0" borderId="1" xfId="1" applyNumberFormat="1" applyFont="1" applyFill="1" applyBorder="1" applyAlignment="1"/>
    <xf numFmtId="164" fontId="1" fillId="0" borderId="1" xfId="1" applyNumberFormat="1" applyFont="1" applyBorder="1"/>
    <xf numFmtId="164" fontId="1" fillId="0" borderId="0" xfId="1" applyNumberFormat="1" applyFont="1"/>
    <xf numFmtId="164" fontId="1" fillId="0" borderId="1" xfId="1" applyNumberFormat="1" applyFont="1" applyFill="1" applyBorder="1"/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/>
    <xf numFmtId="164" fontId="1" fillId="0" borderId="1" xfId="0" applyNumberFormat="1" applyFont="1" applyBorder="1"/>
    <xf numFmtId="164" fontId="6" fillId="0" borderId="1" xfId="0" applyNumberFormat="1" applyFont="1" applyFill="1" applyBorder="1"/>
    <xf numFmtId="164" fontId="1" fillId="0" borderId="1" xfId="0" applyNumberFormat="1" applyFont="1" applyFill="1" applyBorder="1"/>
    <xf numFmtId="164" fontId="1" fillId="0" borderId="0" xfId="1" applyNumberFormat="1" applyFont="1" applyFill="1"/>
    <xf numFmtId="0" fontId="1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1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10" fontId="2" fillId="0" borderId="1" xfId="2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66"/>
  <sheetViews>
    <sheetView tabSelected="1" zoomScale="88" zoomScaleNormal="88" workbookViewId="0">
      <pane xSplit="46" ySplit="3" topLeftCell="AU4" activePane="bottomRight" state="frozen"/>
      <selection pane="topRight" activeCell="AU1" sqref="AU1"/>
      <selection pane="bottomLeft" activeCell="A5" sqref="A5"/>
      <selection pane="bottomRight" activeCell="CQ37" sqref="CQ37"/>
    </sheetView>
  </sheetViews>
  <sheetFormatPr defaultColWidth="9.140625" defaultRowHeight="14.25" x14ac:dyDescent="0.2"/>
  <cols>
    <col min="1" max="1" width="12.42578125" style="8" customWidth="1"/>
    <col min="2" max="2" width="0.42578125" style="8" customWidth="1"/>
    <col min="3" max="3" width="51.28515625" style="8" bestFit="1" customWidth="1"/>
    <col min="4" max="4" width="14" style="9" bestFit="1" customWidth="1"/>
    <col min="5" max="5" width="15.85546875" style="1" hidden="1" customWidth="1"/>
    <col min="6" max="6" width="16.7109375" style="1" customWidth="1"/>
    <col min="7" max="7" width="16.7109375" style="1" hidden="1" customWidth="1"/>
    <col min="8" max="8" width="13" style="1" hidden="1" customWidth="1"/>
    <col min="9" max="9" width="15.85546875" style="1" hidden="1" customWidth="1"/>
    <col min="10" max="10" width="14.28515625" style="7" hidden="1" customWidth="1"/>
    <col min="11" max="11" width="14.28515625" style="1" hidden="1" customWidth="1"/>
    <col min="12" max="12" width="14.42578125" style="1" hidden="1" customWidth="1"/>
    <col min="13" max="13" width="17.7109375" style="1" customWidth="1"/>
    <col min="14" max="17" width="16.140625" style="1" hidden="1" customWidth="1"/>
    <col min="18" max="18" width="17.7109375" style="1" hidden="1" customWidth="1"/>
    <col min="19" max="21" width="16.140625" style="1" hidden="1" customWidth="1"/>
    <col min="22" max="22" width="18.42578125" style="1" hidden="1" customWidth="1"/>
    <col min="23" max="23" width="15" style="1" hidden="1" customWidth="1"/>
    <col min="24" max="24" width="11.140625" style="1" hidden="1" customWidth="1"/>
    <col min="25" max="25" width="15" style="1" customWidth="1"/>
    <col min="26" max="26" width="15" style="1" hidden="1" customWidth="1"/>
    <col min="27" max="27" width="17.7109375" style="5" hidden="1" customWidth="1"/>
    <col min="28" max="29" width="15" style="1" hidden="1" customWidth="1"/>
    <col min="30" max="30" width="15" style="10" hidden="1" customWidth="1"/>
    <col min="31" max="31" width="12.85546875" style="1" hidden="1" customWidth="1"/>
    <col min="32" max="32" width="17" style="1" hidden="1" customWidth="1"/>
    <col min="33" max="34" width="15.5703125" style="1" hidden="1" customWidth="1"/>
    <col min="35" max="35" width="18.140625" style="1" hidden="1" customWidth="1"/>
    <col min="36" max="36" width="22.28515625" style="1" hidden="1" customWidth="1"/>
    <col min="37" max="38" width="19" style="1" hidden="1" customWidth="1"/>
    <col min="39" max="39" width="23.140625" style="10" hidden="1" customWidth="1"/>
    <col min="40" max="41" width="20.7109375" style="10" hidden="1" customWidth="1"/>
    <col min="42" max="42" width="15" style="1" hidden="1" customWidth="1"/>
    <col min="43" max="43" width="24.7109375" style="1" hidden="1" customWidth="1"/>
    <col min="44" max="44" width="21.42578125" style="1" hidden="1" customWidth="1"/>
    <col min="45" max="45" width="19.85546875" style="1" hidden="1" customWidth="1"/>
    <col min="46" max="46" width="11.140625" style="1" hidden="1" customWidth="1"/>
    <col min="47" max="47" width="15" style="1" customWidth="1"/>
    <col min="48" max="48" width="15" style="10" hidden="1" customWidth="1"/>
    <col min="49" max="49" width="17.7109375" style="1" hidden="1" customWidth="1"/>
    <col min="50" max="50" width="15" style="1" hidden="1" customWidth="1"/>
    <col min="51" max="51" width="15.85546875" style="10" hidden="1" customWidth="1"/>
    <col min="52" max="52" width="17.28515625" style="10" hidden="1" customWidth="1"/>
    <col min="53" max="53" width="15" style="1" hidden="1" customWidth="1"/>
    <col min="54" max="54" width="16.28515625" style="1" hidden="1" customWidth="1"/>
    <col min="55" max="55" width="17.28515625" style="1" hidden="1" customWidth="1"/>
    <col min="56" max="56" width="20.28515625" style="1" hidden="1" customWidth="1"/>
    <col min="57" max="57" width="15" style="1" hidden="1" customWidth="1"/>
    <col min="58" max="58" width="16.28515625" style="1" hidden="1" customWidth="1"/>
    <col min="59" max="59" width="15" style="1" hidden="1" customWidth="1"/>
    <col min="60" max="60" width="18.28515625" style="1" hidden="1" customWidth="1"/>
    <col min="61" max="61" width="17.85546875" style="1" hidden="1" customWidth="1"/>
    <col min="62" max="62" width="17.28515625" style="1" hidden="1" customWidth="1"/>
    <col min="63" max="63" width="18.28515625" style="1" hidden="1" customWidth="1"/>
    <col min="64" max="64" width="12.140625" style="1" hidden="1" customWidth="1"/>
    <col min="65" max="65" width="17.5703125" style="1" bestFit="1" customWidth="1"/>
    <col min="66" max="66" width="15" style="5" hidden="1" customWidth="1"/>
    <col min="67" max="67" width="19" style="5" hidden="1" customWidth="1"/>
    <col min="68" max="68" width="15" style="5" hidden="1" customWidth="1"/>
    <col min="69" max="69" width="15.85546875" style="1" hidden="1" customWidth="1"/>
    <col min="70" max="70" width="17.28515625" style="1" hidden="1" customWidth="1"/>
    <col min="71" max="71" width="15" style="5" hidden="1" customWidth="1"/>
    <col min="72" max="72" width="16.28515625" style="1" hidden="1" customWidth="1"/>
    <col min="73" max="73" width="17.28515625" style="1" hidden="1" customWidth="1"/>
    <col min="74" max="74" width="16.28515625" style="1" hidden="1" customWidth="1"/>
    <col min="75" max="75" width="15" style="5" hidden="1" customWidth="1"/>
    <col min="76" max="76" width="16.28515625" style="1" hidden="1" customWidth="1"/>
    <col min="77" max="77" width="17.28515625" style="1" hidden="1" customWidth="1"/>
    <col min="78" max="78" width="16.28515625" style="1" hidden="1" customWidth="1"/>
    <col min="79" max="79" width="15" style="5" hidden="1" customWidth="1"/>
    <col min="80" max="80" width="16.28515625" style="1" hidden="1" customWidth="1"/>
    <col min="81" max="81" width="17.28515625" style="1" hidden="1" customWidth="1"/>
    <col min="82" max="82" width="16.28515625" style="1" hidden="1" customWidth="1"/>
    <col min="83" max="83" width="17" style="1" hidden="1" customWidth="1"/>
    <col min="84" max="84" width="15" style="5" hidden="1" customWidth="1"/>
    <col min="85" max="88" width="17.7109375" style="1" hidden="1" customWidth="1"/>
    <col min="89" max="89" width="15" style="5" bestFit="1" customWidth="1"/>
    <col min="90" max="91" width="14" style="1" hidden="1" customWidth="1"/>
    <col min="92" max="92" width="21.28515625" style="1" hidden="1" customWidth="1"/>
    <col min="93" max="16384" width="9.140625" style="1"/>
  </cols>
  <sheetData>
    <row r="1" spans="1:92" ht="17.25" customHeight="1" x14ac:dyDescent="0.25">
      <c r="A1" s="67" t="s">
        <v>53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6"/>
      <c r="CM1" s="66"/>
      <c r="CN1" s="66"/>
    </row>
    <row r="2" spans="1:92" ht="18" x14ac:dyDescent="0.25">
      <c r="A2" s="67" t="s">
        <v>214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6"/>
      <c r="CM2" s="66"/>
      <c r="CN2" s="66"/>
    </row>
    <row r="3" spans="1:92" ht="18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</row>
    <row r="4" spans="1:92" ht="11.2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46"/>
      <c r="AH4" s="46"/>
      <c r="AI4" s="46"/>
      <c r="AJ4" s="46"/>
      <c r="AK4" s="46"/>
      <c r="AL4" s="46"/>
      <c r="AM4" s="45"/>
      <c r="AN4" s="45"/>
      <c r="AO4" s="45"/>
      <c r="AP4" s="47"/>
      <c r="AQ4" s="47"/>
      <c r="AR4" s="47"/>
      <c r="AS4" s="47"/>
      <c r="AT4" s="47"/>
      <c r="AU4" s="47"/>
      <c r="AV4" s="45"/>
      <c r="AW4" s="47"/>
      <c r="AX4" s="46"/>
      <c r="AY4" s="45"/>
      <c r="AZ4" s="45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</row>
    <row r="5" spans="1:92" ht="14.25" customHeight="1" x14ac:dyDescent="0.2">
      <c r="A5" s="13"/>
      <c r="B5" s="13"/>
      <c r="C5" s="13"/>
      <c r="D5" s="14"/>
      <c r="E5" s="12"/>
      <c r="F5" s="12"/>
      <c r="G5" s="15" t="s">
        <v>54</v>
      </c>
      <c r="H5" s="15"/>
      <c r="I5" s="15" t="s">
        <v>60</v>
      </c>
      <c r="J5" s="69"/>
      <c r="K5" s="69"/>
      <c r="L5" s="69"/>
      <c r="M5" s="17"/>
      <c r="N5" s="18"/>
      <c r="O5" s="18"/>
      <c r="P5" s="18"/>
      <c r="Q5" s="18"/>
      <c r="R5" s="18" t="s">
        <v>81</v>
      </c>
      <c r="S5" s="18" t="s">
        <v>83</v>
      </c>
      <c r="T5" s="18" t="s">
        <v>91</v>
      </c>
      <c r="U5" s="19" t="s">
        <v>88</v>
      </c>
      <c r="V5" s="18" t="s">
        <v>76</v>
      </c>
      <c r="W5" s="20"/>
      <c r="X5" s="20"/>
      <c r="Y5" s="20"/>
      <c r="Z5" s="20"/>
      <c r="AA5" s="21" t="s">
        <v>104</v>
      </c>
      <c r="AB5" s="22"/>
      <c r="AC5" s="22"/>
      <c r="AD5" s="22"/>
      <c r="AE5" s="18" t="s">
        <v>111</v>
      </c>
      <c r="AF5" s="18" t="s">
        <v>111</v>
      </c>
      <c r="AG5" s="18" t="s">
        <v>104</v>
      </c>
      <c r="AH5" s="18"/>
      <c r="AI5" s="18"/>
      <c r="AJ5" s="18" t="s">
        <v>121</v>
      </c>
      <c r="AK5" s="18" t="s">
        <v>121</v>
      </c>
      <c r="AL5" s="18" t="s">
        <v>121</v>
      </c>
      <c r="AM5" s="15" t="s">
        <v>121</v>
      </c>
      <c r="AN5" s="15" t="s">
        <v>121</v>
      </c>
      <c r="AO5" s="15" t="s">
        <v>121</v>
      </c>
      <c r="AP5" s="15"/>
      <c r="AQ5" s="15" t="s">
        <v>121</v>
      </c>
      <c r="AR5" s="15" t="s">
        <v>135</v>
      </c>
      <c r="AS5" s="15" t="s">
        <v>121</v>
      </c>
      <c r="AT5" s="15"/>
      <c r="AU5" s="15"/>
      <c r="AV5" s="15"/>
      <c r="AW5" s="15"/>
      <c r="AX5" s="22"/>
      <c r="AY5" s="15" t="s">
        <v>104</v>
      </c>
      <c r="AZ5" s="15" t="s">
        <v>104</v>
      </c>
      <c r="BA5" s="22"/>
      <c r="BB5" s="15" t="s">
        <v>104</v>
      </c>
      <c r="BC5" s="15" t="s">
        <v>104</v>
      </c>
      <c r="BD5" s="15" t="s">
        <v>104</v>
      </c>
      <c r="BE5" s="22"/>
      <c r="BF5" s="22"/>
      <c r="BG5" s="22"/>
      <c r="BH5" s="15" t="s">
        <v>104</v>
      </c>
      <c r="BI5" s="15" t="s">
        <v>104</v>
      </c>
      <c r="BJ5" s="15" t="s">
        <v>104</v>
      </c>
      <c r="BK5" s="15" t="s">
        <v>104</v>
      </c>
      <c r="BL5" s="22"/>
      <c r="BM5" s="22"/>
      <c r="BN5" s="36"/>
      <c r="BO5" s="36"/>
      <c r="BP5" s="37"/>
      <c r="BQ5" s="15" t="s">
        <v>104</v>
      </c>
      <c r="BR5" s="15" t="s">
        <v>104</v>
      </c>
      <c r="BS5" s="37"/>
      <c r="BT5" s="15" t="s">
        <v>104</v>
      </c>
      <c r="BU5" s="15" t="s">
        <v>104</v>
      </c>
      <c r="BV5" s="15" t="s">
        <v>104</v>
      </c>
      <c r="BW5" s="37"/>
      <c r="BX5" s="15" t="s">
        <v>104</v>
      </c>
      <c r="BY5" s="15" t="s">
        <v>104</v>
      </c>
      <c r="BZ5" s="15" t="s">
        <v>104</v>
      </c>
      <c r="CA5" s="37"/>
      <c r="CB5" s="15" t="s">
        <v>104</v>
      </c>
      <c r="CC5" s="15" t="s">
        <v>104</v>
      </c>
      <c r="CD5" s="15" t="s">
        <v>104</v>
      </c>
      <c r="CE5" s="15" t="s">
        <v>104</v>
      </c>
      <c r="CF5" s="37"/>
      <c r="CG5" s="15" t="s">
        <v>104</v>
      </c>
      <c r="CH5" s="15" t="s">
        <v>104</v>
      </c>
      <c r="CI5" s="15" t="s">
        <v>104</v>
      </c>
      <c r="CJ5" s="15" t="s">
        <v>104</v>
      </c>
      <c r="CK5" s="37"/>
      <c r="CL5" s="15" t="s">
        <v>104</v>
      </c>
      <c r="CM5" s="15" t="s">
        <v>104</v>
      </c>
      <c r="CN5" s="63" t="s">
        <v>121</v>
      </c>
    </row>
    <row r="6" spans="1:92" ht="12.75" x14ac:dyDescent="0.2">
      <c r="A6" s="23"/>
      <c r="B6" s="68"/>
      <c r="C6" s="13"/>
      <c r="D6" s="24" t="s">
        <v>97</v>
      </c>
      <c r="E6" s="15" t="s">
        <v>45</v>
      </c>
      <c r="F6" s="18" t="s">
        <v>41</v>
      </c>
      <c r="G6" s="15" t="s">
        <v>55</v>
      </c>
      <c r="H6" s="15" t="s">
        <v>56</v>
      </c>
      <c r="I6" s="15" t="s">
        <v>58</v>
      </c>
      <c r="J6" s="15" t="s">
        <v>56</v>
      </c>
      <c r="K6" s="16"/>
      <c r="L6" s="16" t="s">
        <v>66</v>
      </c>
      <c r="M6" s="17" t="s">
        <v>58</v>
      </c>
      <c r="N6" s="18" t="s">
        <v>56</v>
      </c>
      <c r="O6" s="18" t="s">
        <v>69</v>
      </c>
      <c r="P6" s="18" t="s">
        <v>74</v>
      </c>
      <c r="Q6" s="18" t="s">
        <v>78</v>
      </c>
      <c r="R6" s="18" t="s">
        <v>82</v>
      </c>
      <c r="S6" s="18" t="s">
        <v>86</v>
      </c>
      <c r="T6" s="18" t="s">
        <v>92</v>
      </c>
      <c r="U6" s="19" t="s">
        <v>87</v>
      </c>
      <c r="V6" s="18" t="s">
        <v>77</v>
      </c>
      <c r="W6" s="18" t="s">
        <v>68</v>
      </c>
      <c r="X6" s="18" t="s">
        <v>68</v>
      </c>
      <c r="Y6" s="18" t="s">
        <v>68</v>
      </c>
      <c r="Z6" s="18" t="s">
        <v>56</v>
      </c>
      <c r="AA6" s="21" t="s">
        <v>105</v>
      </c>
      <c r="AB6" s="18" t="s">
        <v>98</v>
      </c>
      <c r="AC6" s="18" t="s">
        <v>98</v>
      </c>
      <c r="AD6" s="18" t="s">
        <v>98</v>
      </c>
      <c r="AE6" s="18" t="s">
        <v>112</v>
      </c>
      <c r="AF6" s="18" t="s">
        <v>113</v>
      </c>
      <c r="AG6" s="18" t="s">
        <v>114</v>
      </c>
      <c r="AH6" s="18" t="s">
        <v>98</v>
      </c>
      <c r="AI6" s="18" t="s">
        <v>98</v>
      </c>
      <c r="AJ6" s="18" t="s">
        <v>126</v>
      </c>
      <c r="AK6" s="18" t="s">
        <v>122</v>
      </c>
      <c r="AL6" s="18" t="s">
        <v>122</v>
      </c>
      <c r="AM6" s="18" t="s">
        <v>126</v>
      </c>
      <c r="AN6" s="18" t="s">
        <v>122</v>
      </c>
      <c r="AO6" s="18" t="s">
        <v>122</v>
      </c>
      <c r="AP6" s="18" t="s">
        <v>98</v>
      </c>
      <c r="AQ6" s="18" t="s">
        <v>126</v>
      </c>
      <c r="AR6" s="18" t="s">
        <v>136</v>
      </c>
      <c r="AS6" s="18" t="s">
        <v>126</v>
      </c>
      <c r="AT6" s="18" t="s">
        <v>98</v>
      </c>
      <c r="AU6" s="18" t="s">
        <v>98</v>
      </c>
      <c r="AV6" s="18" t="s">
        <v>56</v>
      </c>
      <c r="AW6" s="18" t="s">
        <v>121</v>
      </c>
      <c r="AX6" s="18" t="s">
        <v>144</v>
      </c>
      <c r="AY6" s="18" t="s">
        <v>105</v>
      </c>
      <c r="AZ6" s="18" t="s">
        <v>105</v>
      </c>
      <c r="BA6" s="18" t="s">
        <v>144</v>
      </c>
      <c r="BB6" s="18" t="s">
        <v>105</v>
      </c>
      <c r="BC6" s="18" t="s">
        <v>105</v>
      </c>
      <c r="BD6" s="18" t="s">
        <v>105</v>
      </c>
      <c r="BE6" s="18" t="s">
        <v>144</v>
      </c>
      <c r="BF6" s="18" t="s">
        <v>144</v>
      </c>
      <c r="BG6" s="18" t="s">
        <v>144</v>
      </c>
      <c r="BH6" s="18" t="s">
        <v>105</v>
      </c>
      <c r="BI6" s="18" t="s">
        <v>105</v>
      </c>
      <c r="BJ6" s="18" t="s">
        <v>105</v>
      </c>
      <c r="BK6" s="18" t="s">
        <v>105</v>
      </c>
      <c r="BL6" s="18" t="s">
        <v>144</v>
      </c>
      <c r="BM6" s="18" t="s">
        <v>144</v>
      </c>
      <c r="BN6" s="21" t="s">
        <v>56</v>
      </c>
      <c r="BO6" s="21" t="s">
        <v>121</v>
      </c>
      <c r="BP6" s="21" t="s">
        <v>179</v>
      </c>
      <c r="BQ6" s="18" t="s">
        <v>105</v>
      </c>
      <c r="BR6" s="18" t="s">
        <v>105</v>
      </c>
      <c r="BS6" s="21" t="s">
        <v>179</v>
      </c>
      <c r="BT6" s="18" t="s">
        <v>105</v>
      </c>
      <c r="BU6" s="18" t="s">
        <v>105</v>
      </c>
      <c r="BV6" s="18" t="s">
        <v>105</v>
      </c>
      <c r="BW6" s="21" t="s">
        <v>179</v>
      </c>
      <c r="BX6" s="18" t="s">
        <v>105</v>
      </c>
      <c r="BY6" s="18" t="s">
        <v>105</v>
      </c>
      <c r="BZ6" s="18" t="s">
        <v>105</v>
      </c>
      <c r="CA6" s="21" t="s">
        <v>179</v>
      </c>
      <c r="CB6" s="18" t="s">
        <v>105</v>
      </c>
      <c r="CC6" s="18" t="s">
        <v>105</v>
      </c>
      <c r="CD6" s="18" t="s">
        <v>105</v>
      </c>
      <c r="CE6" s="18" t="s">
        <v>105</v>
      </c>
      <c r="CF6" s="21" t="s">
        <v>179</v>
      </c>
      <c r="CG6" s="18" t="s">
        <v>105</v>
      </c>
      <c r="CH6" s="18" t="s">
        <v>105</v>
      </c>
      <c r="CI6" s="18" t="s">
        <v>105</v>
      </c>
      <c r="CJ6" s="18" t="s">
        <v>105</v>
      </c>
      <c r="CK6" s="21" t="s">
        <v>179</v>
      </c>
      <c r="CL6" s="18" t="s">
        <v>105</v>
      </c>
      <c r="CM6" s="18" t="s">
        <v>105</v>
      </c>
      <c r="CN6" s="64" t="s">
        <v>213</v>
      </c>
    </row>
    <row r="7" spans="1:92" ht="12.75" x14ac:dyDescent="0.2">
      <c r="A7" s="25" t="s">
        <v>0</v>
      </c>
      <c r="B7" s="68"/>
      <c r="C7" s="13" t="s">
        <v>49</v>
      </c>
      <c r="D7" s="24" t="s">
        <v>71</v>
      </c>
      <c r="E7" s="15" t="s">
        <v>46</v>
      </c>
      <c r="F7" s="18" t="s">
        <v>183</v>
      </c>
      <c r="G7" s="15" t="s">
        <v>50</v>
      </c>
      <c r="H7" s="15" t="s">
        <v>57</v>
      </c>
      <c r="I7" s="15" t="s">
        <v>59</v>
      </c>
      <c r="J7" s="15" t="s">
        <v>63</v>
      </c>
      <c r="K7" s="16" t="s">
        <v>65</v>
      </c>
      <c r="L7" s="16" t="s">
        <v>67</v>
      </c>
      <c r="M7" s="17" t="s">
        <v>183</v>
      </c>
      <c r="N7" s="18" t="s">
        <v>68</v>
      </c>
      <c r="O7" s="18" t="s">
        <v>70</v>
      </c>
      <c r="P7" s="18" t="s">
        <v>68</v>
      </c>
      <c r="Q7" s="18" t="s">
        <v>79</v>
      </c>
      <c r="R7" s="18" t="s">
        <v>68</v>
      </c>
      <c r="S7" s="18" t="s">
        <v>84</v>
      </c>
      <c r="T7" s="18" t="s">
        <v>93</v>
      </c>
      <c r="U7" s="19" t="s">
        <v>89</v>
      </c>
      <c r="V7" s="18" t="s">
        <v>95</v>
      </c>
      <c r="W7" s="18" t="s">
        <v>100</v>
      </c>
      <c r="X7" s="18" t="s">
        <v>108</v>
      </c>
      <c r="Y7" s="18" t="s">
        <v>71</v>
      </c>
      <c r="Z7" s="18" t="s">
        <v>98</v>
      </c>
      <c r="AA7" s="21" t="s">
        <v>106</v>
      </c>
      <c r="AB7" s="18" t="s">
        <v>103</v>
      </c>
      <c r="AC7" s="18" t="s">
        <v>137</v>
      </c>
      <c r="AD7" s="18" t="s">
        <v>120</v>
      </c>
      <c r="AE7" s="15" t="s">
        <v>115</v>
      </c>
      <c r="AF7" s="18" t="s">
        <v>117</v>
      </c>
      <c r="AG7" s="18" t="s">
        <v>118</v>
      </c>
      <c r="AH7" s="18" t="s">
        <v>128</v>
      </c>
      <c r="AI7" s="18" t="s">
        <v>81</v>
      </c>
      <c r="AJ7" s="18" t="s">
        <v>127</v>
      </c>
      <c r="AK7" s="18" t="s">
        <v>123</v>
      </c>
      <c r="AL7" s="18" t="s">
        <v>119</v>
      </c>
      <c r="AM7" s="18" t="s">
        <v>127</v>
      </c>
      <c r="AN7" s="18" t="s">
        <v>123</v>
      </c>
      <c r="AO7" s="18" t="s">
        <v>119</v>
      </c>
      <c r="AP7" s="18" t="s">
        <v>141</v>
      </c>
      <c r="AQ7" s="18" t="s">
        <v>133</v>
      </c>
      <c r="AR7" s="18" t="s">
        <v>131</v>
      </c>
      <c r="AS7" s="18" t="s">
        <v>142</v>
      </c>
      <c r="AT7" s="18" t="s">
        <v>108</v>
      </c>
      <c r="AU7" s="21" t="s">
        <v>71</v>
      </c>
      <c r="AV7" s="18" t="s">
        <v>144</v>
      </c>
      <c r="AW7" s="18" t="s">
        <v>148</v>
      </c>
      <c r="AX7" s="18" t="s">
        <v>103</v>
      </c>
      <c r="AY7" s="18" t="s">
        <v>151</v>
      </c>
      <c r="AZ7" s="18" t="s">
        <v>153</v>
      </c>
      <c r="BA7" s="18" t="s">
        <v>137</v>
      </c>
      <c r="BB7" s="18" t="s">
        <v>151</v>
      </c>
      <c r="BC7" s="18" t="s">
        <v>167</v>
      </c>
      <c r="BD7" s="18" t="s">
        <v>169</v>
      </c>
      <c r="BE7" s="18" t="s">
        <v>128</v>
      </c>
      <c r="BF7" s="18" t="s">
        <v>81</v>
      </c>
      <c r="BG7" s="18" t="s">
        <v>176</v>
      </c>
      <c r="BH7" s="21" t="s">
        <v>177</v>
      </c>
      <c r="BI7" s="53" t="s">
        <v>172</v>
      </c>
      <c r="BJ7" s="21" t="s">
        <v>172</v>
      </c>
      <c r="BK7" s="21" t="s">
        <v>172</v>
      </c>
      <c r="BL7" s="18" t="s">
        <v>178</v>
      </c>
      <c r="BM7" s="21" t="s">
        <v>183</v>
      </c>
      <c r="BN7" s="21" t="s">
        <v>179</v>
      </c>
      <c r="BO7" s="21" t="s">
        <v>180</v>
      </c>
      <c r="BP7" s="21" t="s">
        <v>103</v>
      </c>
      <c r="BQ7" s="18" t="s">
        <v>192</v>
      </c>
      <c r="BR7" s="18" t="s">
        <v>194</v>
      </c>
      <c r="BS7" s="21" t="s">
        <v>137</v>
      </c>
      <c r="BT7" s="18" t="s">
        <v>192</v>
      </c>
      <c r="BU7" s="18" t="s">
        <v>194</v>
      </c>
      <c r="BV7" s="18" t="s">
        <v>199</v>
      </c>
      <c r="BW7" s="21" t="s">
        <v>120</v>
      </c>
      <c r="BX7" s="18" t="s">
        <v>192</v>
      </c>
      <c r="BY7" s="18" t="s">
        <v>194</v>
      </c>
      <c r="BZ7" s="18" t="s">
        <v>201</v>
      </c>
      <c r="CA7" s="21" t="s">
        <v>128</v>
      </c>
      <c r="CB7" s="18" t="s">
        <v>192</v>
      </c>
      <c r="CC7" s="18" t="s">
        <v>194</v>
      </c>
      <c r="CD7" s="18" t="s">
        <v>201</v>
      </c>
      <c r="CE7" s="18" t="s">
        <v>203</v>
      </c>
      <c r="CF7" s="21" t="s">
        <v>205</v>
      </c>
      <c r="CG7" s="18" t="s">
        <v>192</v>
      </c>
      <c r="CH7" s="18" t="s">
        <v>194</v>
      </c>
      <c r="CI7" s="18" t="s">
        <v>201</v>
      </c>
      <c r="CJ7" s="18" t="s">
        <v>204</v>
      </c>
      <c r="CK7" s="21" t="s">
        <v>218</v>
      </c>
      <c r="CL7" s="18" t="s">
        <v>192</v>
      </c>
      <c r="CM7" s="18" t="s">
        <v>211</v>
      </c>
      <c r="CN7" s="64" t="s">
        <v>132</v>
      </c>
    </row>
    <row r="8" spans="1:92" ht="12.75" x14ac:dyDescent="0.2">
      <c r="A8" s="25" t="s">
        <v>1</v>
      </c>
      <c r="B8" s="68"/>
      <c r="C8" s="26" t="s">
        <v>34</v>
      </c>
      <c r="D8" s="24"/>
      <c r="E8" s="15" t="s">
        <v>44</v>
      </c>
      <c r="F8" s="18"/>
      <c r="G8" s="15" t="s">
        <v>51</v>
      </c>
      <c r="H8" s="27">
        <v>40032</v>
      </c>
      <c r="I8" s="15" t="s">
        <v>62</v>
      </c>
      <c r="J8" s="15" t="s">
        <v>64</v>
      </c>
      <c r="K8" s="16" t="s">
        <v>64</v>
      </c>
      <c r="L8" s="16" t="s">
        <v>64</v>
      </c>
      <c r="M8" s="17"/>
      <c r="N8" s="18" t="s">
        <v>101</v>
      </c>
      <c r="O8" s="18" t="s">
        <v>71</v>
      </c>
      <c r="P8" s="18" t="s">
        <v>75</v>
      </c>
      <c r="Q8" s="18" t="s">
        <v>80</v>
      </c>
      <c r="R8" s="18" t="s">
        <v>71</v>
      </c>
      <c r="S8" s="18" t="s">
        <v>85</v>
      </c>
      <c r="T8" s="18" t="s">
        <v>94</v>
      </c>
      <c r="U8" s="19" t="s">
        <v>90</v>
      </c>
      <c r="V8" s="18" t="s">
        <v>96</v>
      </c>
      <c r="W8" s="18" t="s">
        <v>71</v>
      </c>
      <c r="X8" s="18" t="s">
        <v>71</v>
      </c>
      <c r="Y8" s="18"/>
      <c r="Z8" s="18" t="s">
        <v>101</v>
      </c>
      <c r="AA8" s="21" t="s">
        <v>102</v>
      </c>
      <c r="AB8" s="21" t="s">
        <v>71</v>
      </c>
      <c r="AC8" s="21" t="s">
        <v>71</v>
      </c>
      <c r="AD8" s="21" t="s">
        <v>71</v>
      </c>
      <c r="AE8" s="15" t="s">
        <v>116</v>
      </c>
      <c r="AF8" s="15" t="s">
        <v>110</v>
      </c>
      <c r="AG8" s="15" t="s">
        <v>110</v>
      </c>
      <c r="AH8" s="15" t="s">
        <v>71</v>
      </c>
      <c r="AI8" s="15" t="s">
        <v>132</v>
      </c>
      <c r="AJ8" s="21" t="s">
        <v>124</v>
      </c>
      <c r="AK8" s="21" t="s">
        <v>125</v>
      </c>
      <c r="AL8" s="21" t="s">
        <v>125</v>
      </c>
      <c r="AM8" s="21" t="s">
        <v>129</v>
      </c>
      <c r="AN8" s="21" t="s">
        <v>130</v>
      </c>
      <c r="AO8" s="21" t="s">
        <v>130</v>
      </c>
      <c r="AP8" s="21" t="s">
        <v>71</v>
      </c>
      <c r="AQ8" s="21" t="s">
        <v>134</v>
      </c>
      <c r="AR8" s="21" t="s">
        <v>132</v>
      </c>
      <c r="AS8" s="21" t="s">
        <v>143</v>
      </c>
      <c r="AT8" s="21" t="s">
        <v>71</v>
      </c>
      <c r="AV8" s="21" t="s">
        <v>168</v>
      </c>
      <c r="AW8" s="21" t="s">
        <v>150</v>
      </c>
      <c r="AX8" s="21" t="s">
        <v>71</v>
      </c>
      <c r="AY8" s="21" t="s">
        <v>152</v>
      </c>
      <c r="AZ8" s="21" t="s">
        <v>154</v>
      </c>
      <c r="BA8" s="21" t="s">
        <v>71</v>
      </c>
      <c r="BB8" s="21" t="s">
        <v>166</v>
      </c>
      <c r="BC8" s="21" t="s">
        <v>166</v>
      </c>
      <c r="BD8" s="21" t="s">
        <v>170</v>
      </c>
      <c r="BE8" s="21" t="s">
        <v>71</v>
      </c>
      <c r="BF8" s="21" t="s">
        <v>71</v>
      </c>
      <c r="BG8" s="21" t="s">
        <v>59</v>
      </c>
      <c r="BH8" s="18" t="s">
        <v>143</v>
      </c>
      <c r="BI8" s="18" t="s">
        <v>173</v>
      </c>
      <c r="BJ8" s="18" t="s">
        <v>174</v>
      </c>
      <c r="BK8" s="18" t="s">
        <v>175</v>
      </c>
      <c r="BL8" s="21" t="s">
        <v>91</v>
      </c>
      <c r="BN8" s="21" t="s">
        <v>101</v>
      </c>
      <c r="BO8" s="21" t="s">
        <v>181</v>
      </c>
      <c r="BP8" s="21" t="s">
        <v>71</v>
      </c>
      <c r="BQ8" s="21" t="s">
        <v>193</v>
      </c>
      <c r="BR8" s="21" t="s">
        <v>193</v>
      </c>
      <c r="BS8" s="21" t="s">
        <v>71</v>
      </c>
      <c r="BT8" s="21" t="s">
        <v>195</v>
      </c>
      <c r="BU8" s="21" t="s">
        <v>195</v>
      </c>
      <c r="BV8" s="21" t="s">
        <v>195</v>
      </c>
      <c r="BW8" s="21" t="s">
        <v>71</v>
      </c>
      <c r="BX8" s="21" t="s">
        <v>200</v>
      </c>
      <c r="BY8" s="21" t="s">
        <v>200</v>
      </c>
      <c r="BZ8" s="21" t="s">
        <v>200</v>
      </c>
      <c r="CA8" s="21" t="s">
        <v>71</v>
      </c>
      <c r="CB8" s="21" t="s">
        <v>202</v>
      </c>
      <c r="CC8" s="21" t="s">
        <v>202</v>
      </c>
      <c r="CD8" s="21" t="s">
        <v>202</v>
      </c>
      <c r="CE8" s="21" t="s">
        <v>202</v>
      </c>
      <c r="CF8" s="21" t="s">
        <v>71</v>
      </c>
      <c r="CG8" s="21" t="s">
        <v>206</v>
      </c>
      <c r="CH8" s="21" t="s">
        <v>206</v>
      </c>
      <c r="CI8" s="21" t="s">
        <v>206</v>
      </c>
      <c r="CJ8" s="21" t="s">
        <v>206</v>
      </c>
      <c r="CK8" s="21"/>
      <c r="CL8" s="21" t="s">
        <v>209</v>
      </c>
      <c r="CM8" s="21" t="s">
        <v>212</v>
      </c>
      <c r="CN8" s="65" t="s">
        <v>210</v>
      </c>
    </row>
    <row r="9" spans="1:92" ht="12.75" x14ac:dyDescent="0.2">
      <c r="A9" s="57" t="s">
        <v>21</v>
      </c>
      <c r="B9" s="29"/>
      <c r="C9" s="58" t="s">
        <v>217</v>
      </c>
      <c r="D9" s="31">
        <v>13612790</v>
      </c>
      <c r="E9" s="32">
        <v>16780047</v>
      </c>
      <c r="F9" s="32">
        <v>15813844</v>
      </c>
      <c r="G9" s="32">
        <v>13750821</v>
      </c>
      <c r="H9" s="32"/>
      <c r="I9" s="32">
        <f t="shared" ref="I9:I48" si="0">SUM(G9:H9)</f>
        <v>13750821</v>
      </c>
      <c r="J9" s="33">
        <v>-581934</v>
      </c>
      <c r="K9" s="33"/>
      <c r="L9" s="33">
        <f t="shared" ref="L9:L48" si="1">SUM(J9:K9)</f>
        <v>-581934</v>
      </c>
      <c r="M9" s="34">
        <f>L9+I9</f>
        <v>13168887</v>
      </c>
      <c r="N9" s="34">
        <v>13169128</v>
      </c>
      <c r="O9" s="34">
        <v>13031114</v>
      </c>
      <c r="P9" s="34">
        <v>13131114</v>
      </c>
      <c r="Q9" s="34">
        <v>13100000</v>
      </c>
      <c r="R9" s="34">
        <v>13165557</v>
      </c>
      <c r="S9" s="34">
        <v>1.7809999999999999E-2</v>
      </c>
      <c r="T9" s="34">
        <f>-S9*R9</f>
        <v>-234478.57016999999</v>
      </c>
      <c r="U9" s="34">
        <f>R9+T9</f>
        <v>12931078.42983</v>
      </c>
      <c r="V9" s="34">
        <f t="shared" ref="V9:V39" si="2">U9-M9</f>
        <v>-237808.5701700002</v>
      </c>
      <c r="W9" s="35">
        <v>12767009</v>
      </c>
      <c r="X9" s="35"/>
      <c r="Y9" s="35">
        <f>W9+X9</f>
        <v>12767009</v>
      </c>
      <c r="Z9" s="36">
        <v>12767009</v>
      </c>
      <c r="AA9" s="36">
        <f>(Z9-W9)</f>
        <v>0</v>
      </c>
      <c r="AB9" s="36">
        <v>12767009</v>
      </c>
      <c r="AC9" s="36">
        <v>12767009</v>
      </c>
      <c r="AD9" s="37">
        <v>12511669</v>
      </c>
      <c r="AE9" s="36"/>
      <c r="AF9" s="36"/>
      <c r="AG9" s="36"/>
      <c r="AH9" s="37">
        <v>12511669</v>
      </c>
      <c r="AI9" s="37">
        <v>12767009</v>
      </c>
      <c r="AJ9" s="36">
        <f t="shared" ref="AJ9:AJ12" si="3">AD9-W9</f>
        <v>-255340</v>
      </c>
      <c r="AK9" s="36">
        <f>AD9-Z9</f>
        <v>-255340</v>
      </c>
      <c r="AL9" s="36">
        <f>AD9-AC9</f>
        <v>-255340</v>
      </c>
      <c r="AM9" s="37">
        <f>AH9-W9</f>
        <v>-255340</v>
      </c>
      <c r="AN9" s="37">
        <f>AH9-Z9</f>
        <v>-255340</v>
      </c>
      <c r="AO9" s="37">
        <f t="shared" ref="AO9:AO49" si="4">AH9-AC9</f>
        <v>-255340</v>
      </c>
      <c r="AP9" s="36">
        <v>12767009</v>
      </c>
      <c r="AQ9" s="36">
        <f t="shared" ref="AQ9:AQ49" si="5">AI9-W9-X9</f>
        <v>0</v>
      </c>
      <c r="AR9" s="36">
        <f>AI9-Z9</f>
        <v>0</v>
      </c>
      <c r="AS9" s="36">
        <f>AP9-W9-X9</f>
        <v>0</v>
      </c>
      <c r="AT9" s="36"/>
      <c r="AU9" s="36">
        <f>AP9+AT9</f>
        <v>12767009</v>
      </c>
      <c r="AV9" s="36">
        <v>13424188</v>
      </c>
      <c r="AW9" s="36">
        <f>AV9-(AP9+AT9)</f>
        <v>657179</v>
      </c>
      <c r="AX9" s="36">
        <v>13036906</v>
      </c>
      <c r="AY9" s="37">
        <f>AX9-AP9-AT9</f>
        <v>269897</v>
      </c>
      <c r="AZ9" s="37">
        <f>AX9-AV9</f>
        <v>-387282</v>
      </c>
      <c r="BA9" s="36">
        <v>13424188</v>
      </c>
      <c r="BB9" s="36">
        <f>BA9-AP9-AT9</f>
        <v>657179</v>
      </c>
      <c r="BC9" s="36">
        <f>BA9-AV9</f>
        <v>0</v>
      </c>
      <c r="BD9" s="36">
        <f>BA9-AX9</f>
        <v>387282</v>
      </c>
      <c r="BE9" s="36">
        <v>13444988</v>
      </c>
      <c r="BF9" s="36">
        <v>13694988</v>
      </c>
      <c r="BG9" s="36">
        <v>13694988</v>
      </c>
      <c r="BH9" s="36">
        <f>+BF9-AU9</f>
        <v>927979</v>
      </c>
      <c r="BI9" s="36">
        <f>+BF9-AV9</f>
        <v>270800</v>
      </c>
      <c r="BJ9" s="36">
        <f>+BF9-BA9</f>
        <v>270800</v>
      </c>
      <c r="BK9" s="11">
        <f>+BF9-BE9</f>
        <v>250000</v>
      </c>
      <c r="BL9" s="36">
        <v>75000</v>
      </c>
      <c r="BM9" s="36">
        <f>BG9-BL9</f>
        <v>13619988</v>
      </c>
      <c r="BN9" s="54">
        <v>13892387</v>
      </c>
      <c r="BO9" s="37">
        <f>BN9-BM9</f>
        <v>272399</v>
      </c>
      <c r="BP9" s="54">
        <v>13837895</v>
      </c>
      <c r="BQ9" s="11">
        <f>BP9-BM9</f>
        <v>217907</v>
      </c>
      <c r="BR9" s="11">
        <f>BP9-BN9</f>
        <v>-54492</v>
      </c>
      <c r="BS9" s="54">
        <v>14438400</v>
      </c>
      <c r="BT9" s="59">
        <f>BS9-BM9</f>
        <v>818412</v>
      </c>
      <c r="BU9" s="59">
        <f>BS9-BN9</f>
        <v>546013</v>
      </c>
      <c r="BV9" s="59">
        <f>BS9-BP9</f>
        <v>600505</v>
      </c>
      <c r="BW9" s="56">
        <v>13837895</v>
      </c>
      <c r="BX9" s="11">
        <f>BW9-BM9</f>
        <v>217907</v>
      </c>
      <c r="BY9" s="11">
        <f>BW9-BN9</f>
        <v>-54492</v>
      </c>
      <c r="BZ9" s="11">
        <f>BW9-BS9</f>
        <v>-600505</v>
      </c>
      <c r="CA9" s="56">
        <f>13837895+50000</f>
        <v>13887895</v>
      </c>
      <c r="CB9" s="11">
        <f>CA9-BM9</f>
        <v>267907</v>
      </c>
      <c r="CC9" s="11">
        <f>CA9-BN9</f>
        <v>-4492</v>
      </c>
      <c r="CD9" s="11">
        <f t="shared" ref="CD9:CD49" si="6">CA9-BS9</f>
        <v>-550505</v>
      </c>
      <c r="CE9" s="11">
        <f>CA9-BW9</f>
        <v>50000</v>
      </c>
      <c r="CF9" s="56">
        <v>14463400</v>
      </c>
      <c r="CG9" s="11">
        <f>CF9-BM9</f>
        <v>843412</v>
      </c>
      <c r="CH9" s="11">
        <f>CF9-BN9</f>
        <v>571013</v>
      </c>
      <c r="CI9" s="11">
        <f>CF9-BS9</f>
        <v>25000</v>
      </c>
      <c r="CJ9" s="11">
        <f>CF9-CA9</f>
        <v>575505</v>
      </c>
      <c r="CK9" s="56">
        <f>14463400</f>
        <v>14463400</v>
      </c>
      <c r="CL9" s="11">
        <f t="shared" ref="CL9:CL50" si="7">CK9-BM9</f>
        <v>843412</v>
      </c>
      <c r="CM9" s="11">
        <f>CK9-BN9</f>
        <v>571013</v>
      </c>
      <c r="CN9" s="11">
        <f>CK9-CF9</f>
        <v>0</v>
      </c>
    </row>
    <row r="10" spans="1:92" ht="12.75" x14ac:dyDescent="0.2">
      <c r="A10" s="30" t="s">
        <v>14</v>
      </c>
      <c r="B10" s="30"/>
      <c r="C10" s="30" t="s">
        <v>61</v>
      </c>
      <c r="D10" s="31">
        <v>20615313</v>
      </c>
      <c r="E10" s="32">
        <v>21615313</v>
      </c>
      <c r="F10" s="32">
        <v>19345224</v>
      </c>
      <c r="G10" s="32">
        <v>18491758</v>
      </c>
      <c r="H10" s="32"/>
      <c r="I10" s="32">
        <f t="shared" si="0"/>
        <v>18491758</v>
      </c>
      <c r="J10" s="33"/>
      <c r="K10" s="33"/>
      <c r="L10" s="33">
        <f t="shared" si="1"/>
        <v>0</v>
      </c>
      <c r="M10" s="34">
        <f t="shared" ref="M10:M48" si="8">L10+I10</f>
        <v>18491758</v>
      </c>
      <c r="N10" s="34">
        <f>M10+J10</f>
        <v>18491758</v>
      </c>
      <c r="O10" s="34">
        <v>17642582</v>
      </c>
      <c r="P10" s="34">
        <v>17642582</v>
      </c>
      <c r="Q10" s="34">
        <v>17642582</v>
      </c>
      <c r="R10" s="34">
        <v>17642582</v>
      </c>
      <c r="S10" s="34">
        <v>0</v>
      </c>
      <c r="T10" s="34">
        <f>-S10*R10</f>
        <v>0</v>
      </c>
      <c r="U10" s="34">
        <f>R10+T10</f>
        <v>17642582</v>
      </c>
      <c r="V10" s="34">
        <f t="shared" si="2"/>
        <v>-849176</v>
      </c>
      <c r="W10" s="35">
        <v>17642582</v>
      </c>
      <c r="X10" s="35"/>
      <c r="Y10" s="35">
        <f t="shared" ref="Y10:Y49" si="9">W10+X10</f>
        <v>17642582</v>
      </c>
      <c r="Z10" s="36">
        <v>17642582</v>
      </c>
      <c r="AA10" s="36">
        <f t="shared" ref="AA10:AA48" si="10">(Z10-W10)</f>
        <v>0</v>
      </c>
      <c r="AB10" s="36">
        <v>16142582</v>
      </c>
      <c r="AC10" s="36">
        <v>17642582</v>
      </c>
      <c r="AD10" s="37">
        <v>16999730</v>
      </c>
      <c r="AE10" s="36">
        <f>AC10-AB10</f>
        <v>1500000</v>
      </c>
      <c r="AF10" s="36"/>
      <c r="AG10" s="36"/>
      <c r="AH10" s="38">
        <v>17642582</v>
      </c>
      <c r="AI10" s="38">
        <v>17642582</v>
      </c>
      <c r="AJ10" s="36">
        <f t="shared" si="3"/>
        <v>-642852</v>
      </c>
      <c r="AK10" s="36">
        <f t="shared" ref="AK10:AK49" si="11">AD10-Z10</f>
        <v>-642852</v>
      </c>
      <c r="AL10" s="36">
        <f t="shared" ref="AL10:AL49" si="12">AD10-AC10</f>
        <v>-642852</v>
      </c>
      <c r="AM10" s="37">
        <f t="shared" ref="AM10:AM49" si="13">AH10-W10</f>
        <v>0</v>
      </c>
      <c r="AN10" s="37">
        <f t="shared" ref="AN10:AN49" si="14">AH10-Z10</f>
        <v>0</v>
      </c>
      <c r="AO10" s="37">
        <f t="shared" si="4"/>
        <v>0</v>
      </c>
      <c r="AP10" s="36">
        <v>17642582</v>
      </c>
      <c r="AQ10" s="36">
        <f t="shared" si="5"/>
        <v>0</v>
      </c>
      <c r="AR10" s="36">
        <f t="shared" ref="AR10:AR49" si="15">AI10-Z10</f>
        <v>0</v>
      </c>
      <c r="AS10" s="36">
        <f t="shared" ref="AS10:AS49" si="16">AP10-W10-X10</f>
        <v>0</v>
      </c>
      <c r="AT10" s="36"/>
      <c r="AU10" s="36">
        <f t="shared" ref="AU10:AU49" si="17">AP10+AT10</f>
        <v>17642582</v>
      </c>
      <c r="AV10" s="36">
        <v>17642582</v>
      </c>
      <c r="AW10" s="36">
        <f t="shared" ref="AW10:AW49" si="18">AV10-(AP10+AT10)</f>
        <v>0</v>
      </c>
      <c r="AX10" s="36">
        <v>16642582</v>
      </c>
      <c r="AY10" s="37">
        <f>AX10-AP10-AT10</f>
        <v>-1000000</v>
      </c>
      <c r="AZ10" s="37">
        <f>AX10-AV10</f>
        <v>-1000000</v>
      </c>
      <c r="BA10" s="36">
        <v>18142582</v>
      </c>
      <c r="BB10" s="36">
        <f t="shared" ref="BB10:BB49" si="19">BA10-AP10-AT10</f>
        <v>500000</v>
      </c>
      <c r="BC10" s="36">
        <f t="shared" ref="BC10:BC49" si="20">BA10-AV10</f>
        <v>500000</v>
      </c>
      <c r="BD10" s="36">
        <f t="shared" ref="BD10:BD49" si="21">BA10-AX10</f>
        <v>1500000</v>
      </c>
      <c r="BE10" s="36">
        <f>16892582+1000000</f>
        <v>17892582</v>
      </c>
      <c r="BF10" s="36">
        <v>18142582</v>
      </c>
      <c r="BG10" s="36">
        <v>18142582</v>
      </c>
      <c r="BH10" s="36">
        <f t="shared" ref="BH10:BH49" si="22">+BF10-AU10</f>
        <v>500000</v>
      </c>
      <c r="BI10" s="36">
        <f t="shared" ref="BI10:BI49" si="23">+BF10-AV10</f>
        <v>500000</v>
      </c>
      <c r="BJ10" s="36">
        <f t="shared" ref="BJ10:BJ49" si="24">+BF10-BA10</f>
        <v>0</v>
      </c>
      <c r="BK10" s="11">
        <f t="shared" ref="BK10:BK49" si="25">+BF10-BE10</f>
        <v>250000</v>
      </c>
      <c r="BL10" s="36"/>
      <c r="BM10" s="36">
        <f t="shared" ref="BM10:BM49" si="26">BG10-BL10</f>
        <v>18142582</v>
      </c>
      <c r="BN10" s="54">
        <v>18142582</v>
      </c>
      <c r="BO10" s="37">
        <f t="shared" ref="BO10:BO49" si="27">BN10-BM10</f>
        <v>0</v>
      </c>
      <c r="BP10" s="54">
        <v>17142582</v>
      </c>
      <c r="BQ10" s="11">
        <f t="shared" ref="BQ10:BQ49" si="28">BP10-BM10</f>
        <v>-1000000</v>
      </c>
      <c r="BR10" s="11">
        <f t="shared" ref="BR10:BR49" si="29">BP10-BN10</f>
        <v>-1000000</v>
      </c>
      <c r="BS10" s="54">
        <v>18642582</v>
      </c>
      <c r="BT10" s="59">
        <f t="shared" ref="BT10:BT49" si="30">BS10-BM10</f>
        <v>500000</v>
      </c>
      <c r="BU10" s="59">
        <f t="shared" ref="BU10:BU49" si="31">BS10-BN10</f>
        <v>500000</v>
      </c>
      <c r="BV10" s="59">
        <f t="shared" ref="BV10:BV49" si="32">BS10-BP10</f>
        <v>1500000</v>
      </c>
      <c r="BW10" s="56">
        <v>17142582</v>
      </c>
      <c r="BX10" s="11">
        <f t="shared" ref="BX10:BX49" si="33">BW10-BM10</f>
        <v>-1000000</v>
      </c>
      <c r="BY10" s="11">
        <f t="shared" ref="BY10:BY49" si="34">BW10-BN10</f>
        <v>-1000000</v>
      </c>
      <c r="BZ10" s="11">
        <f t="shared" ref="BZ10:BZ49" si="35">BW10-BS10</f>
        <v>-1500000</v>
      </c>
      <c r="CA10" s="56">
        <f>17142582+1000000</f>
        <v>18142582</v>
      </c>
      <c r="CB10" s="11">
        <f t="shared" ref="CB10:CB49" si="36">CA10-BM10</f>
        <v>0</v>
      </c>
      <c r="CC10" s="11">
        <f t="shared" ref="CC10:CC49" si="37">CA10-BN10</f>
        <v>0</v>
      </c>
      <c r="CD10" s="11">
        <f t="shared" si="6"/>
        <v>-500000</v>
      </c>
      <c r="CE10" s="11">
        <f t="shared" ref="CE10:CE49" si="38">CA10-BW10</f>
        <v>1000000</v>
      </c>
      <c r="CF10" s="56">
        <v>18642582</v>
      </c>
      <c r="CG10" s="11">
        <f t="shared" ref="CG10:CG50" si="39">CF10-BM10</f>
        <v>500000</v>
      </c>
      <c r="CH10" s="11">
        <f t="shared" ref="CH10:CH50" si="40">CF10-BN10</f>
        <v>500000</v>
      </c>
      <c r="CI10" s="11">
        <f t="shared" ref="CI10:CI50" si="41">CF10-BS10</f>
        <v>0</v>
      </c>
      <c r="CJ10" s="11">
        <f t="shared" ref="CJ10:CJ50" si="42">CF10-CA10</f>
        <v>500000</v>
      </c>
      <c r="CK10" s="56">
        <v>18642582</v>
      </c>
      <c r="CL10" s="11">
        <f t="shared" si="7"/>
        <v>500000</v>
      </c>
      <c r="CM10" s="11">
        <f t="shared" ref="CM10:CM50" si="43">CK10-BN10</f>
        <v>500000</v>
      </c>
      <c r="CN10" s="11">
        <f t="shared" ref="CN10:CN50" si="44">CK10-CF10</f>
        <v>0</v>
      </c>
    </row>
    <row r="11" spans="1:92" ht="12.75" x14ac:dyDescent="0.2">
      <c r="A11" s="28" t="s">
        <v>42</v>
      </c>
      <c r="B11" s="29"/>
      <c r="C11" s="30" t="s">
        <v>159</v>
      </c>
      <c r="D11" s="31">
        <v>0</v>
      </c>
      <c r="E11" s="32">
        <v>1450000</v>
      </c>
      <c r="F11" s="32">
        <v>1192800</v>
      </c>
      <c r="G11" s="32">
        <v>0</v>
      </c>
      <c r="H11" s="32"/>
      <c r="I11" s="32">
        <f t="shared" si="0"/>
        <v>0</v>
      </c>
      <c r="J11" s="33"/>
      <c r="K11" s="33"/>
      <c r="L11" s="33">
        <f t="shared" si="1"/>
        <v>0</v>
      </c>
      <c r="M11" s="34">
        <f t="shared" si="8"/>
        <v>0</v>
      </c>
      <c r="N11" s="34">
        <f>M11+J11</f>
        <v>0</v>
      </c>
      <c r="O11" s="34">
        <v>800000</v>
      </c>
      <c r="P11" s="34">
        <v>800000</v>
      </c>
      <c r="Q11" s="34">
        <v>0</v>
      </c>
      <c r="R11" s="34">
        <v>800000</v>
      </c>
      <c r="S11" s="34">
        <v>0.5</v>
      </c>
      <c r="T11" s="34">
        <f t="shared" ref="T11:T48" si="45">-S11*R11</f>
        <v>-400000</v>
      </c>
      <c r="U11" s="34">
        <f t="shared" ref="U11:U48" si="46">R11+T11</f>
        <v>400000</v>
      </c>
      <c r="V11" s="34">
        <f t="shared" si="2"/>
        <v>400000</v>
      </c>
      <c r="W11" s="35">
        <v>400000</v>
      </c>
      <c r="X11" s="35"/>
      <c r="Y11" s="35">
        <f t="shared" si="9"/>
        <v>400000</v>
      </c>
      <c r="Z11" s="36">
        <v>0</v>
      </c>
      <c r="AA11" s="36">
        <f t="shared" si="10"/>
        <v>-400000</v>
      </c>
      <c r="AB11" s="36">
        <v>400000</v>
      </c>
      <c r="AC11" s="36">
        <v>400000</v>
      </c>
      <c r="AD11" s="37">
        <v>392000</v>
      </c>
      <c r="AE11" s="36"/>
      <c r="AF11" s="36"/>
      <c r="AG11" s="36">
        <f>AC11-Z11</f>
        <v>400000</v>
      </c>
      <c r="AH11" s="37">
        <v>392000</v>
      </c>
      <c r="AI11" s="37">
        <v>400000</v>
      </c>
      <c r="AJ11" s="36">
        <f t="shared" si="3"/>
        <v>-8000</v>
      </c>
      <c r="AK11" s="36">
        <f t="shared" si="11"/>
        <v>392000</v>
      </c>
      <c r="AL11" s="36">
        <f t="shared" si="12"/>
        <v>-8000</v>
      </c>
      <c r="AM11" s="37">
        <f t="shared" si="13"/>
        <v>-8000</v>
      </c>
      <c r="AN11" s="37">
        <f t="shared" si="14"/>
        <v>392000</v>
      </c>
      <c r="AO11" s="37">
        <f t="shared" si="4"/>
        <v>-8000</v>
      </c>
      <c r="AP11" s="36">
        <v>400000</v>
      </c>
      <c r="AQ11" s="36">
        <f t="shared" si="5"/>
        <v>0</v>
      </c>
      <c r="AR11" s="36">
        <f t="shared" si="15"/>
        <v>400000</v>
      </c>
      <c r="AS11" s="36">
        <f t="shared" si="16"/>
        <v>0</v>
      </c>
      <c r="AT11" s="36"/>
      <c r="AU11" s="36">
        <f t="shared" si="17"/>
        <v>400000</v>
      </c>
      <c r="AV11" s="36">
        <v>0</v>
      </c>
      <c r="AW11" s="36">
        <f t="shared" si="18"/>
        <v>-400000</v>
      </c>
      <c r="AX11" s="36">
        <v>400000</v>
      </c>
      <c r="AY11" s="37">
        <f t="shared" ref="AY11:AY48" si="47">AX11-AP11-AT11</f>
        <v>0</v>
      </c>
      <c r="AZ11" s="37">
        <f t="shared" ref="AZ11:AZ48" si="48">AX11-AV11</f>
        <v>400000</v>
      </c>
      <c r="BA11" s="36">
        <v>400000</v>
      </c>
      <c r="BB11" s="36">
        <f t="shared" si="19"/>
        <v>0</v>
      </c>
      <c r="BC11" s="36">
        <f t="shared" si="20"/>
        <v>400000</v>
      </c>
      <c r="BD11" s="36">
        <f t="shared" si="21"/>
        <v>0</v>
      </c>
      <c r="BE11" s="36">
        <v>400000</v>
      </c>
      <c r="BF11" s="36">
        <v>400000</v>
      </c>
      <c r="BG11" s="36">
        <v>400000</v>
      </c>
      <c r="BH11" s="36">
        <f t="shared" si="22"/>
        <v>0</v>
      </c>
      <c r="BI11" s="36">
        <f t="shared" si="23"/>
        <v>400000</v>
      </c>
      <c r="BJ11" s="36">
        <f t="shared" si="24"/>
        <v>0</v>
      </c>
      <c r="BK11" s="11">
        <f t="shared" si="25"/>
        <v>0</v>
      </c>
      <c r="BL11" s="36"/>
      <c r="BM11" s="36">
        <f t="shared" si="26"/>
        <v>400000</v>
      </c>
      <c r="BN11" s="55">
        <v>0</v>
      </c>
      <c r="BO11" s="37">
        <f t="shared" si="27"/>
        <v>-400000</v>
      </c>
      <c r="BP11" s="54">
        <v>0</v>
      </c>
      <c r="BQ11" s="11">
        <f t="shared" si="28"/>
        <v>-400000</v>
      </c>
      <c r="BR11" s="11">
        <f t="shared" si="29"/>
        <v>0</v>
      </c>
      <c r="BS11" s="54">
        <v>0</v>
      </c>
      <c r="BT11" s="59">
        <f t="shared" si="30"/>
        <v>-400000</v>
      </c>
      <c r="BU11" s="59">
        <f t="shared" si="31"/>
        <v>0</v>
      </c>
      <c r="BV11" s="59">
        <f t="shared" si="32"/>
        <v>0</v>
      </c>
      <c r="BW11" s="56">
        <v>400000</v>
      </c>
      <c r="BX11" s="11">
        <f t="shared" si="33"/>
        <v>0</v>
      </c>
      <c r="BY11" s="11">
        <f t="shared" si="34"/>
        <v>400000</v>
      </c>
      <c r="BZ11" s="11">
        <f t="shared" si="35"/>
        <v>400000</v>
      </c>
      <c r="CA11" s="56">
        <v>400000</v>
      </c>
      <c r="CB11" s="11">
        <f t="shared" si="36"/>
        <v>0</v>
      </c>
      <c r="CC11" s="11">
        <f t="shared" si="37"/>
        <v>400000</v>
      </c>
      <c r="CD11" s="11">
        <f t="shared" si="6"/>
        <v>400000</v>
      </c>
      <c r="CE11" s="11">
        <f t="shared" si="38"/>
        <v>0</v>
      </c>
      <c r="CF11" s="56">
        <v>400000</v>
      </c>
      <c r="CG11" s="11">
        <f t="shared" si="39"/>
        <v>0</v>
      </c>
      <c r="CH11" s="11">
        <f t="shared" si="40"/>
        <v>400000</v>
      </c>
      <c r="CI11" s="11">
        <f t="shared" si="41"/>
        <v>400000</v>
      </c>
      <c r="CJ11" s="11">
        <f t="shared" si="42"/>
        <v>0</v>
      </c>
      <c r="CK11" s="56">
        <v>400000</v>
      </c>
      <c r="CL11" s="11">
        <f t="shared" si="7"/>
        <v>0</v>
      </c>
      <c r="CM11" s="11">
        <f t="shared" si="43"/>
        <v>400000</v>
      </c>
      <c r="CN11" s="11">
        <f t="shared" si="44"/>
        <v>0</v>
      </c>
    </row>
    <row r="12" spans="1:92" ht="12.75" x14ac:dyDescent="0.2">
      <c r="A12" s="28" t="s">
        <v>52</v>
      </c>
      <c r="B12" s="29"/>
      <c r="C12" s="30" t="s">
        <v>160</v>
      </c>
      <c r="D12" s="31"/>
      <c r="E12" s="32">
        <v>0</v>
      </c>
      <c r="F12" s="32">
        <v>0</v>
      </c>
      <c r="G12" s="32">
        <v>4175489</v>
      </c>
      <c r="H12" s="32"/>
      <c r="I12" s="32">
        <f t="shared" si="0"/>
        <v>4175489</v>
      </c>
      <c r="J12" s="33"/>
      <c r="K12" s="33"/>
      <c r="L12" s="33">
        <f t="shared" si="1"/>
        <v>0</v>
      </c>
      <c r="M12" s="34">
        <f t="shared" si="8"/>
        <v>4175489</v>
      </c>
      <c r="N12" s="34">
        <f>M12+J12</f>
        <v>4175489</v>
      </c>
      <c r="O12" s="34">
        <v>3097940</v>
      </c>
      <c r="P12" s="34">
        <v>2347940</v>
      </c>
      <c r="Q12" s="34">
        <v>4075489</v>
      </c>
      <c r="R12" s="34">
        <v>3275489</v>
      </c>
      <c r="S12" s="34">
        <v>3.8940000000000002E-2</v>
      </c>
      <c r="T12" s="34">
        <f t="shared" si="45"/>
        <v>-127547.54166</v>
      </c>
      <c r="U12" s="34">
        <f t="shared" si="46"/>
        <v>3147941.4583399999</v>
      </c>
      <c r="V12" s="34">
        <f t="shared" si="2"/>
        <v>-1027547.5416600001</v>
      </c>
      <c r="W12" s="35">
        <v>3147940</v>
      </c>
      <c r="X12" s="35"/>
      <c r="Y12" s="35">
        <f t="shared" si="9"/>
        <v>3147940</v>
      </c>
      <c r="Z12" s="36">
        <v>3947940</v>
      </c>
      <c r="AA12" s="36">
        <f t="shared" si="10"/>
        <v>800000</v>
      </c>
      <c r="AB12" s="36">
        <v>3147940</v>
      </c>
      <c r="AC12" s="36">
        <v>3147940</v>
      </c>
      <c r="AD12" s="37">
        <v>3084981</v>
      </c>
      <c r="AE12" s="36"/>
      <c r="AF12" s="36"/>
      <c r="AG12" s="36">
        <f>AC12-Z12</f>
        <v>-800000</v>
      </c>
      <c r="AH12" s="37">
        <v>3084981</v>
      </c>
      <c r="AI12" s="37">
        <v>3147940</v>
      </c>
      <c r="AJ12" s="36">
        <f t="shared" si="3"/>
        <v>-62959</v>
      </c>
      <c r="AK12" s="36">
        <f>AD12-Z12</f>
        <v>-862959</v>
      </c>
      <c r="AL12" s="36">
        <f t="shared" si="12"/>
        <v>-62959</v>
      </c>
      <c r="AM12" s="37">
        <f t="shared" si="13"/>
        <v>-62959</v>
      </c>
      <c r="AN12" s="37">
        <f t="shared" si="14"/>
        <v>-862959</v>
      </c>
      <c r="AO12" s="37">
        <f t="shared" si="4"/>
        <v>-62959</v>
      </c>
      <c r="AP12" s="36">
        <v>3147940</v>
      </c>
      <c r="AQ12" s="36">
        <f t="shared" si="5"/>
        <v>0</v>
      </c>
      <c r="AR12" s="36">
        <f t="shared" si="15"/>
        <v>-800000</v>
      </c>
      <c r="AS12" s="36">
        <f t="shared" si="16"/>
        <v>0</v>
      </c>
      <c r="AT12" s="36"/>
      <c r="AU12" s="36">
        <f t="shared" si="17"/>
        <v>3147940</v>
      </c>
      <c r="AV12" s="36">
        <v>3547940</v>
      </c>
      <c r="AW12" s="36">
        <f t="shared" si="18"/>
        <v>400000</v>
      </c>
      <c r="AX12" s="36">
        <v>3147940</v>
      </c>
      <c r="AY12" s="37">
        <f t="shared" si="47"/>
        <v>0</v>
      </c>
      <c r="AZ12" s="37">
        <f t="shared" si="48"/>
        <v>-400000</v>
      </c>
      <c r="BA12" s="36">
        <v>3147940</v>
      </c>
      <c r="BB12" s="36">
        <f t="shared" si="19"/>
        <v>0</v>
      </c>
      <c r="BC12" s="36">
        <f t="shared" si="20"/>
        <v>-400000</v>
      </c>
      <c r="BD12" s="36">
        <f t="shared" si="21"/>
        <v>0</v>
      </c>
      <c r="BE12" s="36">
        <v>3147940</v>
      </c>
      <c r="BF12" s="36">
        <v>3147940</v>
      </c>
      <c r="BG12" s="36">
        <v>3147940</v>
      </c>
      <c r="BH12" s="36">
        <f t="shared" si="22"/>
        <v>0</v>
      </c>
      <c r="BI12" s="36">
        <f t="shared" si="23"/>
        <v>-400000</v>
      </c>
      <c r="BJ12" s="36">
        <f t="shared" si="24"/>
        <v>0</v>
      </c>
      <c r="BK12" s="11">
        <f t="shared" si="25"/>
        <v>0</v>
      </c>
      <c r="BL12" s="36">
        <v>25000</v>
      </c>
      <c r="BM12" s="36">
        <f t="shared" si="26"/>
        <v>3122940</v>
      </c>
      <c r="BN12" s="54">
        <v>3797940</v>
      </c>
      <c r="BO12" s="37">
        <f t="shared" si="27"/>
        <v>675000</v>
      </c>
      <c r="BP12" s="54">
        <v>1500000</v>
      </c>
      <c r="BQ12" s="11">
        <f t="shared" si="28"/>
        <v>-1622940</v>
      </c>
      <c r="BR12" s="11">
        <f t="shared" si="29"/>
        <v>-2297940</v>
      </c>
      <c r="BS12" s="54">
        <v>1800000</v>
      </c>
      <c r="BT12" s="59">
        <f t="shared" si="30"/>
        <v>-1322940</v>
      </c>
      <c r="BU12" s="59">
        <f t="shared" si="31"/>
        <v>-1997940</v>
      </c>
      <c r="BV12" s="59">
        <f t="shared" si="32"/>
        <v>300000</v>
      </c>
      <c r="BW12" s="56">
        <v>3000000</v>
      </c>
      <c r="BX12" s="11">
        <f t="shared" si="33"/>
        <v>-122940</v>
      </c>
      <c r="BY12" s="11">
        <f t="shared" si="34"/>
        <v>-797940</v>
      </c>
      <c r="BZ12" s="11">
        <f t="shared" si="35"/>
        <v>1200000</v>
      </c>
      <c r="CA12" s="56">
        <v>3000000</v>
      </c>
      <c r="CB12" s="11">
        <f t="shared" si="36"/>
        <v>-122940</v>
      </c>
      <c r="CC12" s="11">
        <f t="shared" si="37"/>
        <v>-797940</v>
      </c>
      <c r="CD12" s="11">
        <f t="shared" si="6"/>
        <v>1200000</v>
      </c>
      <c r="CE12" s="11">
        <f t="shared" si="38"/>
        <v>0</v>
      </c>
      <c r="CF12" s="56">
        <v>2300000</v>
      </c>
      <c r="CG12" s="11">
        <f t="shared" si="39"/>
        <v>-822940</v>
      </c>
      <c r="CH12" s="11">
        <f t="shared" si="40"/>
        <v>-1497940</v>
      </c>
      <c r="CI12" s="11">
        <f t="shared" si="41"/>
        <v>500000</v>
      </c>
      <c r="CJ12" s="11">
        <f t="shared" si="42"/>
        <v>-700000</v>
      </c>
      <c r="CK12" s="56">
        <v>2300000</v>
      </c>
      <c r="CL12" s="11">
        <f t="shared" si="7"/>
        <v>-822940</v>
      </c>
      <c r="CM12" s="11">
        <f t="shared" si="43"/>
        <v>-1497940</v>
      </c>
      <c r="CN12" s="11">
        <f t="shared" si="44"/>
        <v>0</v>
      </c>
    </row>
    <row r="13" spans="1:92" ht="12.75" x14ac:dyDescent="0.2">
      <c r="A13" s="28" t="s">
        <v>15</v>
      </c>
      <c r="B13" s="29"/>
      <c r="C13" s="30" t="s">
        <v>145</v>
      </c>
      <c r="D13" s="31">
        <v>4129687</v>
      </c>
      <c r="E13" s="32">
        <v>4129687</v>
      </c>
      <c r="F13" s="32">
        <v>4092372</v>
      </c>
      <c r="G13" s="32">
        <v>2000000</v>
      </c>
      <c r="H13" s="32"/>
      <c r="I13" s="32">
        <f t="shared" si="0"/>
        <v>2000000</v>
      </c>
      <c r="J13" s="33"/>
      <c r="K13" s="33"/>
      <c r="L13" s="33">
        <f t="shared" si="1"/>
        <v>0</v>
      </c>
      <c r="M13" s="34">
        <f t="shared" si="8"/>
        <v>2000000</v>
      </c>
      <c r="N13" s="34">
        <f>M13+J13</f>
        <v>2000000</v>
      </c>
      <c r="O13" s="34">
        <v>2000000</v>
      </c>
      <c r="P13" s="34">
        <v>2000000</v>
      </c>
      <c r="Q13" s="34">
        <v>2100000</v>
      </c>
      <c r="R13" s="34">
        <v>2050000</v>
      </c>
      <c r="S13" s="34">
        <v>2.4389999999999998E-2</v>
      </c>
      <c r="T13" s="34">
        <v>-50000</v>
      </c>
      <c r="U13" s="34">
        <f t="shared" si="46"/>
        <v>2000000</v>
      </c>
      <c r="V13" s="34">
        <f t="shared" si="2"/>
        <v>0</v>
      </c>
      <c r="W13" s="35">
        <v>2000000</v>
      </c>
      <c r="X13" s="35">
        <v>2000000</v>
      </c>
      <c r="Y13" s="35">
        <f t="shared" si="9"/>
        <v>4000000</v>
      </c>
      <c r="Z13" s="36">
        <v>2000000</v>
      </c>
      <c r="AA13" s="36">
        <f t="shared" si="10"/>
        <v>0</v>
      </c>
      <c r="AB13" s="36">
        <v>0</v>
      </c>
      <c r="AC13" s="36">
        <v>0</v>
      </c>
      <c r="AD13" s="37">
        <v>1200000</v>
      </c>
      <c r="AE13" s="36"/>
      <c r="AF13" s="36">
        <f>AC13-SUM(W13:X13)</f>
        <v>-4000000</v>
      </c>
      <c r="AG13" s="36">
        <f>AC13-Z13</f>
        <v>-2000000</v>
      </c>
      <c r="AH13" s="37">
        <v>1200000</v>
      </c>
      <c r="AI13" s="37">
        <v>750000</v>
      </c>
      <c r="AJ13" s="36">
        <f>AD13-W13-X13</f>
        <v>-2800000</v>
      </c>
      <c r="AK13" s="36">
        <f>AD13-Z13</f>
        <v>-800000</v>
      </c>
      <c r="AL13" s="36">
        <f>AD13-AC13</f>
        <v>1200000</v>
      </c>
      <c r="AM13" s="37">
        <f>AH13-W13-X13</f>
        <v>-2800000</v>
      </c>
      <c r="AN13" s="37">
        <f t="shared" si="14"/>
        <v>-800000</v>
      </c>
      <c r="AO13" s="37">
        <f t="shared" si="4"/>
        <v>1200000</v>
      </c>
      <c r="AP13" s="36">
        <v>750000</v>
      </c>
      <c r="AQ13" s="36">
        <f t="shared" si="5"/>
        <v>-3250000</v>
      </c>
      <c r="AR13" s="36">
        <f t="shared" si="15"/>
        <v>-1250000</v>
      </c>
      <c r="AS13" s="36">
        <f t="shared" si="16"/>
        <v>-3250000</v>
      </c>
      <c r="AT13" s="36"/>
      <c r="AU13" s="36">
        <f t="shared" si="17"/>
        <v>750000</v>
      </c>
      <c r="AV13" s="36">
        <v>2770000</v>
      </c>
      <c r="AW13" s="36">
        <f t="shared" si="18"/>
        <v>2020000</v>
      </c>
      <c r="AX13" s="36">
        <v>2000000</v>
      </c>
      <c r="AY13" s="37">
        <f t="shared" si="47"/>
        <v>1250000</v>
      </c>
      <c r="AZ13" s="37">
        <f t="shared" si="48"/>
        <v>-770000</v>
      </c>
      <c r="BA13" s="36">
        <v>2770000</v>
      </c>
      <c r="BB13" s="36">
        <f t="shared" si="19"/>
        <v>2020000</v>
      </c>
      <c r="BC13" s="36">
        <f t="shared" si="20"/>
        <v>0</v>
      </c>
      <c r="BD13" s="36">
        <f t="shared" si="21"/>
        <v>770000</v>
      </c>
      <c r="BE13" s="36">
        <f>2750000+450000</f>
        <v>3200000</v>
      </c>
      <c r="BF13" s="36">
        <v>2870000</v>
      </c>
      <c r="BG13" s="36">
        <v>2870000</v>
      </c>
      <c r="BH13" s="36">
        <f t="shared" si="22"/>
        <v>2120000</v>
      </c>
      <c r="BI13" s="36">
        <f t="shared" si="23"/>
        <v>100000</v>
      </c>
      <c r="BJ13" s="36">
        <f t="shared" si="24"/>
        <v>100000</v>
      </c>
      <c r="BK13" s="11">
        <f t="shared" si="25"/>
        <v>-330000</v>
      </c>
      <c r="BL13" s="36"/>
      <c r="BM13" s="36">
        <f t="shared" si="26"/>
        <v>2870000</v>
      </c>
      <c r="BN13" s="56">
        <v>2871370</v>
      </c>
      <c r="BO13" s="37">
        <f t="shared" si="27"/>
        <v>1370</v>
      </c>
      <c r="BP13" s="54">
        <v>1000000</v>
      </c>
      <c r="BQ13" s="11">
        <f t="shared" si="28"/>
        <v>-1870000</v>
      </c>
      <c r="BR13" s="11">
        <f t="shared" si="29"/>
        <v>-1871370</v>
      </c>
      <c r="BS13" s="54">
        <v>2000000</v>
      </c>
      <c r="BT13" s="59">
        <f t="shared" si="30"/>
        <v>-870000</v>
      </c>
      <c r="BU13" s="59">
        <f t="shared" si="31"/>
        <v>-871370</v>
      </c>
      <c r="BV13" s="59">
        <f t="shared" si="32"/>
        <v>1000000</v>
      </c>
      <c r="BW13" s="56">
        <v>2870000</v>
      </c>
      <c r="BX13" s="11">
        <f t="shared" si="33"/>
        <v>0</v>
      </c>
      <c r="BY13" s="11">
        <f t="shared" si="34"/>
        <v>-1370</v>
      </c>
      <c r="BZ13" s="11">
        <f t="shared" si="35"/>
        <v>870000</v>
      </c>
      <c r="CA13" s="56">
        <f>2870000+500000</f>
        <v>3370000</v>
      </c>
      <c r="CB13" s="11">
        <f t="shared" si="36"/>
        <v>500000</v>
      </c>
      <c r="CC13" s="11">
        <f t="shared" si="37"/>
        <v>498630</v>
      </c>
      <c r="CD13" s="11">
        <f t="shared" si="6"/>
        <v>1370000</v>
      </c>
      <c r="CE13" s="11">
        <f t="shared" si="38"/>
        <v>500000</v>
      </c>
      <c r="CF13" s="56">
        <v>2750000</v>
      </c>
      <c r="CG13" s="11">
        <f t="shared" si="39"/>
        <v>-120000</v>
      </c>
      <c r="CH13" s="11">
        <f t="shared" si="40"/>
        <v>-121370</v>
      </c>
      <c r="CI13" s="11">
        <f t="shared" si="41"/>
        <v>750000</v>
      </c>
      <c r="CJ13" s="11">
        <f t="shared" si="42"/>
        <v>-620000</v>
      </c>
      <c r="CK13" s="56">
        <v>2750000</v>
      </c>
      <c r="CL13" s="11">
        <f t="shared" si="7"/>
        <v>-120000</v>
      </c>
      <c r="CM13" s="11">
        <f t="shared" si="43"/>
        <v>-121370</v>
      </c>
      <c r="CN13" s="11">
        <f t="shared" si="44"/>
        <v>0</v>
      </c>
    </row>
    <row r="14" spans="1:92" ht="12.75" x14ac:dyDescent="0.2">
      <c r="A14" s="28" t="s">
        <v>29</v>
      </c>
      <c r="B14" s="29"/>
      <c r="C14" s="30" t="s">
        <v>185</v>
      </c>
      <c r="D14" s="31">
        <v>470987</v>
      </c>
      <c r="E14" s="32">
        <v>470987</v>
      </c>
      <c r="F14" s="32">
        <v>447603</v>
      </c>
      <c r="G14" s="32">
        <v>397937</v>
      </c>
      <c r="H14" s="32"/>
      <c r="I14" s="32">
        <f t="shared" si="0"/>
        <v>397937</v>
      </c>
      <c r="J14" s="33"/>
      <c r="K14" s="33"/>
      <c r="L14" s="33">
        <f t="shared" si="1"/>
        <v>0</v>
      </c>
      <c r="M14" s="34">
        <f t="shared" si="8"/>
        <v>397937</v>
      </c>
      <c r="N14" s="34">
        <f>M14+J14</f>
        <v>397937</v>
      </c>
      <c r="O14" s="34">
        <v>361000</v>
      </c>
      <c r="P14" s="34">
        <v>397937</v>
      </c>
      <c r="Q14" s="34">
        <v>397937</v>
      </c>
      <c r="R14" s="34">
        <v>397937</v>
      </c>
      <c r="S14" s="34">
        <v>8.2930000000000004E-2</v>
      </c>
      <c r="T14" s="34">
        <f t="shared" si="45"/>
        <v>-33000.915410000001</v>
      </c>
      <c r="U14" s="34">
        <f t="shared" si="46"/>
        <v>364936.08458999998</v>
      </c>
      <c r="V14" s="34">
        <f t="shared" si="2"/>
        <v>-33000.915410000016</v>
      </c>
      <c r="W14" s="35">
        <v>364937</v>
      </c>
      <c r="X14" s="35"/>
      <c r="Y14" s="35">
        <f t="shared" si="9"/>
        <v>364937</v>
      </c>
      <c r="Z14" s="36">
        <v>364937</v>
      </c>
      <c r="AA14" s="36">
        <f t="shared" si="10"/>
        <v>0</v>
      </c>
      <c r="AB14" s="36">
        <v>364937</v>
      </c>
      <c r="AC14" s="36">
        <v>364937</v>
      </c>
      <c r="AD14" s="37">
        <v>357638</v>
      </c>
      <c r="AE14" s="36"/>
      <c r="AF14" s="36"/>
      <c r="AG14" s="36"/>
      <c r="AH14" s="37">
        <v>357638</v>
      </c>
      <c r="AI14" s="37">
        <v>364937</v>
      </c>
      <c r="AJ14" s="36">
        <f t="shared" ref="AJ14:AJ49" si="49">AD14-W14</f>
        <v>-7299</v>
      </c>
      <c r="AK14" s="36">
        <f t="shared" si="11"/>
        <v>-7299</v>
      </c>
      <c r="AL14" s="36">
        <f t="shared" si="12"/>
        <v>-7299</v>
      </c>
      <c r="AM14" s="37">
        <f t="shared" si="13"/>
        <v>-7299</v>
      </c>
      <c r="AN14" s="37">
        <f t="shared" si="14"/>
        <v>-7299</v>
      </c>
      <c r="AO14" s="37">
        <f t="shared" si="4"/>
        <v>-7299</v>
      </c>
      <c r="AP14" s="36">
        <v>364937</v>
      </c>
      <c r="AQ14" s="36">
        <f t="shared" si="5"/>
        <v>0</v>
      </c>
      <c r="AR14" s="36">
        <f t="shared" si="15"/>
        <v>0</v>
      </c>
      <c r="AS14" s="36">
        <f t="shared" si="16"/>
        <v>0</v>
      </c>
      <c r="AT14" s="36"/>
      <c r="AU14" s="36">
        <f t="shared" si="17"/>
        <v>364937</v>
      </c>
      <c r="AV14" s="36">
        <v>364937</v>
      </c>
      <c r="AW14" s="36">
        <f t="shared" si="18"/>
        <v>0</v>
      </c>
      <c r="AX14" s="36">
        <v>364937</v>
      </c>
      <c r="AY14" s="37">
        <f t="shared" si="47"/>
        <v>0</v>
      </c>
      <c r="AZ14" s="37">
        <f t="shared" si="48"/>
        <v>0</v>
      </c>
      <c r="BA14" s="36">
        <v>364937</v>
      </c>
      <c r="BB14" s="36">
        <f t="shared" si="19"/>
        <v>0</v>
      </c>
      <c r="BC14" s="36">
        <f t="shared" si="20"/>
        <v>0</v>
      </c>
      <c r="BD14" s="36">
        <f t="shared" si="21"/>
        <v>0</v>
      </c>
      <c r="BE14" s="36">
        <f>514937+700000</f>
        <v>1214937</v>
      </c>
      <c r="BF14" s="36">
        <f>514937+700000</f>
        <v>1214937</v>
      </c>
      <c r="BG14" s="36">
        <f>514937+700000</f>
        <v>1214937</v>
      </c>
      <c r="BH14" s="36">
        <f t="shared" si="22"/>
        <v>850000</v>
      </c>
      <c r="BI14" s="36">
        <f t="shared" si="23"/>
        <v>850000</v>
      </c>
      <c r="BJ14" s="36">
        <f t="shared" si="24"/>
        <v>850000</v>
      </c>
      <c r="BK14" s="11">
        <f t="shared" si="25"/>
        <v>0</v>
      </c>
      <c r="BL14" s="36"/>
      <c r="BM14" s="36">
        <f t="shared" si="26"/>
        <v>1214937</v>
      </c>
      <c r="BN14" s="54">
        <v>3345312</v>
      </c>
      <c r="BO14" s="37">
        <f t="shared" si="27"/>
        <v>2130375</v>
      </c>
      <c r="BP14" s="54">
        <v>1805319</v>
      </c>
      <c r="BQ14" s="11">
        <f t="shared" si="28"/>
        <v>590382</v>
      </c>
      <c r="BR14" s="11">
        <f t="shared" si="29"/>
        <v>-1539993</v>
      </c>
      <c r="BS14" s="54">
        <f>BP14</f>
        <v>1805319</v>
      </c>
      <c r="BT14" s="59">
        <f t="shared" si="30"/>
        <v>590382</v>
      </c>
      <c r="BU14" s="59">
        <f t="shared" si="31"/>
        <v>-1539993</v>
      </c>
      <c r="BV14" s="59">
        <f t="shared" si="32"/>
        <v>0</v>
      </c>
      <c r="BW14" s="56">
        <v>1805319</v>
      </c>
      <c r="BX14" s="11">
        <f t="shared" si="33"/>
        <v>590382</v>
      </c>
      <c r="BY14" s="11">
        <f t="shared" si="34"/>
        <v>-1539993</v>
      </c>
      <c r="BZ14" s="11">
        <f t="shared" si="35"/>
        <v>0</v>
      </c>
      <c r="CA14" s="56">
        <f>1805319+1194681</f>
        <v>3000000</v>
      </c>
      <c r="CB14" s="11">
        <f t="shared" si="36"/>
        <v>1785063</v>
      </c>
      <c r="CC14" s="11">
        <f t="shared" si="37"/>
        <v>-345312</v>
      </c>
      <c r="CD14" s="11">
        <f t="shared" si="6"/>
        <v>1194681</v>
      </c>
      <c r="CE14" s="11">
        <f t="shared" si="38"/>
        <v>1194681</v>
      </c>
      <c r="CF14" s="56">
        <v>2805319</v>
      </c>
      <c r="CG14" s="11">
        <f t="shared" si="39"/>
        <v>1590382</v>
      </c>
      <c r="CH14" s="11">
        <f t="shared" si="40"/>
        <v>-539993</v>
      </c>
      <c r="CI14" s="11">
        <f t="shared" si="41"/>
        <v>1000000</v>
      </c>
      <c r="CJ14" s="11">
        <f t="shared" si="42"/>
        <v>-194681</v>
      </c>
      <c r="CK14" s="56">
        <v>2805319</v>
      </c>
      <c r="CL14" s="11">
        <f t="shared" si="7"/>
        <v>1590382</v>
      </c>
      <c r="CM14" s="11">
        <f t="shared" si="43"/>
        <v>-539993</v>
      </c>
      <c r="CN14" s="11">
        <f t="shared" si="44"/>
        <v>0</v>
      </c>
    </row>
    <row r="15" spans="1:92" ht="12.75" x14ac:dyDescent="0.2">
      <c r="A15" s="28" t="s">
        <v>3</v>
      </c>
      <c r="B15" s="29"/>
      <c r="C15" s="30" t="s">
        <v>161</v>
      </c>
      <c r="D15" s="31">
        <v>7645700</v>
      </c>
      <c r="E15" s="32">
        <v>7726719</v>
      </c>
      <c r="F15" s="32">
        <v>7681009</v>
      </c>
      <c r="G15" s="32">
        <v>7685712</v>
      </c>
      <c r="H15" s="32"/>
      <c r="I15" s="32">
        <f t="shared" si="0"/>
        <v>7685712</v>
      </c>
      <c r="J15" s="33">
        <v>-99326</v>
      </c>
      <c r="K15" s="33"/>
      <c r="L15" s="33">
        <f t="shared" si="1"/>
        <v>-99326</v>
      </c>
      <c r="M15" s="34">
        <f t="shared" si="8"/>
        <v>7586386</v>
      </c>
      <c r="N15" s="34">
        <v>8158206</v>
      </c>
      <c r="O15" s="34">
        <v>7475804</v>
      </c>
      <c r="P15" s="34">
        <v>7475804</v>
      </c>
      <c r="Q15" s="34">
        <v>7586386</v>
      </c>
      <c r="R15" s="34">
        <v>7586386</v>
      </c>
      <c r="S15" s="34">
        <v>1.4579999999999999E-2</v>
      </c>
      <c r="T15" s="34">
        <f t="shared" si="45"/>
        <v>-110609.50787999999</v>
      </c>
      <c r="U15" s="34">
        <f t="shared" si="46"/>
        <v>7475776.4921199996</v>
      </c>
      <c r="V15" s="34">
        <f t="shared" si="2"/>
        <v>-110609.5078800004</v>
      </c>
      <c r="W15" s="35">
        <v>7475804</v>
      </c>
      <c r="X15" s="35"/>
      <c r="Y15" s="35">
        <f t="shared" si="9"/>
        <v>7475804</v>
      </c>
      <c r="Z15" s="36">
        <v>7507038</v>
      </c>
      <c r="AA15" s="36">
        <f t="shared" si="10"/>
        <v>31234</v>
      </c>
      <c r="AB15" s="36">
        <v>7345373</v>
      </c>
      <c r="AC15" s="36">
        <v>7345373</v>
      </c>
      <c r="AD15" s="37">
        <v>7256897</v>
      </c>
      <c r="AE15" s="36"/>
      <c r="AF15" s="36">
        <f>AC15-SUM(W15:X15)</f>
        <v>-130431</v>
      </c>
      <c r="AG15" s="36">
        <f>AC15-Z15</f>
        <v>-161665</v>
      </c>
      <c r="AH15" s="37">
        <v>7256897</v>
      </c>
      <c r="AI15" s="37">
        <v>7345373</v>
      </c>
      <c r="AJ15" s="36">
        <f t="shared" si="49"/>
        <v>-218907</v>
      </c>
      <c r="AK15" s="36">
        <f t="shared" si="11"/>
        <v>-250141</v>
      </c>
      <c r="AL15" s="36">
        <f t="shared" si="12"/>
        <v>-88476</v>
      </c>
      <c r="AM15" s="37">
        <f t="shared" si="13"/>
        <v>-218907</v>
      </c>
      <c r="AN15" s="37">
        <f t="shared" si="14"/>
        <v>-250141</v>
      </c>
      <c r="AO15" s="37">
        <f t="shared" si="4"/>
        <v>-88476</v>
      </c>
      <c r="AP15" s="36">
        <v>7345373</v>
      </c>
      <c r="AQ15" s="36">
        <f t="shared" si="5"/>
        <v>-130431</v>
      </c>
      <c r="AR15" s="36">
        <f t="shared" si="15"/>
        <v>-161665</v>
      </c>
      <c r="AS15" s="36">
        <f t="shared" si="16"/>
        <v>-130431</v>
      </c>
      <c r="AT15" s="36"/>
      <c r="AU15" s="36">
        <f t="shared" si="17"/>
        <v>7345373</v>
      </c>
      <c r="AV15" s="36">
        <v>7432061</v>
      </c>
      <c r="AW15" s="36">
        <f t="shared" si="18"/>
        <v>86688</v>
      </c>
      <c r="AX15" s="36">
        <v>7412903</v>
      </c>
      <c r="AY15" s="37">
        <f t="shared" si="47"/>
        <v>67530</v>
      </c>
      <c r="AZ15" s="37">
        <f t="shared" si="48"/>
        <v>-19158</v>
      </c>
      <c r="BA15" s="36">
        <v>7412903</v>
      </c>
      <c r="BB15" s="36">
        <f t="shared" si="19"/>
        <v>67530</v>
      </c>
      <c r="BC15" s="36">
        <f t="shared" si="20"/>
        <v>-19158</v>
      </c>
      <c r="BD15" s="36">
        <f t="shared" si="21"/>
        <v>0</v>
      </c>
      <c r="BE15" s="36">
        <v>7478770</v>
      </c>
      <c r="BF15" s="36">
        <v>7448153</v>
      </c>
      <c r="BG15" s="36">
        <v>7448153</v>
      </c>
      <c r="BH15" s="36">
        <f t="shared" si="22"/>
        <v>102780</v>
      </c>
      <c r="BI15" s="36">
        <f t="shared" si="23"/>
        <v>16092</v>
      </c>
      <c r="BJ15" s="36">
        <f t="shared" si="24"/>
        <v>35250</v>
      </c>
      <c r="BK15" s="11">
        <f t="shared" si="25"/>
        <v>-30617</v>
      </c>
      <c r="BL15" s="36">
        <f>50000+72639</f>
        <v>122639</v>
      </c>
      <c r="BM15" s="36">
        <f t="shared" si="26"/>
        <v>7325514</v>
      </c>
      <c r="BN15" s="54">
        <v>7792343</v>
      </c>
      <c r="BO15" s="37">
        <f t="shared" si="27"/>
        <v>466829</v>
      </c>
      <c r="BP15" s="54">
        <v>7761517</v>
      </c>
      <c r="BQ15" s="11">
        <f t="shared" si="28"/>
        <v>436003</v>
      </c>
      <c r="BR15" s="11">
        <f t="shared" si="29"/>
        <v>-30826</v>
      </c>
      <c r="BS15" s="54">
        <f t="shared" ref="BS15:BS17" si="50">BP15</f>
        <v>7761517</v>
      </c>
      <c r="BT15" s="59">
        <f t="shared" si="30"/>
        <v>436003</v>
      </c>
      <c r="BU15" s="59">
        <f t="shared" si="31"/>
        <v>-30826</v>
      </c>
      <c r="BV15" s="59">
        <f t="shared" si="32"/>
        <v>0</v>
      </c>
      <c r="BW15" s="56">
        <v>7761517</v>
      </c>
      <c r="BX15" s="11">
        <f t="shared" si="33"/>
        <v>436003</v>
      </c>
      <c r="BY15" s="11">
        <f t="shared" si="34"/>
        <v>-30826</v>
      </c>
      <c r="BZ15" s="11">
        <f t="shared" si="35"/>
        <v>0</v>
      </c>
      <c r="CA15" s="56">
        <v>7761517</v>
      </c>
      <c r="CB15" s="11">
        <f t="shared" si="36"/>
        <v>436003</v>
      </c>
      <c r="CC15" s="11">
        <f t="shared" si="37"/>
        <v>-30826</v>
      </c>
      <c r="CD15" s="11">
        <f t="shared" si="6"/>
        <v>0</v>
      </c>
      <c r="CE15" s="11">
        <f t="shared" si="38"/>
        <v>0</v>
      </c>
      <c r="CF15" s="56">
        <v>7761517</v>
      </c>
      <c r="CG15" s="11">
        <f t="shared" si="39"/>
        <v>436003</v>
      </c>
      <c r="CH15" s="11">
        <f t="shared" si="40"/>
        <v>-30826</v>
      </c>
      <c r="CI15" s="11">
        <f t="shared" si="41"/>
        <v>0</v>
      </c>
      <c r="CJ15" s="11">
        <f t="shared" si="42"/>
        <v>0</v>
      </c>
      <c r="CK15" s="56">
        <v>7761517</v>
      </c>
      <c r="CL15" s="11">
        <f t="shared" si="7"/>
        <v>436003</v>
      </c>
      <c r="CM15" s="11">
        <f t="shared" si="43"/>
        <v>-30826</v>
      </c>
      <c r="CN15" s="11">
        <f t="shared" si="44"/>
        <v>0</v>
      </c>
    </row>
    <row r="16" spans="1:92" ht="12.75" x14ac:dyDescent="0.2">
      <c r="A16" s="28" t="s">
        <v>16</v>
      </c>
      <c r="B16" s="29"/>
      <c r="C16" s="30" t="s">
        <v>186</v>
      </c>
      <c r="D16" s="31">
        <v>33802216</v>
      </c>
      <c r="E16" s="32">
        <v>33802216</v>
      </c>
      <c r="F16" s="32">
        <v>30802216</v>
      </c>
      <c r="G16" s="32">
        <f>25748947+200000</f>
        <v>25948947</v>
      </c>
      <c r="H16" s="32"/>
      <c r="I16" s="32">
        <f t="shared" si="0"/>
        <v>25948947</v>
      </c>
      <c r="J16" s="33"/>
      <c r="K16" s="33"/>
      <c r="L16" s="33">
        <f t="shared" si="1"/>
        <v>0</v>
      </c>
      <c r="M16" s="34">
        <f t="shared" si="8"/>
        <v>25948947</v>
      </c>
      <c r="N16" s="34">
        <f>M16+J16</f>
        <v>25948947</v>
      </c>
      <c r="O16" s="34">
        <v>25972317</v>
      </c>
      <c r="P16" s="34">
        <v>25972317</v>
      </c>
      <c r="Q16" s="34">
        <v>19273317</v>
      </c>
      <c r="R16" s="34">
        <v>25948947</v>
      </c>
      <c r="S16" s="34">
        <v>0.11561</v>
      </c>
      <c r="T16" s="34">
        <f t="shared" si="45"/>
        <v>-2999957.7626700001</v>
      </c>
      <c r="U16" s="34">
        <f t="shared" si="46"/>
        <v>22948989.237330001</v>
      </c>
      <c r="V16" s="34">
        <f t="shared" si="2"/>
        <v>-2999957.7626699992</v>
      </c>
      <c r="W16" s="35">
        <v>22948947</v>
      </c>
      <c r="X16" s="35"/>
      <c r="Y16" s="35">
        <f t="shared" si="9"/>
        <v>22948947</v>
      </c>
      <c r="Z16" s="36">
        <v>22948947</v>
      </c>
      <c r="AA16" s="36">
        <f t="shared" si="10"/>
        <v>0</v>
      </c>
      <c r="AB16" s="36">
        <v>22948947</v>
      </c>
      <c r="AC16" s="36">
        <v>22948947</v>
      </c>
      <c r="AD16" s="37">
        <v>20948947</v>
      </c>
      <c r="AE16" s="36"/>
      <c r="AF16" s="36"/>
      <c r="AG16" s="36"/>
      <c r="AH16" s="37">
        <v>20948947</v>
      </c>
      <c r="AI16" s="37">
        <v>22948947</v>
      </c>
      <c r="AJ16" s="36">
        <f t="shared" si="49"/>
        <v>-2000000</v>
      </c>
      <c r="AK16" s="36">
        <f t="shared" si="11"/>
        <v>-2000000</v>
      </c>
      <c r="AL16" s="36">
        <f t="shared" si="12"/>
        <v>-2000000</v>
      </c>
      <c r="AM16" s="37">
        <f t="shared" si="13"/>
        <v>-2000000</v>
      </c>
      <c r="AN16" s="37">
        <f t="shared" si="14"/>
        <v>-2000000</v>
      </c>
      <c r="AO16" s="37">
        <f t="shared" si="4"/>
        <v>-2000000</v>
      </c>
      <c r="AP16" s="36">
        <v>22948947</v>
      </c>
      <c r="AQ16" s="36">
        <f t="shared" si="5"/>
        <v>0</v>
      </c>
      <c r="AR16" s="36">
        <f t="shared" si="15"/>
        <v>0</v>
      </c>
      <c r="AS16" s="36">
        <f t="shared" si="16"/>
        <v>0</v>
      </c>
      <c r="AT16" s="36"/>
      <c r="AU16" s="36">
        <f t="shared" si="17"/>
        <v>22948947</v>
      </c>
      <c r="AV16" s="36">
        <v>25948947</v>
      </c>
      <c r="AW16" s="36">
        <f t="shared" si="18"/>
        <v>3000000</v>
      </c>
      <c r="AX16" s="36">
        <v>24948947</v>
      </c>
      <c r="AY16" s="37">
        <f t="shared" si="47"/>
        <v>2000000</v>
      </c>
      <c r="AZ16" s="37">
        <f t="shared" si="48"/>
        <v>-1000000</v>
      </c>
      <c r="BA16" s="36">
        <v>24948947</v>
      </c>
      <c r="BB16" s="36">
        <f t="shared" si="19"/>
        <v>2000000</v>
      </c>
      <c r="BC16" s="36">
        <f t="shared" si="20"/>
        <v>-1000000</v>
      </c>
      <c r="BD16" s="36">
        <f t="shared" si="21"/>
        <v>0</v>
      </c>
      <c r="BE16" s="36">
        <v>20948947</v>
      </c>
      <c r="BF16" s="36">
        <v>23948947</v>
      </c>
      <c r="BG16" s="36">
        <v>23948947</v>
      </c>
      <c r="BH16" s="36">
        <f t="shared" si="22"/>
        <v>1000000</v>
      </c>
      <c r="BI16" s="36">
        <f t="shared" si="23"/>
        <v>-2000000</v>
      </c>
      <c r="BJ16" s="36">
        <f t="shared" si="24"/>
        <v>-1000000</v>
      </c>
      <c r="BK16" s="11">
        <f t="shared" si="25"/>
        <v>3000000</v>
      </c>
      <c r="BL16" s="36"/>
      <c r="BM16" s="36">
        <f t="shared" si="26"/>
        <v>23948947</v>
      </c>
      <c r="BN16" s="54">
        <v>23948947</v>
      </c>
      <c r="BO16" s="37">
        <f t="shared" si="27"/>
        <v>0</v>
      </c>
      <c r="BP16" s="54">
        <v>23948947</v>
      </c>
      <c r="BQ16" s="11">
        <f t="shared" si="28"/>
        <v>0</v>
      </c>
      <c r="BR16" s="11">
        <f t="shared" si="29"/>
        <v>0</v>
      </c>
      <c r="BS16" s="54">
        <f t="shared" si="50"/>
        <v>23948947</v>
      </c>
      <c r="BT16" s="59">
        <f t="shared" si="30"/>
        <v>0</v>
      </c>
      <c r="BU16" s="59">
        <f t="shared" si="31"/>
        <v>0</v>
      </c>
      <c r="BV16" s="59">
        <f t="shared" si="32"/>
        <v>0</v>
      </c>
      <c r="BW16" s="56">
        <v>20000000</v>
      </c>
      <c r="BX16" s="11">
        <f t="shared" si="33"/>
        <v>-3948947</v>
      </c>
      <c r="BY16" s="11">
        <f t="shared" si="34"/>
        <v>-3948947</v>
      </c>
      <c r="BZ16" s="11">
        <f t="shared" si="35"/>
        <v>-3948947</v>
      </c>
      <c r="CA16" s="56">
        <v>20000000</v>
      </c>
      <c r="CB16" s="11">
        <f t="shared" si="36"/>
        <v>-3948947</v>
      </c>
      <c r="CC16" s="11">
        <f t="shared" si="37"/>
        <v>-3948947</v>
      </c>
      <c r="CD16" s="11">
        <f t="shared" si="6"/>
        <v>-3948947</v>
      </c>
      <c r="CE16" s="11">
        <f t="shared" si="38"/>
        <v>0</v>
      </c>
      <c r="CF16" s="56">
        <v>23948947</v>
      </c>
      <c r="CG16" s="11">
        <f t="shared" si="39"/>
        <v>0</v>
      </c>
      <c r="CH16" s="11">
        <f t="shared" si="40"/>
        <v>0</v>
      </c>
      <c r="CI16" s="11">
        <f t="shared" si="41"/>
        <v>0</v>
      </c>
      <c r="CJ16" s="11">
        <f t="shared" si="42"/>
        <v>3948947</v>
      </c>
      <c r="CK16" s="56">
        <v>23948947</v>
      </c>
      <c r="CL16" s="11">
        <f t="shared" si="7"/>
        <v>0</v>
      </c>
      <c r="CM16" s="11">
        <f t="shared" si="43"/>
        <v>0</v>
      </c>
      <c r="CN16" s="11">
        <f t="shared" si="44"/>
        <v>0</v>
      </c>
    </row>
    <row r="17" spans="1:92" ht="12.75" x14ac:dyDescent="0.2">
      <c r="A17" s="28" t="s">
        <v>17</v>
      </c>
      <c r="B17" s="29"/>
      <c r="C17" s="30" t="s">
        <v>107</v>
      </c>
      <c r="D17" s="31">
        <v>2900000</v>
      </c>
      <c r="E17" s="32">
        <v>2900000</v>
      </c>
      <c r="F17" s="32">
        <v>2235705</v>
      </c>
      <c r="G17" s="32">
        <v>0</v>
      </c>
      <c r="H17" s="32"/>
      <c r="I17" s="32">
        <f t="shared" si="0"/>
        <v>0</v>
      </c>
      <c r="J17" s="39"/>
      <c r="K17" s="33"/>
      <c r="L17" s="33">
        <f t="shared" si="1"/>
        <v>0</v>
      </c>
      <c r="M17" s="34">
        <f t="shared" si="8"/>
        <v>0</v>
      </c>
      <c r="N17" s="34">
        <v>0</v>
      </c>
      <c r="O17" s="34">
        <v>0</v>
      </c>
      <c r="P17" s="34">
        <v>750000</v>
      </c>
      <c r="Q17" s="34">
        <v>0</v>
      </c>
      <c r="R17" s="34">
        <v>750000</v>
      </c>
      <c r="S17" s="34">
        <v>0.46666999999999997</v>
      </c>
      <c r="T17" s="34">
        <f t="shared" si="45"/>
        <v>-350002.5</v>
      </c>
      <c r="U17" s="34">
        <f t="shared" si="46"/>
        <v>399997.5</v>
      </c>
      <c r="V17" s="34">
        <f t="shared" si="2"/>
        <v>399997.5</v>
      </c>
      <c r="W17" s="35">
        <v>400000</v>
      </c>
      <c r="X17" s="35"/>
      <c r="Y17" s="35">
        <f t="shared" si="9"/>
        <v>400000</v>
      </c>
      <c r="Z17" s="36">
        <v>0</v>
      </c>
      <c r="AA17" s="36">
        <f t="shared" si="10"/>
        <v>-400000</v>
      </c>
      <c r="AB17" s="36">
        <v>400000</v>
      </c>
      <c r="AC17" s="36">
        <v>400000</v>
      </c>
      <c r="AD17" s="37">
        <v>392000</v>
      </c>
      <c r="AE17" s="36"/>
      <c r="AF17" s="36"/>
      <c r="AG17" s="36">
        <f>AC17-Z17</f>
        <v>400000</v>
      </c>
      <c r="AH17" s="37">
        <v>392000</v>
      </c>
      <c r="AI17" s="37">
        <v>400000</v>
      </c>
      <c r="AJ17" s="36">
        <f t="shared" si="49"/>
        <v>-8000</v>
      </c>
      <c r="AK17" s="36">
        <f t="shared" si="11"/>
        <v>392000</v>
      </c>
      <c r="AL17" s="36">
        <f t="shared" si="12"/>
        <v>-8000</v>
      </c>
      <c r="AM17" s="37">
        <f t="shared" si="13"/>
        <v>-8000</v>
      </c>
      <c r="AN17" s="37">
        <f t="shared" si="14"/>
        <v>392000</v>
      </c>
      <c r="AO17" s="37">
        <f t="shared" si="4"/>
        <v>-8000</v>
      </c>
      <c r="AP17" s="36">
        <v>400000</v>
      </c>
      <c r="AQ17" s="36">
        <f t="shared" si="5"/>
        <v>0</v>
      </c>
      <c r="AR17" s="36">
        <f t="shared" si="15"/>
        <v>400000</v>
      </c>
      <c r="AS17" s="36">
        <f t="shared" si="16"/>
        <v>0</v>
      </c>
      <c r="AT17" s="36"/>
      <c r="AU17" s="36">
        <f t="shared" si="17"/>
        <v>400000</v>
      </c>
      <c r="AV17" s="36">
        <v>400000</v>
      </c>
      <c r="AW17" s="36">
        <f t="shared" si="18"/>
        <v>0</v>
      </c>
      <c r="AX17" s="36">
        <v>400000</v>
      </c>
      <c r="AY17" s="37">
        <f t="shared" si="47"/>
        <v>0</v>
      </c>
      <c r="AZ17" s="37">
        <f t="shared" si="48"/>
        <v>0</v>
      </c>
      <c r="BA17" s="36">
        <v>400000</v>
      </c>
      <c r="BB17" s="36">
        <f t="shared" si="19"/>
        <v>0</v>
      </c>
      <c r="BC17" s="36">
        <f t="shared" si="20"/>
        <v>0</v>
      </c>
      <c r="BD17" s="36">
        <f t="shared" si="21"/>
        <v>0</v>
      </c>
      <c r="BE17" s="36">
        <v>400000</v>
      </c>
      <c r="BF17" s="36">
        <v>400000</v>
      </c>
      <c r="BG17" s="36">
        <v>400000</v>
      </c>
      <c r="BH17" s="36">
        <f t="shared" si="22"/>
        <v>0</v>
      </c>
      <c r="BI17" s="36">
        <f t="shared" si="23"/>
        <v>0</v>
      </c>
      <c r="BJ17" s="36">
        <f t="shared" si="24"/>
        <v>0</v>
      </c>
      <c r="BK17" s="11">
        <f t="shared" si="25"/>
        <v>0</v>
      </c>
      <c r="BL17" s="36"/>
      <c r="BM17" s="36">
        <f t="shared" si="26"/>
        <v>400000</v>
      </c>
      <c r="BN17" s="54">
        <v>400000</v>
      </c>
      <c r="BO17" s="37">
        <f t="shared" si="27"/>
        <v>0</v>
      </c>
      <c r="BP17" s="54">
        <v>100000</v>
      </c>
      <c r="BQ17" s="11">
        <f t="shared" si="28"/>
        <v>-300000</v>
      </c>
      <c r="BR17" s="11">
        <f t="shared" si="29"/>
        <v>-300000</v>
      </c>
      <c r="BS17" s="54">
        <f t="shared" si="50"/>
        <v>100000</v>
      </c>
      <c r="BT17" s="59">
        <f t="shared" si="30"/>
        <v>-300000</v>
      </c>
      <c r="BU17" s="59">
        <f t="shared" si="31"/>
        <v>-300000</v>
      </c>
      <c r="BV17" s="59">
        <f t="shared" si="32"/>
        <v>0</v>
      </c>
      <c r="BW17" s="56">
        <v>400000</v>
      </c>
      <c r="BX17" s="11">
        <f t="shared" si="33"/>
        <v>0</v>
      </c>
      <c r="BY17" s="11">
        <f t="shared" si="34"/>
        <v>0</v>
      </c>
      <c r="BZ17" s="11">
        <f t="shared" si="35"/>
        <v>300000</v>
      </c>
      <c r="CA17" s="56">
        <v>400000</v>
      </c>
      <c r="CB17" s="11">
        <f t="shared" si="36"/>
        <v>0</v>
      </c>
      <c r="CC17" s="11">
        <f t="shared" si="37"/>
        <v>0</v>
      </c>
      <c r="CD17" s="11">
        <f t="shared" si="6"/>
        <v>300000</v>
      </c>
      <c r="CE17" s="11">
        <f t="shared" si="38"/>
        <v>0</v>
      </c>
      <c r="CF17" s="56">
        <v>350000</v>
      </c>
      <c r="CG17" s="11">
        <f t="shared" si="39"/>
        <v>-50000</v>
      </c>
      <c r="CH17" s="11">
        <f t="shared" si="40"/>
        <v>-50000</v>
      </c>
      <c r="CI17" s="11">
        <f t="shared" si="41"/>
        <v>250000</v>
      </c>
      <c r="CJ17" s="11">
        <f t="shared" si="42"/>
        <v>-50000</v>
      </c>
      <c r="CK17" s="56">
        <v>350000</v>
      </c>
      <c r="CL17" s="11">
        <f t="shared" si="7"/>
        <v>-50000</v>
      </c>
      <c r="CM17" s="11">
        <f t="shared" si="43"/>
        <v>-50000</v>
      </c>
      <c r="CN17" s="11">
        <f t="shared" si="44"/>
        <v>0</v>
      </c>
    </row>
    <row r="18" spans="1:92" ht="12.75" x14ac:dyDescent="0.2">
      <c r="A18" s="28" t="s">
        <v>18</v>
      </c>
      <c r="B18" s="29"/>
      <c r="C18" s="30" t="s">
        <v>162</v>
      </c>
      <c r="D18" s="31">
        <v>30101348</v>
      </c>
      <c r="E18" s="32">
        <v>31176348</v>
      </c>
      <c r="F18" s="32">
        <v>29972208</v>
      </c>
      <c r="G18" s="32">
        <v>28085096</v>
      </c>
      <c r="H18" s="32"/>
      <c r="I18" s="32">
        <f t="shared" si="0"/>
        <v>28085096</v>
      </c>
      <c r="J18" s="33"/>
      <c r="K18" s="33"/>
      <c r="L18" s="33">
        <f t="shared" si="1"/>
        <v>0</v>
      </c>
      <c r="M18" s="34">
        <f t="shared" si="8"/>
        <v>28085096</v>
      </c>
      <c r="N18" s="34">
        <v>27957357</v>
      </c>
      <c r="O18" s="34">
        <v>27956636</v>
      </c>
      <c r="P18" s="34">
        <v>27956636</v>
      </c>
      <c r="Q18" s="34">
        <v>27957357</v>
      </c>
      <c r="R18" s="34">
        <v>27952108</v>
      </c>
      <c r="S18" s="34">
        <v>8.94E-3</v>
      </c>
      <c r="T18" s="34">
        <f t="shared" si="45"/>
        <v>-249891.84552</v>
      </c>
      <c r="U18" s="34">
        <f t="shared" si="46"/>
        <v>27702216.154479999</v>
      </c>
      <c r="V18" s="34">
        <f t="shared" si="2"/>
        <v>-382879.8455200009</v>
      </c>
      <c r="W18" s="35">
        <v>27702108</v>
      </c>
      <c r="X18" s="35"/>
      <c r="Y18" s="35">
        <f t="shared" si="9"/>
        <v>27702108</v>
      </c>
      <c r="Z18" s="36">
        <v>27702115</v>
      </c>
      <c r="AA18" s="36">
        <f t="shared" si="10"/>
        <v>7</v>
      </c>
      <c r="AB18" s="36">
        <v>27702108</v>
      </c>
      <c r="AC18" s="36">
        <v>27702108</v>
      </c>
      <c r="AD18" s="37">
        <v>27702108</v>
      </c>
      <c r="AE18" s="36"/>
      <c r="AF18" s="36"/>
      <c r="AG18" s="36">
        <f>AC18-Z18</f>
        <v>-7</v>
      </c>
      <c r="AH18" s="37">
        <v>27702108</v>
      </c>
      <c r="AI18" s="37">
        <v>27702108</v>
      </c>
      <c r="AJ18" s="36">
        <f t="shared" si="49"/>
        <v>0</v>
      </c>
      <c r="AK18" s="36">
        <f t="shared" si="11"/>
        <v>-7</v>
      </c>
      <c r="AL18" s="36">
        <f t="shared" si="12"/>
        <v>0</v>
      </c>
      <c r="AM18" s="37">
        <f t="shared" si="13"/>
        <v>0</v>
      </c>
      <c r="AN18" s="37">
        <f t="shared" si="14"/>
        <v>-7</v>
      </c>
      <c r="AO18" s="37">
        <f t="shared" si="4"/>
        <v>0</v>
      </c>
      <c r="AP18" s="36">
        <v>27702108</v>
      </c>
      <c r="AQ18" s="36">
        <f t="shared" si="5"/>
        <v>0</v>
      </c>
      <c r="AR18" s="36">
        <f t="shared" si="15"/>
        <v>-7</v>
      </c>
      <c r="AS18" s="36">
        <f t="shared" si="16"/>
        <v>0</v>
      </c>
      <c r="AT18" s="36">
        <v>3000000</v>
      </c>
      <c r="AU18" s="36">
        <f t="shared" si="17"/>
        <v>30702108</v>
      </c>
      <c r="AV18" s="36">
        <v>30707455</v>
      </c>
      <c r="AW18" s="36">
        <f t="shared" si="18"/>
        <v>5347</v>
      </c>
      <c r="AX18" s="36">
        <v>29173112</v>
      </c>
      <c r="AY18" s="37">
        <f t="shared" si="47"/>
        <v>-1528996</v>
      </c>
      <c r="AZ18" s="37">
        <f t="shared" si="48"/>
        <v>-1534343</v>
      </c>
      <c r="BA18" s="36">
        <v>29923112</v>
      </c>
      <c r="BB18" s="36">
        <f t="shared" si="19"/>
        <v>-778996</v>
      </c>
      <c r="BC18" s="36">
        <f t="shared" si="20"/>
        <v>-784343</v>
      </c>
      <c r="BD18" s="36">
        <f t="shared" si="21"/>
        <v>750000</v>
      </c>
      <c r="BE18" s="36">
        <v>30707455</v>
      </c>
      <c r="BF18" s="36">
        <v>30174160</v>
      </c>
      <c r="BG18" s="36">
        <v>30174160</v>
      </c>
      <c r="BH18" s="36">
        <f t="shared" si="22"/>
        <v>-527948</v>
      </c>
      <c r="BI18" s="36">
        <f t="shared" si="23"/>
        <v>-533295</v>
      </c>
      <c r="BJ18" s="36">
        <f t="shared" si="24"/>
        <v>251048</v>
      </c>
      <c r="BK18" s="11">
        <f t="shared" si="25"/>
        <v>-533295</v>
      </c>
      <c r="BL18" s="36"/>
      <c r="BM18" s="36">
        <f t="shared" si="26"/>
        <v>30174160</v>
      </c>
      <c r="BN18" s="54">
        <v>35178721</v>
      </c>
      <c r="BO18" s="37">
        <f t="shared" si="27"/>
        <v>5004561</v>
      </c>
      <c r="BP18" s="54">
        <v>29156340</v>
      </c>
      <c r="BQ18" s="11">
        <f t="shared" si="28"/>
        <v>-1017820</v>
      </c>
      <c r="BR18" s="11">
        <f t="shared" si="29"/>
        <v>-6022381</v>
      </c>
      <c r="BS18" s="54">
        <v>30174160</v>
      </c>
      <c r="BT18" s="59">
        <f t="shared" si="30"/>
        <v>0</v>
      </c>
      <c r="BU18" s="59">
        <f t="shared" si="31"/>
        <v>-5004561</v>
      </c>
      <c r="BV18" s="59">
        <f t="shared" si="32"/>
        <v>1017820</v>
      </c>
      <c r="BW18" s="56">
        <v>30024160</v>
      </c>
      <c r="BX18" s="11">
        <f t="shared" si="33"/>
        <v>-150000</v>
      </c>
      <c r="BY18" s="11">
        <f t="shared" si="34"/>
        <v>-5154561</v>
      </c>
      <c r="BZ18" s="11">
        <f t="shared" si="35"/>
        <v>-150000</v>
      </c>
      <c r="CA18" s="56">
        <f>30024160+150000</f>
        <v>30174160</v>
      </c>
      <c r="CB18" s="11">
        <f t="shared" si="36"/>
        <v>0</v>
      </c>
      <c r="CC18" s="11">
        <f t="shared" si="37"/>
        <v>-5004561</v>
      </c>
      <c r="CD18" s="11">
        <f t="shared" si="6"/>
        <v>0</v>
      </c>
      <c r="CE18" s="11">
        <f t="shared" si="38"/>
        <v>150000</v>
      </c>
      <c r="CF18" s="56">
        <v>30174160</v>
      </c>
      <c r="CG18" s="11">
        <f t="shared" si="39"/>
        <v>0</v>
      </c>
      <c r="CH18" s="11">
        <f t="shared" si="40"/>
        <v>-5004561</v>
      </c>
      <c r="CI18" s="11">
        <f t="shared" si="41"/>
        <v>0</v>
      </c>
      <c r="CJ18" s="11">
        <f t="shared" si="42"/>
        <v>0</v>
      </c>
      <c r="CK18" s="56">
        <v>30174160</v>
      </c>
      <c r="CL18" s="11">
        <f t="shared" si="7"/>
        <v>0</v>
      </c>
      <c r="CM18" s="11">
        <f t="shared" si="43"/>
        <v>-5004561</v>
      </c>
      <c r="CN18" s="11">
        <f t="shared" si="44"/>
        <v>0</v>
      </c>
    </row>
    <row r="19" spans="1:92" ht="12.75" x14ac:dyDescent="0.2">
      <c r="A19" s="28" t="s">
        <v>155</v>
      </c>
      <c r="B19" s="29"/>
      <c r="C19" s="30" t="s">
        <v>157</v>
      </c>
      <c r="D19" s="31"/>
      <c r="E19" s="32"/>
      <c r="F19" s="32"/>
      <c r="G19" s="32"/>
      <c r="H19" s="32"/>
      <c r="I19" s="32"/>
      <c r="J19" s="33"/>
      <c r="K19" s="33"/>
      <c r="L19" s="33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35"/>
      <c r="Y19" s="35">
        <f t="shared" si="9"/>
        <v>0</v>
      </c>
      <c r="Z19" s="36"/>
      <c r="AA19" s="36"/>
      <c r="AB19" s="36"/>
      <c r="AC19" s="36"/>
      <c r="AD19" s="37"/>
      <c r="AE19" s="36"/>
      <c r="AF19" s="36"/>
      <c r="AG19" s="36"/>
      <c r="AH19" s="37"/>
      <c r="AI19" s="37"/>
      <c r="AJ19" s="36"/>
      <c r="AK19" s="36"/>
      <c r="AL19" s="36"/>
      <c r="AM19" s="37"/>
      <c r="AN19" s="37"/>
      <c r="AO19" s="37"/>
      <c r="AP19" s="36"/>
      <c r="AQ19" s="36"/>
      <c r="AR19" s="36"/>
      <c r="AS19" s="36"/>
      <c r="AT19" s="36"/>
      <c r="AU19" s="36">
        <f t="shared" si="17"/>
        <v>0</v>
      </c>
      <c r="AV19" s="36"/>
      <c r="AW19" s="36"/>
      <c r="AX19" s="36">
        <v>11300000</v>
      </c>
      <c r="AY19" s="37">
        <f t="shared" si="47"/>
        <v>11300000</v>
      </c>
      <c r="AZ19" s="37">
        <f t="shared" si="48"/>
        <v>11300000</v>
      </c>
      <c r="BA19" s="36">
        <v>11300000</v>
      </c>
      <c r="BB19" s="36">
        <f t="shared" si="19"/>
        <v>11300000</v>
      </c>
      <c r="BC19" s="36">
        <f t="shared" si="20"/>
        <v>11300000</v>
      </c>
      <c r="BD19" s="36">
        <f t="shared" si="21"/>
        <v>0</v>
      </c>
      <c r="BE19" s="36"/>
      <c r="BF19" s="36">
        <v>11300000</v>
      </c>
      <c r="BG19" s="36">
        <v>11300000</v>
      </c>
      <c r="BH19" s="36">
        <f t="shared" si="22"/>
        <v>11300000</v>
      </c>
      <c r="BI19" s="36">
        <f t="shared" si="23"/>
        <v>11300000</v>
      </c>
      <c r="BJ19" s="36">
        <f t="shared" si="24"/>
        <v>0</v>
      </c>
      <c r="BK19" s="11">
        <f t="shared" si="25"/>
        <v>11300000</v>
      </c>
      <c r="BL19" s="36">
        <v>5250000</v>
      </c>
      <c r="BM19" s="40">
        <f>BG19-BL19+5250000</f>
        <v>11300000</v>
      </c>
      <c r="BN19" s="56">
        <v>6050000</v>
      </c>
      <c r="BO19" s="38">
        <f t="shared" si="27"/>
        <v>-5250000</v>
      </c>
      <c r="BP19" s="56">
        <v>6050000</v>
      </c>
      <c r="BQ19" s="60">
        <f t="shared" si="28"/>
        <v>-5250000</v>
      </c>
      <c r="BR19" s="60">
        <f t="shared" si="29"/>
        <v>0</v>
      </c>
      <c r="BS19" s="56">
        <f>BP19</f>
        <v>6050000</v>
      </c>
      <c r="BT19" s="61">
        <f t="shared" si="30"/>
        <v>-5250000</v>
      </c>
      <c r="BU19" s="61">
        <f t="shared" si="31"/>
        <v>0</v>
      </c>
      <c r="BV19" s="61">
        <f t="shared" si="32"/>
        <v>0</v>
      </c>
      <c r="BW19" s="56">
        <v>6050000</v>
      </c>
      <c r="BX19" s="60">
        <f t="shared" si="33"/>
        <v>-5250000</v>
      </c>
      <c r="BY19" s="60">
        <f t="shared" si="34"/>
        <v>0</v>
      </c>
      <c r="BZ19" s="60">
        <f t="shared" si="35"/>
        <v>0</v>
      </c>
      <c r="CA19" s="56">
        <f>6050000+1300000</f>
        <v>7350000</v>
      </c>
      <c r="CB19" s="11">
        <f t="shared" si="36"/>
        <v>-3950000</v>
      </c>
      <c r="CC19" s="11">
        <f t="shared" si="37"/>
        <v>1300000</v>
      </c>
      <c r="CD19" s="11">
        <f t="shared" si="6"/>
        <v>1300000</v>
      </c>
      <c r="CE19" s="11">
        <f t="shared" si="38"/>
        <v>1300000</v>
      </c>
      <c r="CF19" s="56">
        <v>7350000</v>
      </c>
      <c r="CG19" s="11">
        <f t="shared" si="39"/>
        <v>-3950000</v>
      </c>
      <c r="CH19" s="11">
        <f t="shared" si="40"/>
        <v>1300000</v>
      </c>
      <c r="CI19" s="11">
        <f t="shared" si="41"/>
        <v>1300000</v>
      </c>
      <c r="CJ19" s="11">
        <f t="shared" si="42"/>
        <v>0</v>
      </c>
      <c r="CK19" s="56">
        <v>7350000</v>
      </c>
      <c r="CL19" s="11">
        <f t="shared" si="7"/>
        <v>-3950000</v>
      </c>
      <c r="CM19" s="11">
        <f t="shared" si="43"/>
        <v>1300000</v>
      </c>
      <c r="CN19" s="11">
        <f t="shared" si="44"/>
        <v>0</v>
      </c>
    </row>
    <row r="20" spans="1:92" ht="12.75" x14ac:dyDescent="0.2">
      <c r="A20" s="28" t="s">
        <v>4</v>
      </c>
      <c r="B20" s="29"/>
      <c r="C20" s="30" t="s">
        <v>47</v>
      </c>
      <c r="D20" s="31">
        <v>58300000</v>
      </c>
      <c r="E20" s="32">
        <v>61300000</v>
      </c>
      <c r="F20" s="32">
        <v>58357600</v>
      </c>
      <c r="G20" s="32">
        <v>40521840</v>
      </c>
      <c r="H20" s="32"/>
      <c r="I20" s="32">
        <f t="shared" si="0"/>
        <v>40521840</v>
      </c>
      <c r="J20" s="33"/>
      <c r="K20" s="33"/>
      <c r="L20" s="33">
        <f t="shared" si="1"/>
        <v>0</v>
      </c>
      <c r="M20" s="34">
        <f t="shared" si="8"/>
        <v>40521840</v>
      </c>
      <c r="N20" s="34">
        <f>M20+J20</f>
        <v>40521840</v>
      </c>
      <c r="O20" s="34">
        <v>42547932</v>
      </c>
      <c r="P20" s="34">
        <v>42547932</v>
      </c>
      <c r="Q20" s="34">
        <v>40521840</v>
      </c>
      <c r="R20" s="34">
        <v>44074024</v>
      </c>
      <c r="S20" s="34">
        <v>8.0610000000000001E-2</v>
      </c>
      <c r="T20" s="34">
        <f t="shared" si="45"/>
        <v>-3552807.0746400002</v>
      </c>
      <c r="U20" s="34">
        <f t="shared" si="46"/>
        <v>40521216.925360002</v>
      </c>
      <c r="V20" s="34">
        <f t="shared" si="2"/>
        <v>-623.07463999837637</v>
      </c>
      <c r="W20" s="35">
        <v>40521000</v>
      </c>
      <c r="X20" s="35"/>
      <c r="Y20" s="35">
        <f t="shared" si="9"/>
        <v>40521000</v>
      </c>
      <c r="Z20" s="36">
        <v>40521000</v>
      </c>
      <c r="AA20" s="36">
        <f t="shared" si="10"/>
        <v>0</v>
      </c>
      <c r="AB20" s="36">
        <v>40521000</v>
      </c>
      <c r="AC20" s="36">
        <v>40521000</v>
      </c>
      <c r="AD20" s="37">
        <v>40521000</v>
      </c>
      <c r="AE20" s="36"/>
      <c r="AF20" s="36"/>
      <c r="AG20" s="36"/>
      <c r="AH20" s="38">
        <v>43521000</v>
      </c>
      <c r="AI20" s="38">
        <v>43521000</v>
      </c>
      <c r="AJ20" s="36">
        <f t="shared" si="49"/>
        <v>0</v>
      </c>
      <c r="AK20" s="36">
        <f t="shared" si="11"/>
        <v>0</v>
      </c>
      <c r="AL20" s="36">
        <f t="shared" si="12"/>
        <v>0</v>
      </c>
      <c r="AM20" s="37">
        <f t="shared" si="13"/>
        <v>3000000</v>
      </c>
      <c r="AN20" s="37">
        <f t="shared" si="14"/>
        <v>3000000</v>
      </c>
      <c r="AO20" s="37">
        <f t="shared" si="4"/>
        <v>3000000</v>
      </c>
      <c r="AP20" s="36">
        <v>43521000</v>
      </c>
      <c r="AQ20" s="36">
        <f t="shared" si="5"/>
        <v>3000000</v>
      </c>
      <c r="AR20" s="36">
        <f t="shared" si="15"/>
        <v>3000000</v>
      </c>
      <c r="AS20" s="36">
        <f t="shared" si="16"/>
        <v>3000000</v>
      </c>
      <c r="AT20" s="36"/>
      <c r="AU20" s="36">
        <f t="shared" si="17"/>
        <v>43521000</v>
      </c>
      <c r="AV20" s="36">
        <v>43521000</v>
      </c>
      <c r="AW20" s="36">
        <f t="shared" si="18"/>
        <v>0</v>
      </c>
      <c r="AX20" s="36">
        <v>45442445</v>
      </c>
      <c r="AY20" s="37">
        <f t="shared" si="47"/>
        <v>1921445</v>
      </c>
      <c r="AZ20" s="37">
        <f t="shared" si="48"/>
        <v>1921445</v>
      </c>
      <c r="BA20" s="36">
        <v>45442445</v>
      </c>
      <c r="BB20" s="36">
        <f t="shared" si="19"/>
        <v>1921445</v>
      </c>
      <c r="BC20" s="36">
        <f t="shared" si="20"/>
        <v>1921445</v>
      </c>
      <c r="BD20" s="36">
        <f t="shared" si="21"/>
        <v>0</v>
      </c>
      <c r="BE20" s="36">
        <f>43521000+2000000</f>
        <v>45521000</v>
      </c>
      <c r="BF20" s="36">
        <f>43521000+2000000</f>
        <v>45521000</v>
      </c>
      <c r="BG20" s="36">
        <f>43521000+2000000</f>
        <v>45521000</v>
      </c>
      <c r="BH20" s="36">
        <f t="shared" si="22"/>
        <v>2000000</v>
      </c>
      <c r="BI20" s="36">
        <f t="shared" si="23"/>
        <v>2000000</v>
      </c>
      <c r="BJ20" s="36">
        <f t="shared" si="24"/>
        <v>78555</v>
      </c>
      <c r="BK20" s="11">
        <f t="shared" si="25"/>
        <v>0</v>
      </c>
      <c r="BL20" s="36">
        <v>1000000</v>
      </c>
      <c r="BM20" s="40">
        <f>BG20-BL20+1000000</f>
        <v>45521000</v>
      </c>
      <c r="BN20" s="56">
        <v>44521000</v>
      </c>
      <c r="BO20" s="38">
        <f t="shared" si="27"/>
        <v>-1000000</v>
      </c>
      <c r="BP20" s="56">
        <v>45521000</v>
      </c>
      <c r="BQ20" s="60">
        <f t="shared" si="28"/>
        <v>0</v>
      </c>
      <c r="BR20" s="60">
        <f t="shared" si="29"/>
        <v>1000000</v>
      </c>
      <c r="BS20" s="56">
        <v>46021000</v>
      </c>
      <c r="BT20" s="61">
        <f t="shared" si="30"/>
        <v>500000</v>
      </c>
      <c r="BU20" s="61">
        <f t="shared" si="31"/>
        <v>1500000</v>
      </c>
      <c r="BV20" s="61">
        <f t="shared" si="32"/>
        <v>500000</v>
      </c>
      <c r="BW20" s="56">
        <v>49521000</v>
      </c>
      <c r="BX20" s="60">
        <f t="shared" si="33"/>
        <v>4000000</v>
      </c>
      <c r="BY20" s="60">
        <f t="shared" si="34"/>
        <v>5000000</v>
      </c>
      <c r="BZ20" s="60">
        <f t="shared" si="35"/>
        <v>3500000</v>
      </c>
      <c r="CA20" s="56">
        <f>49521000+2000000</f>
        <v>51521000</v>
      </c>
      <c r="CB20" s="11">
        <f t="shared" si="36"/>
        <v>6000000</v>
      </c>
      <c r="CC20" s="11">
        <f t="shared" si="37"/>
        <v>7000000</v>
      </c>
      <c r="CD20" s="11">
        <f t="shared" si="6"/>
        <v>5500000</v>
      </c>
      <c r="CE20" s="11">
        <f t="shared" si="38"/>
        <v>2000000</v>
      </c>
      <c r="CF20" s="56">
        <v>51521000</v>
      </c>
      <c r="CG20" s="11">
        <f t="shared" si="39"/>
        <v>6000000</v>
      </c>
      <c r="CH20" s="11">
        <f t="shared" si="40"/>
        <v>7000000</v>
      </c>
      <c r="CI20" s="11">
        <f t="shared" si="41"/>
        <v>5500000</v>
      </c>
      <c r="CJ20" s="11">
        <f t="shared" si="42"/>
        <v>0</v>
      </c>
      <c r="CK20" s="56">
        <v>51521000</v>
      </c>
      <c r="CL20" s="11">
        <f t="shared" si="7"/>
        <v>6000000</v>
      </c>
      <c r="CM20" s="11">
        <f t="shared" si="43"/>
        <v>7000000</v>
      </c>
      <c r="CN20" s="11">
        <f t="shared" si="44"/>
        <v>0</v>
      </c>
    </row>
    <row r="21" spans="1:92" ht="12.75" x14ac:dyDescent="0.2">
      <c r="A21" s="28" t="s">
        <v>27</v>
      </c>
      <c r="B21" s="29"/>
      <c r="C21" s="30" t="s">
        <v>187</v>
      </c>
      <c r="D21" s="31">
        <v>1950000</v>
      </c>
      <c r="E21" s="32">
        <v>2075000</v>
      </c>
      <c r="F21" s="32">
        <v>1975400</v>
      </c>
      <c r="G21" s="32">
        <v>646855</v>
      </c>
      <c r="H21" s="32"/>
      <c r="I21" s="32">
        <f t="shared" si="0"/>
        <v>646855</v>
      </c>
      <c r="J21" s="33">
        <v>-146855</v>
      </c>
      <c r="K21" s="33"/>
      <c r="L21" s="33">
        <f t="shared" si="1"/>
        <v>-146855</v>
      </c>
      <c r="M21" s="34">
        <f t="shared" si="8"/>
        <v>500000</v>
      </c>
      <c r="N21" s="34">
        <v>500000</v>
      </c>
      <c r="O21" s="34">
        <v>400000</v>
      </c>
      <c r="P21" s="34">
        <v>400000</v>
      </c>
      <c r="Q21" s="34"/>
      <c r="R21" s="34">
        <v>500000</v>
      </c>
      <c r="S21" s="34">
        <v>0.2</v>
      </c>
      <c r="T21" s="34">
        <f t="shared" si="45"/>
        <v>-100000</v>
      </c>
      <c r="U21" s="34">
        <f t="shared" si="46"/>
        <v>400000</v>
      </c>
      <c r="V21" s="34">
        <f t="shared" si="2"/>
        <v>-100000</v>
      </c>
      <c r="W21" s="35">
        <v>400000</v>
      </c>
      <c r="X21" s="35"/>
      <c r="Y21" s="35">
        <f t="shared" si="9"/>
        <v>400000</v>
      </c>
      <c r="Z21" s="36">
        <v>400000</v>
      </c>
      <c r="AA21" s="36">
        <f t="shared" si="10"/>
        <v>0</v>
      </c>
      <c r="AB21" s="36">
        <v>400000</v>
      </c>
      <c r="AC21" s="36">
        <v>400000</v>
      </c>
      <c r="AD21" s="37">
        <v>400000</v>
      </c>
      <c r="AE21" s="36"/>
      <c r="AF21" s="36"/>
      <c r="AG21" s="36"/>
      <c r="AH21" s="37">
        <v>400000</v>
      </c>
      <c r="AI21" s="37">
        <v>400000</v>
      </c>
      <c r="AJ21" s="36">
        <f t="shared" si="49"/>
        <v>0</v>
      </c>
      <c r="AK21" s="36">
        <f t="shared" si="11"/>
        <v>0</v>
      </c>
      <c r="AL21" s="36">
        <f t="shared" si="12"/>
        <v>0</v>
      </c>
      <c r="AM21" s="37">
        <f t="shared" si="13"/>
        <v>0</v>
      </c>
      <c r="AN21" s="37">
        <f t="shared" si="14"/>
        <v>0</v>
      </c>
      <c r="AO21" s="37">
        <f t="shared" si="4"/>
        <v>0</v>
      </c>
      <c r="AP21" s="36">
        <v>400000</v>
      </c>
      <c r="AQ21" s="36">
        <f t="shared" si="5"/>
        <v>0</v>
      </c>
      <c r="AR21" s="36">
        <f t="shared" si="15"/>
        <v>0</v>
      </c>
      <c r="AS21" s="36">
        <f t="shared" si="16"/>
        <v>0</v>
      </c>
      <c r="AT21" s="36"/>
      <c r="AU21" s="36">
        <f t="shared" si="17"/>
        <v>400000</v>
      </c>
      <c r="AV21" s="36">
        <v>400000</v>
      </c>
      <c r="AW21" s="36">
        <f t="shared" si="18"/>
        <v>0</v>
      </c>
      <c r="AX21" s="36">
        <v>200000</v>
      </c>
      <c r="AY21" s="37">
        <f t="shared" si="47"/>
        <v>-200000</v>
      </c>
      <c r="AZ21" s="37">
        <f t="shared" si="48"/>
        <v>-200000</v>
      </c>
      <c r="BA21" s="36">
        <v>200000</v>
      </c>
      <c r="BB21" s="36">
        <f t="shared" si="19"/>
        <v>-200000</v>
      </c>
      <c r="BC21" s="36">
        <f t="shared" si="20"/>
        <v>-200000</v>
      </c>
      <c r="BD21" s="36">
        <f t="shared" si="21"/>
        <v>0</v>
      </c>
      <c r="BE21" s="36">
        <v>400000</v>
      </c>
      <c r="BF21" s="36">
        <v>250000</v>
      </c>
      <c r="BG21" s="36">
        <v>250000</v>
      </c>
      <c r="BH21" s="36">
        <f t="shared" si="22"/>
        <v>-150000</v>
      </c>
      <c r="BI21" s="36">
        <f t="shared" si="23"/>
        <v>-150000</v>
      </c>
      <c r="BJ21" s="36">
        <f t="shared" si="24"/>
        <v>50000</v>
      </c>
      <c r="BK21" s="11">
        <f t="shared" si="25"/>
        <v>-150000</v>
      </c>
      <c r="BL21" s="36"/>
      <c r="BM21" s="40">
        <f t="shared" si="26"/>
        <v>250000</v>
      </c>
      <c r="BN21" s="56">
        <v>250000</v>
      </c>
      <c r="BO21" s="38">
        <f t="shared" si="27"/>
        <v>0</v>
      </c>
      <c r="BP21" s="56">
        <v>200000</v>
      </c>
      <c r="BQ21" s="60">
        <f t="shared" si="28"/>
        <v>-50000</v>
      </c>
      <c r="BR21" s="60">
        <f t="shared" si="29"/>
        <v>-50000</v>
      </c>
      <c r="BS21" s="56">
        <f>BP21</f>
        <v>200000</v>
      </c>
      <c r="BT21" s="61">
        <f t="shared" si="30"/>
        <v>-50000</v>
      </c>
      <c r="BU21" s="61">
        <f t="shared" si="31"/>
        <v>-50000</v>
      </c>
      <c r="BV21" s="61">
        <f t="shared" si="32"/>
        <v>0</v>
      </c>
      <c r="BW21" s="56">
        <v>3000000</v>
      </c>
      <c r="BX21" s="60">
        <f t="shared" si="33"/>
        <v>2750000</v>
      </c>
      <c r="BY21" s="60">
        <f t="shared" si="34"/>
        <v>2750000</v>
      </c>
      <c r="BZ21" s="60">
        <f t="shared" si="35"/>
        <v>2800000</v>
      </c>
      <c r="CA21" s="56">
        <v>3000000</v>
      </c>
      <c r="CB21" s="11">
        <f t="shared" si="36"/>
        <v>2750000</v>
      </c>
      <c r="CC21" s="11">
        <f t="shared" si="37"/>
        <v>2750000</v>
      </c>
      <c r="CD21" s="11">
        <f t="shared" si="6"/>
        <v>2800000</v>
      </c>
      <c r="CE21" s="11">
        <f t="shared" si="38"/>
        <v>0</v>
      </c>
      <c r="CF21" s="56">
        <v>3000000</v>
      </c>
      <c r="CG21" s="11">
        <f t="shared" si="39"/>
        <v>2750000</v>
      </c>
      <c r="CH21" s="11">
        <f t="shared" si="40"/>
        <v>2750000</v>
      </c>
      <c r="CI21" s="11">
        <f t="shared" si="41"/>
        <v>2800000</v>
      </c>
      <c r="CJ21" s="11">
        <f t="shared" si="42"/>
        <v>0</v>
      </c>
      <c r="CK21" s="56">
        <v>3000000</v>
      </c>
      <c r="CL21" s="11">
        <f t="shared" si="7"/>
        <v>2750000</v>
      </c>
      <c r="CM21" s="11">
        <f t="shared" si="43"/>
        <v>2750000</v>
      </c>
      <c r="CN21" s="11">
        <f t="shared" si="44"/>
        <v>0</v>
      </c>
    </row>
    <row r="22" spans="1:92" ht="12.75" x14ac:dyDescent="0.2">
      <c r="A22" s="28" t="s">
        <v>149</v>
      </c>
      <c r="B22" s="29"/>
      <c r="C22" s="30" t="s">
        <v>188</v>
      </c>
      <c r="D22" s="31"/>
      <c r="E22" s="32"/>
      <c r="F22" s="32"/>
      <c r="G22" s="32"/>
      <c r="H22" s="32"/>
      <c r="I22" s="32"/>
      <c r="J22" s="33"/>
      <c r="K22" s="33"/>
      <c r="L22" s="33"/>
      <c r="M22" s="34">
        <v>0</v>
      </c>
      <c r="N22" s="34"/>
      <c r="O22" s="34"/>
      <c r="P22" s="34"/>
      <c r="Q22" s="34"/>
      <c r="R22" s="34"/>
      <c r="S22" s="34"/>
      <c r="T22" s="34"/>
      <c r="U22" s="34"/>
      <c r="V22" s="34"/>
      <c r="W22" s="35">
        <v>0</v>
      </c>
      <c r="X22" s="35"/>
      <c r="Y22" s="35">
        <f t="shared" si="9"/>
        <v>0</v>
      </c>
      <c r="Z22" s="36">
        <v>0</v>
      </c>
      <c r="AA22" s="36">
        <f t="shared" si="10"/>
        <v>0</v>
      </c>
      <c r="AB22" s="36"/>
      <c r="AC22" s="36"/>
      <c r="AD22" s="37"/>
      <c r="AE22" s="36"/>
      <c r="AF22" s="36"/>
      <c r="AG22" s="36"/>
      <c r="AH22" s="37"/>
      <c r="AI22" s="37"/>
      <c r="AJ22" s="36"/>
      <c r="AK22" s="36"/>
      <c r="AL22" s="36"/>
      <c r="AM22" s="37"/>
      <c r="AN22" s="37"/>
      <c r="AO22" s="37"/>
      <c r="AP22" s="36">
        <v>0</v>
      </c>
      <c r="AQ22" s="36"/>
      <c r="AR22" s="36"/>
      <c r="AS22" s="36">
        <f t="shared" si="16"/>
        <v>0</v>
      </c>
      <c r="AT22" s="36"/>
      <c r="AU22" s="36">
        <f t="shared" si="17"/>
        <v>0</v>
      </c>
      <c r="AV22" s="36">
        <v>2400000</v>
      </c>
      <c r="AW22" s="36">
        <f t="shared" si="18"/>
        <v>2400000</v>
      </c>
      <c r="AX22" s="36">
        <v>1000000</v>
      </c>
      <c r="AY22" s="37">
        <f t="shared" si="47"/>
        <v>1000000</v>
      </c>
      <c r="AZ22" s="37">
        <f t="shared" si="48"/>
        <v>-1400000</v>
      </c>
      <c r="BA22" s="36">
        <v>1750000</v>
      </c>
      <c r="BB22" s="36">
        <f t="shared" si="19"/>
        <v>1750000</v>
      </c>
      <c r="BC22" s="36">
        <f t="shared" si="20"/>
        <v>-650000</v>
      </c>
      <c r="BD22" s="36">
        <f t="shared" si="21"/>
        <v>750000</v>
      </c>
      <c r="BE22" s="36">
        <v>2000000</v>
      </c>
      <c r="BF22" s="36">
        <v>2000000</v>
      </c>
      <c r="BG22" s="36">
        <v>2000000</v>
      </c>
      <c r="BH22" s="36">
        <f t="shared" si="22"/>
        <v>2000000</v>
      </c>
      <c r="BI22" s="36">
        <f t="shared" si="23"/>
        <v>-400000</v>
      </c>
      <c r="BJ22" s="36">
        <f t="shared" si="24"/>
        <v>250000</v>
      </c>
      <c r="BK22" s="11">
        <f t="shared" si="25"/>
        <v>0</v>
      </c>
      <c r="BL22" s="36"/>
      <c r="BM22" s="40">
        <f t="shared" si="26"/>
        <v>2000000</v>
      </c>
      <c r="BN22" s="56">
        <v>2000000</v>
      </c>
      <c r="BO22" s="38">
        <f t="shared" si="27"/>
        <v>0</v>
      </c>
      <c r="BP22" s="56">
        <v>1000000</v>
      </c>
      <c r="BQ22" s="60">
        <f t="shared" si="28"/>
        <v>-1000000</v>
      </c>
      <c r="BR22" s="60">
        <f t="shared" si="29"/>
        <v>-1000000</v>
      </c>
      <c r="BS22" s="56">
        <v>2000000</v>
      </c>
      <c r="BT22" s="61">
        <f t="shared" si="30"/>
        <v>0</v>
      </c>
      <c r="BU22" s="61">
        <f t="shared" si="31"/>
        <v>0</v>
      </c>
      <c r="BV22" s="61">
        <f t="shared" si="32"/>
        <v>1000000</v>
      </c>
      <c r="BW22" s="56">
        <v>2600000</v>
      </c>
      <c r="BX22" s="60">
        <f t="shared" si="33"/>
        <v>600000</v>
      </c>
      <c r="BY22" s="60">
        <f t="shared" si="34"/>
        <v>600000</v>
      </c>
      <c r="BZ22" s="60">
        <f t="shared" si="35"/>
        <v>600000</v>
      </c>
      <c r="CA22" s="56">
        <v>2600000</v>
      </c>
      <c r="CB22" s="11">
        <f t="shared" si="36"/>
        <v>600000</v>
      </c>
      <c r="CC22" s="11">
        <f t="shared" si="37"/>
        <v>600000</v>
      </c>
      <c r="CD22" s="11">
        <f t="shared" si="6"/>
        <v>600000</v>
      </c>
      <c r="CE22" s="11">
        <f t="shared" si="38"/>
        <v>0</v>
      </c>
      <c r="CF22" s="56">
        <v>2600000</v>
      </c>
      <c r="CG22" s="11">
        <f t="shared" si="39"/>
        <v>600000</v>
      </c>
      <c r="CH22" s="11">
        <f t="shared" si="40"/>
        <v>600000</v>
      </c>
      <c r="CI22" s="11">
        <f t="shared" si="41"/>
        <v>600000</v>
      </c>
      <c r="CJ22" s="11">
        <f t="shared" si="42"/>
        <v>0</v>
      </c>
      <c r="CK22" s="56">
        <v>2600000</v>
      </c>
      <c r="CL22" s="11">
        <f t="shared" si="7"/>
        <v>600000</v>
      </c>
      <c r="CM22" s="11">
        <f t="shared" si="43"/>
        <v>600000</v>
      </c>
      <c r="CN22" s="11">
        <f t="shared" si="44"/>
        <v>0</v>
      </c>
    </row>
    <row r="23" spans="1:92" ht="12.75" hidden="1" x14ac:dyDescent="0.2">
      <c r="A23" s="28" t="s">
        <v>10</v>
      </c>
      <c r="B23" s="29"/>
      <c r="C23" s="30" t="s">
        <v>26</v>
      </c>
      <c r="D23" s="31">
        <v>1247000</v>
      </c>
      <c r="E23" s="32">
        <v>1247000</v>
      </c>
      <c r="F23" s="32">
        <v>1239518</v>
      </c>
      <c r="G23" s="32">
        <v>1239518</v>
      </c>
      <c r="H23" s="32"/>
      <c r="I23" s="32">
        <f t="shared" si="0"/>
        <v>1239518</v>
      </c>
      <c r="J23" s="33"/>
      <c r="K23" s="33"/>
      <c r="L23" s="33">
        <f t="shared" si="1"/>
        <v>0</v>
      </c>
      <c r="M23" s="34">
        <f t="shared" si="8"/>
        <v>1239518</v>
      </c>
      <c r="N23" s="34">
        <f>M23+J23</f>
        <v>1239518</v>
      </c>
      <c r="O23" s="34">
        <v>1000000</v>
      </c>
      <c r="P23" s="34">
        <v>1000000</v>
      </c>
      <c r="Q23" s="34">
        <v>1239518</v>
      </c>
      <c r="R23" s="34">
        <v>1239518</v>
      </c>
      <c r="S23" s="34">
        <v>0.19323000000000001</v>
      </c>
      <c r="T23" s="34">
        <f t="shared" si="45"/>
        <v>-239512.06314000001</v>
      </c>
      <c r="U23" s="34">
        <f t="shared" si="46"/>
        <v>1000005.93686</v>
      </c>
      <c r="V23" s="34">
        <f t="shared" si="2"/>
        <v>-239512.06313999998</v>
      </c>
      <c r="W23" s="35">
        <v>1000000</v>
      </c>
      <c r="X23" s="35"/>
      <c r="Y23" s="35">
        <f t="shared" si="9"/>
        <v>1000000</v>
      </c>
      <c r="Z23" s="36">
        <v>1000000</v>
      </c>
      <c r="AA23" s="36">
        <f t="shared" si="10"/>
        <v>0</v>
      </c>
      <c r="AB23" s="36">
        <v>1000000</v>
      </c>
      <c r="AC23" s="36">
        <v>1000000</v>
      </c>
      <c r="AD23" s="37">
        <v>1000000</v>
      </c>
      <c r="AE23" s="36"/>
      <c r="AF23" s="36"/>
      <c r="AG23" s="36"/>
      <c r="AH23" s="37">
        <v>1000000</v>
      </c>
      <c r="AI23" s="37">
        <v>1000000</v>
      </c>
      <c r="AJ23" s="36">
        <f t="shared" si="49"/>
        <v>0</v>
      </c>
      <c r="AK23" s="36">
        <f t="shared" si="11"/>
        <v>0</v>
      </c>
      <c r="AL23" s="36">
        <f t="shared" si="12"/>
        <v>0</v>
      </c>
      <c r="AM23" s="37">
        <f t="shared" si="13"/>
        <v>0</v>
      </c>
      <c r="AN23" s="37">
        <f t="shared" si="14"/>
        <v>0</v>
      </c>
      <c r="AO23" s="37">
        <f t="shared" si="4"/>
        <v>0</v>
      </c>
      <c r="AP23" s="36">
        <v>1000000</v>
      </c>
      <c r="AQ23" s="36">
        <f t="shared" si="5"/>
        <v>0</v>
      </c>
      <c r="AR23" s="36">
        <f t="shared" si="15"/>
        <v>0</v>
      </c>
      <c r="AS23" s="36">
        <f t="shared" si="16"/>
        <v>0</v>
      </c>
      <c r="AT23" s="36"/>
      <c r="AU23" s="36">
        <f t="shared" si="17"/>
        <v>1000000</v>
      </c>
      <c r="AV23" s="36">
        <v>1000000</v>
      </c>
      <c r="AW23" s="36">
        <f t="shared" si="18"/>
        <v>0</v>
      </c>
      <c r="AX23" s="36">
        <v>0</v>
      </c>
      <c r="AY23" s="37">
        <f t="shared" si="47"/>
        <v>-1000000</v>
      </c>
      <c r="AZ23" s="37">
        <f t="shared" si="48"/>
        <v>-1000000</v>
      </c>
      <c r="BA23" s="36">
        <v>0</v>
      </c>
      <c r="BB23" s="36">
        <f t="shared" si="19"/>
        <v>-1000000</v>
      </c>
      <c r="BC23" s="36">
        <f t="shared" si="20"/>
        <v>-1000000</v>
      </c>
      <c r="BD23" s="36">
        <f t="shared" si="21"/>
        <v>0</v>
      </c>
      <c r="BE23" s="36">
        <v>1000000</v>
      </c>
      <c r="BF23" s="36">
        <v>0</v>
      </c>
      <c r="BG23" s="36">
        <v>0</v>
      </c>
      <c r="BH23" s="36">
        <f t="shared" si="22"/>
        <v>-1000000</v>
      </c>
      <c r="BI23" s="36">
        <f t="shared" si="23"/>
        <v>-1000000</v>
      </c>
      <c r="BJ23" s="36">
        <f t="shared" si="24"/>
        <v>0</v>
      </c>
      <c r="BK23" s="11">
        <f t="shared" si="25"/>
        <v>-1000000</v>
      </c>
      <c r="BL23" s="36"/>
      <c r="BM23" s="40">
        <f t="shared" si="26"/>
        <v>0</v>
      </c>
      <c r="BN23" s="56">
        <v>0</v>
      </c>
      <c r="BO23" s="38">
        <f t="shared" si="27"/>
        <v>0</v>
      </c>
      <c r="BP23" s="56">
        <v>0</v>
      </c>
      <c r="BQ23" s="60">
        <f t="shared" si="28"/>
        <v>0</v>
      </c>
      <c r="BR23" s="60">
        <f t="shared" si="29"/>
        <v>0</v>
      </c>
      <c r="BS23" s="56"/>
      <c r="BT23" s="61">
        <f t="shared" si="30"/>
        <v>0</v>
      </c>
      <c r="BU23" s="61">
        <f t="shared" si="31"/>
        <v>0</v>
      </c>
      <c r="BV23" s="61">
        <f t="shared" si="32"/>
        <v>0</v>
      </c>
      <c r="BW23" s="56">
        <v>0</v>
      </c>
      <c r="BX23" s="60">
        <f t="shared" si="33"/>
        <v>0</v>
      </c>
      <c r="BY23" s="60">
        <f t="shared" si="34"/>
        <v>0</v>
      </c>
      <c r="BZ23" s="60">
        <f t="shared" si="35"/>
        <v>0</v>
      </c>
      <c r="CA23" s="56">
        <v>0</v>
      </c>
      <c r="CB23" s="11">
        <f t="shared" si="36"/>
        <v>0</v>
      </c>
      <c r="CC23" s="11">
        <f t="shared" si="37"/>
        <v>0</v>
      </c>
      <c r="CD23" s="11">
        <f t="shared" si="6"/>
        <v>0</v>
      </c>
      <c r="CE23" s="11">
        <f t="shared" si="38"/>
        <v>0</v>
      </c>
      <c r="CF23" s="56"/>
      <c r="CG23" s="11">
        <f t="shared" si="39"/>
        <v>0</v>
      </c>
      <c r="CH23" s="11">
        <f t="shared" si="40"/>
        <v>0</v>
      </c>
      <c r="CI23" s="11">
        <f t="shared" si="41"/>
        <v>0</v>
      </c>
      <c r="CJ23" s="11">
        <f t="shared" si="42"/>
        <v>0</v>
      </c>
      <c r="CK23" s="56"/>
      <c r="CL23" s="11">
        <f t="shared" si="7"/>
        <v>0</v>
      </c>
      <c r="CM23" s="11">
        <f t="shared" si="43"/>
        <v>0</v>
      </c>
      <c r="CN23" s="11">
        <f t="shared" si="44"/>
        <v>0</v>
      </c>
    </row>
    <row r="24" spans="1:92" ht="12.75" x14ac:dyDescent="0.2">
      <c r="A24" s="30" t="s">
        <v>19</v>
      </c>
      <c r="B24" s="30"/>
      <c r="C24" s="30" t="s">
        <v>189</v>
      </c>
      <c r="D24" s="31">
        <v>5426986</v>
      </c>
      <c r="E24" s="32">
        <v>5426986</v>
      </c>
      <c r="F24" s="32">
        <v>5426986</v>
      </c>
      <c r="G24" s="32">
        <v>5426986</v>
      </c>
      <c r="H24" s="32"/>
      <c r="I24" s="32">
        <f t="shared" si="0"/>
        <v>5426986</v>
      </c>
      <c r="J24" s="33"/>
      <c r="K24" s="33"/>
      <c r="L24" s="33">
        <f t="shared" si="1"/>
        <v>0</v>
      </c>
      <c r="M24" s="34">
        <f t="shared" si="8"/>
        <v>5426986</v>
      </c>
      <c r="N24" s="34">
        <f>M24+J24</f>
        <v>5426986</v>
      </c>
      <c r="O24" s="34">
        <v>5426986</v>
      </c>
      <c r="P24" s="34">
        <v>5426986</v>
      </c>
      <c r="Q24" s="34">
        <v>5426986</v>
      </c>
      <c r="R24" s="34">
        <v>5426986</v>
      </c>
      <c r="S24" s="34">
        <v>0</v>
      </c>
      <c r="T24" s="34">
        <f t="shared" si="45"/>
        <v>0</v>
      </c>
      <c r="U24" s="34">
        <f t="shared" si="46"/>
        <v>5426986</v>
      </c>
      <c r="V24" s="34">
        <f t="shared" si="2"/>
        <v>0</v>
      </c>
      <c r="W24" s="35">
        <v>5426986</v>
      </c>
      <c r="X24" s="35"/>
      <c r="Y24" s="35">
        <f t="shared" si="9"/>
        <v>5426986</v>
      </c>
      <c r="Z24" s="36">
        <v>5426986</v>
      </c>
      <c r="AA24" s="36">
        <f t="shared" si="10"/>
        <v>0</v>
      </c>
      <c r="AB24" s="36">
        <v>5426986</v>
      </c>
      <c r="AC24" s="36">
        <v>5426986</v>
      </c>
      <c r="AD24" s="37">
        <v>5426986</v>
      </c>
      <c r="AE24" s="36"/>
      <c r="AF24" s="36"/>
      <c r="AG24" s="36"/>
      <c r="AH24" s="37">
        <v>5426986</v>
      </c>
      <c r="AI24" s="37">
        <v>5426986</v>
      </c>
      <c r="AJ24" s="36">
        <f t="shared" si="49"/>
        <v>0</v>
      </c>
      <c r="AK24" s="36">
        <f t="shared" si="11"/>
        <v>0</v>
      </c>
      <c r="AL24" s="36">
        <f t="shared" si="12"/>
        <v>0</v>
      </c>
      <c r="AM24" s="37">
        <f t="shared" si="13"/>
        <v>0</v>
      </c>
      <c r="AN24" s="37">
        <f t="shared" si="14"/>
        <v>0</v>
      </c>
      <c r="AO24" s="37">
        <f t="shared" si="4"/>
        <v>0</v>
      </c>
      <c r="AP24" s="36">
        <v>5426986</v>
      </c>
      <c r="AQ24" s="36">
        <f t="shared" si="5"/>
        <v>0</v>
      </c>
      <c r="AR24" s="36">
        <f t="shared" si="15"/>
        <v>0</v>
      </c>
      <c r="AS24" s="36">
        <f t="shared" si="16"/>
        <v>0</v>
      </c>
      <c r="AT24" s="36"/>
      <c r="AU24" s="36">
        <f t="shared" si="17"/>
        <v>5426986</v>
      </c>
      <c r="AV24" s="36">
        <v>5426986</v>
      </c>
      <c r="AW24" s="36">
        <f t="shared" si="18"/>
        <v>0</v>
      </c>
      <c r="AX24" s="36">
        <v>5426986</v>
      </c>
      <c r="AY24" s="37">
        <f t="shared" si="47"/>
        <v>0</v>
      </c>
      <c r="AZ24" s="37">
        <f t="shared" si="48"/>
        <v>0</v>
      </c>
      <c r="BA24" s="36">
        <v>5426986</v>
      </c>
      <c r="BB24" s="36">
        <f t="shared" si="19"/>
        <v>0</v>
      </c>
      <c r="BC24" s="36">
        <f t="shared" si="20"/>
        <v>0</v>
      </c>
      <c r="BD24" s="36">
        <f t="shared" si="21"/>
        <v>0</v>
      </c>
      <c r="BE24" s="36">
        <v>5426986</v>
      </c>
      <c r="BF24" s="36">
        <v>5426986</v>
      </c>
      <c r="BG24" s="36">
        <v>5426986</v>
      </c>
      <c r="BH24" s="36">
        <f t="shared" si="22"/>
        <v>0</v>
      </c>
      <c r="BI24" s="36">
        <f t="shared" si="23"/>
        <v>0</v>
      </c>
      <c r="BJ24" s="36">
        <f t="shared" si="24"/>
        <v>0</v>
      </c>
      <c r="BK24" s="11">
        <f t="shared" si="25"/>
        <v>0</v>
      </c>
      <c r="BL24" s="36"/>
      <c r="BM24" s="40">
        <f t="shared" si="26"/>
        <v>5426986</v>
      </c>
      <c r="BN24" s="56">
        <v>5426986</v>
      </c>
      <c r="BO24" s="38">
        <f t="shared" si="27"/>
        <v>0</v>
      </c>
      <c r="BP24" s="56">
        <v>5426986</v>
      </c>
      <c r="BQ24" s="60">
        <f t="shared" si="28"/>
        <v>0</v>
      </c>
      <c r="BR24" s="60">
        <f t="shared" si="29"/>
        <v>0</v>
      </c>
      <c r="BS24" s="56">
        <f>BP24</f>
        <v>5426986</v>
      </c>
      <c r="BT24" s="61">
        <f t="shared" si="30"/>
        <v>0</v>
      </c>
      <c r="BU24" s="61">
        <f t="shared" si="31"/>
        <v>0</v>
      </c>
      <c r="BV24" s="61">
        <f t="shared" si="32"/>
        <v>0</v>
      </c>
      <c r="BW24" s="56">
        <v>5426986</v>
      </c>
      <c r="BX24" s="60">
        <f t="shared" si="33"/>
        <v>0</v>
      </c>
      <c r="BY24" s="60">
        <f t="shared" si="34"/>
        <v>0</v>
      </c>
      <c r="BZ24" s="60">
        <f t="shared" si="35"/>
        <v>0</v>
      </c>
      <c r="CA24" s="56">
        <v>5426986</v>
      </c>
      <c r="CB24" s="11">
        <f t="shared" si="36"/>
        <v>0</v>
      </c>
      <c r="CC24" s="11">
        <f t="shared" si="37"/>
        <v>0</v>
      </c>
      <c r="CD24" s="11">
        <f t="shared" si="6"/>
        <v>0</v>
      </c>
      <c r="CE24" s="11">
        <f t="shared" si="38"/>
        <v>0</v>
      </c>
      <c r="CF24" s="56">
        <v>5426986</v>
      </c>
      <c r="CG24" s="11">
        <f t="shared" si="39"/>
        <v>0</v>
      </c>
      <c r="CH24" s="11">
        <f t="shared" si="40"/>
        <v>0</v>
      </c>
      <c r="CI24" s="11">
        <f t="shared" si="41"/>
        <v>0</v>
      </c>
      <c r="CJ24" s="11">
        <f t="shared" si="42"/>
        <v>0</v>
      </c>
      <c r="CK24" s="56">
        <v>5426986</v>
      </c>
      <c r="CL24" s="11">
        <f t="shared" si="7"/>
        <v>0</v>
      </c>
      <c r="CM24" s="11">
        <f t="shared" si="43"/>
        <v>0</v>
      </c>
      <c r="CN24" s="11">
        <f t="shared" si="44"/>
        <v>0</v>
      </c>
    </row>
    <row r="25" spans="1:92" ht="12.75" x14ac:dyDescent="0.2">
      <c r="A25" s="28" t="s">
        <v>20</v>
      </c>
      <c r="B25" s="29"/>
      <c r="C25" s="30" t="s">
        <v>31</v>
      </c>
      <c r="D25" s="31">
        <v>4277635</v>
      </c>
      <c r="E25" s="32">
        <v>4277635</v>
      </c>
      <c r="F25" s="32">
        <v>4177635</v>
      </c>
      <c r="G25" s="32">
        <v>4177632</v>
      </c>
      <c r="H25" s="32"/>
      <c r="I25" s="32">
        <f t="shared" si="0"/>
        <v>4177632</v>
      </c>
      <c r="J25" s="33"/>
      <c r="K25" s="33"/>
      <c r="L25" s="33">
        <f t="shared" si="1"/>
        <v>0</v>
      </c>
      <c r="M25" s="34">
        <f t="shared" si="8"/>
        <v>4177632</v>
      </c>
      <c r="N25" s="34">
        <v>4177632</v>
      </c>
      <c r="O25" s="34">
        <v>4121215</v>
      </c>
      <c r="P25" s="34">
        <v>4121215</v>
      </c>
      <c r="Q25" s="34">
        <v>4177632</v>
      </c>
      <c r="R25" s="34">
        <v>4121215</v>
      </c>
      <c r="S25" s="34">
        <v>0</v>
      </c>
      <c r="T25" s="34">
        <f t="shared" si="45"/>
        <v>0</v>
      </c>
      <c r="U25" s="34">
        <f t="shared" si="46"/>
        <v>4121215</v>
      </c>
      <c r="V25" s="34">
        <f t="shared" si="2"/>
        <v>-56417</v>
      </c>
      <c r="W25" s="35">
        <v>4121215</v>
      </c>
      <c r="X25" s="35"/>
      <c r="Y25" s="35">
        <f t="shared" si="9"/>
        <v>4121215</v>
      </c>
      <c r="Z25" s="36">
        <v>4411611</v>
      </c>
      <c r="AA25" s="36">
        <f t="shared" si="10"/>
        <v>290396</v>
      </c>
      <c r="AB25" s="36">
        <v>4121215</v>
      </c>
      <c r="AC25" s="36">
        <v>4121215</v>
      </c>
      <c r="AD25" s="37">
        <v>4121215</v>
      </c>
      <c r="AE25" s="36"/>
      <c r="AF25" s="36"/>
      <c r="AG25" s="36">
        <f>AC25-Z25</f>
        <v>-290396</v>
      </c>
      <c r="AH25" s="37">
        <v>4121215</v>
      </c>
      <c r="AI25" s="37">
        <v>4121215</v>
      </c>
      <c r="AJ25" s="36">
        <f t="shared" si="49"/>
        <v>0</v>
      </c>
      <c r="AK25" s="36">
        <f t="shared" si="11"/>
        <v>-290396</v>
      </c>
      <c r="AL25" s="36">
        <f t="shared" si="12"/>
        <v>0</v>
      </c>
      <c r="AM25" s="37">
        <f t="shared" si="13"/>
        <v>0</v>
      </c>
      <c r="AN25" s="37">
        <f t="shared" si="14"/>
        <v>-290396</v>
      </c>
      <c r="AO25" s="37">
        <f t="shared" si="4"/>
        <v>0</v>
      </c>
      <c r="AP25" s="36">
        <v>4121215</v>
      </c>
      <c r="AQ25" s="36">
        <f t="shared" si="5"/>
        <v>0</v>
      </c>
      <c r="AR25" s="36">
        <f t="shared" si="15"/>
        <v>-290396</v>
      </c>
      <c r="AS25" s="36">
        <f t="shared" si="16"/>
        <v>0</v>
      </c>
      <c r="AT25" s="36"/>
      <c r="AU25" s="36">
        <f t="shared" si="17"/>
        <v>4121215</v>
      </c>
      <c r="AV25" s="36">
        <v>4121215</v>
      </c>
      <c r="AW25" s="36">
        <f t="shared" si="18"/>
        <v>0</v>
      </c>
      <c r="AX25" s="36">
        <v>4121216</v>
      </c>
      <c r="AY25" s="37">
        <f t="shared" si="47"/>
        <v>1</v>
      </c>
      <c r="AZ25" s="37">
        <f t="shared" si="48"/>
        <v>1</v>
      </c>
      <c r="BA25" s="36">
        <v>4121216</v>
      </c>
      <c r="BB25" s="36">
        <f t="shared" si="19"/>
        <v>1</v>
      </c>
      <c r="BC25" s="36">
        <f t="shared" si="20"/>
        <v>1</v>
      </c>
      <c r="BD25" s="36">
        <f t="shared" si="21"/>
        <v>0</v>
      </c>
      <c r="BE25" s="36">
        <v>4121215</v>
      </c>
      <c r="BF25" s="36">
        <v>4121215</v>
      </c>
      <c r="BG25" s="36">
        <v>4121215</v>
      </c>
      <c r="BH25" s="36">
        <f t="shared" si="22"/>
        <v>0</v>
      </c>
      <c r="BI25" s="36">
        <f t="shared" si="23"/>
        <v>0</v>
      </c>
      <c r="BJ25" s="36">
        <f t="shared" si="24"/>
        <v>-1</v>
      </c>
      <c r="BK25" s="11">
        <f t="shared" si="25"/>
        <v>0</v>
      </c>
      <c r="BL25" s="36"/>
      <c r="BM25" s="40">
        <f t="shared" si="26"/>
        <v>4121215</v>
      </c>
      <c r="BN25" s="56">
        <v>4121215</v>
      </c>
      <c r="BO25" s="38">
        <f t="shared" si="27"/>
        <v>0</v>
      </c>
      <c r="BP25" s="56">
        <v>4396215</v>
      </c>
      <c r="BQ25" s="60">
        <f t="shared" si="28"/>
        <v>275000</v>
      </c>
      <c r="BR25" s="60">
        <f t="shared" si="29"/>
        <v>275000</v>
      </c>
      <c r="BS25" s="56">
        <f>BP25</f>
        <v>4396215</v>
      </c>
      <c r="BT25" s="61">
        <f t="shared" si="30"/>
        <v>275000</v>
      </c>
      <c r="BU25" s="61">
        <f t="shared" si="31"/>
        <v>275000</v>
      </c>
      <c r="BV25" s="61">
        <f t="shared" si="32"/>
        <v>0</v>
      </c>
      <c r="BW25" s="56">
        <v>4121215</v>
      </c>
      <c r="BX25" s="60">
        <f t="shared" si="33"/>
        <v>0</v>
      </c>
      <c r="BY25" s="60">
        <f t="shared" si="34"/>
        <v>0</v>
      </c>
      <c r="BZ25" s="60">
        <f t="shared" si="35"/>
        <v>-275000</v>
      </c>
      <c r="CA25" s="56">
        <v>4121215</v>
      </c>
      <c r="CB25" s="11">
        <f t="shared" si="36"/>
        <v>0</v>
      </c>
      <c r="CC25" s="11">
        <f t="shared" si="37"/>
        <v>0</v>
      </c>
      <c r="CD25" s="11">
        <f t="shared" si="6"/>
        <v>-275000</v>
      </c>
      <c r="CE25" s="11">
        <f t="shared" si="38"/>
        <v>0</v>
      </c>
      <c r="CF25" s="56">
        <v>4396215</v>
      </c>
      <c r="CG25" s="11">
        <f t="shared" si="39"/>
        <v>275000</v>
      </c>
      <c r="CH25" s="11">
        <f t="shared" si="40"/>
        <v>275000</v>
      </c>
      <c r="CI25" s="11">
        <f t="shared" si="41"/>
        <v>0</v>
      </c>
      <c r="CJ25" s="11">
        <f t="shared" si="42"/>
        <v>275000</v>
      </c>
      <c r="CK25" s="56">
        <f>4396215</f>
        <v>4396215</v>
      </c>
      <c r="CL25" s="11">
        <f t="shared" si="7"/>
        <v>275000</v>
      </c>
      <c r="CM25" s="11">
        <f t="shared" si="43"/>
        <v>275000</v>
      </c>
      <c r="CN25" s="11">
        <f t="shared" si="44"/>
        <v>0</v>
      </c>
    </row>
    <row r="26" spans="1:92" ht="12.75" x14ac:dyDescent="0.2">
      <c r="A26" s="28" t="s">
        <v>2</v>
      </c>
      <c r="B26" s="29"/>
      <c r="C26" s="30" t="s">
        <v>146</v>
      </c>
      <c r="D26" s="31">
        <v>3725671328</v>
      </c>
      <c r="E26" s="32">
        <v>3948824061</v>
      </c>
      <c r="F26" s="32">
        <v>3536824063</v>
      </c>
      <c r="G26" s="32">
        <v>3869847585</v>
      </c>
      <c r="H26" s="32"/>
      <c r="I26" s="32">
        <f t="shared" si="0"/>
        <v>3869847585</v>
      </c>
      <c r="J26" s="39"/>
      <c r="K26" s="33"/>
      <c r="L26" s="33">
        <f t="shared" si="1"/>
        <v>0</v>
      </c>
      <c r="M26" s="34">
        <f t="shared" si="8"/>
        <v>3869847585</v>
      </c>
      <c r="N26" s="34">
        <v>4048324258</v>
      </c>
      <c r="O26" s="34">
        <v>3851193043</v>
      </c>
      <c r="P26" s="34">
        <v>3851193043</v>
      </c>
      <c r="Q26" s="34">
        <v>3878464421</v>
      </c>
      <c r="R26" s="34">
        <v>3851193043</v>
      </c>
      <c r="S26" s="34">
        <v>0</v>
      </c>
      <c r="T26" s="34">
        <f t="shared" si="45"/>
        <v>0</v>
      </c>
      <c r="U26" s="34">
        <f t="shared" si="46"/>
        <v>3851193043</v>
      </c>
      <c r="V26" s="34">
        <f t="shared" si="2"/>
        <v>-18654542</v>
      </c>
      <c r="W26" s="35">
        <v>3851193043</v>
      </c>
      <c r="X26" s="35"/>
      <c r="Y26" s="35">
        <f t="shared" si="9"/>
        <v>3851193043</v>
      </c>
      <c r="Z26" s="36">
        <v>3990519337</v>
      </c>
      <c r="AA26" s="36">
        <f t="shared" si="10"/>
        <v>139326294</v>
      </c>
      <c r="AB26" s="36">
        <v>3990812680</v>
      </c>
      <c r="AC26" s="36">
        <v>3990812680</v>
      </c>
      <c r="AD26" s="37">
        <v>3990812680</v>
      </c>
      <c r="AE26" s="36"/>
      <c r="AF26" s="36">
        <f>AC26-SUM(W26:X26)</f>
        <v>139619637</v>
      </c>
      <c r="AG26" s="36">
        <f>AC26-Z26</f>
        <v>293343</v>
      </c>
      <c r="AH26" s="37">
        <v>3990812680</v>
      </c>
      <c r="AI26" s="37">
        <v>3990812680</v>
      </c>
      <c r="AJ26" s="36">
        <f t="shared" si="49"/>
        <v>139619637</v>
      </c>
      <c r="AK26" s="36">
        <f t="shared" si="11"/>
        <v>293343</v>
      </c>
      <c r="AL26" s="36">
        <f t="shared" si="12"/>
        <v>0</v>
      </c>
      <c r="AM26" s="37">
        <f t="shared" si="13"/>
        <v>139619637</v>
      </c>
      <c r="AN26" s="37">
        <f t="shared" si="14"/>
        <v>293343</v>
      </c>
      <c r="AO26" s="37">
        <f t="shared" si="4"/>
        <v>0</v>
      </c>
      <c r="AP26" s="36">
        <v>3990812680</v>
      </c>
      <c r="AQ26" s="36">
        <f t="shared" si="5"/>
        <v>139619637</v>
      </c>
      <c r="AR26" s="36">
        <f t="shared" si="15"/>
        <v>293343</v>
      </c>
      <c r="AS26" s="36">
        <f t="shared" si="16"/>
        <v>139619637</v>
      </c>
      <c r="AT26" s="36"/>
      <c r="AU26" s="36">
        <f t="shared" si="17"/>
        <v>3990812680</v>
      </c>
      <c r="AV26" s="36">
        <v>4136391547</v>
      </c>
      <c r="AW26" s="36">
        <f t="shared" si="18"/>
        <v>145578867</v>
      </c>
      <c r="AX26" s="36">
        <v>4154611977</v>
      </c>
      <c r="AY26" s="37">
        <f t="shared" si="47"/>
        <v>163799297</v>
      </c>
      <c r="AZ26" s="37">
        <f t="shared" si="48"/>
        <v>18220430</v>
      </c>
      <c r="BA26" s="36">
        <v>4154611977</v>
      </c>
      <c r="BB26" s="36">
        <f t="shared" si="19"/>
        <v>163799297</v>
      </c>
      <c r="BC26" s="36">
        <f t="shared" si="20"/>
        <v>18220430</v>
      </c>
      <c r="BD26" s="36">
        <f t="shared" si="21"/>
        <v>0</v>
      </c>
      <c r="BE26" s="36">
        <v>4171078492</v>
      </c>
      <c r="BF26" s="36">
        <v>4171079892</v>
      </c>
      <c r="BG26" s="36">
        <v>4171079892</v>
      </c>
      <c r="BH26" s="36">
        <f t="shared" si="22"/>
        <v>180267212</v>
      </c>
      <c r="BI26" s="36">
        <f t="shared" si="23"/>
        <v>34688345</v>
      </c>
      <c r="BJ26" s="36">
        <f t="shared" si="24"/>
        <v>16467915</v>
      </c>
      <c r="BK26" s="11">
        <f t="shared" si="25"/>
        <v>1400</v>
      </c>
      <c r="BL26" s="36"/>
      <c r="BM26" s="40">
        <f t="shared" si="26"/>
        <v>4171079892</v>
      </c>
      <c r="BN26" s="56">
        <v>4397257332</v>
      </c>
      <c r="BO26" s="38">
        <f t="shared" si="27"/>
        <v>226177440</v>
      </c>
      <c r="BP26" s="56">
        <v>4280637005</v>
      </c>
      <c r="BQ26" s="60">
        <f t="shared" si="28"/>
        <v>109557113</v>
      </c>
      <c r="BR26" s="60">
        <f t="shared" si="29"/>
        <v>-116620327</v>
      </c>
      <c r="BS26" s="56">
        <v>4285945528</v>
      </c>
      <c r="BT26" s="61">
        <f t="shared" si="30"/>
        <v>114865636</v>
      </c>
      <c r="BU26" s="61">
        <f t="shared" si="31"/>
        <v>-111311804</v>
      </c>
      <c r="BV26" s="61">
        <f t="shared" si="32"/>
        <v>5308523</v>
      </c>
      <c r="BW26" s="56">
        <v>4301214591</v>
      </c>
      <c r="BX26" s="60">
        <f t="shared" si="33"/>
        <v>130134699</v>
      </c>
      <c r="BY26" s="60">
        <f t="shared" si="34"/>
        <v>-96042741</v>
      </c>
      <c r="BZ26" s="60">
        <f t="shared" si="35"/>
        <v>15269063</v>
      </c>
      <c r="CA26" s="56">
        <v>4301214591</v>
      </c>
      <c r="CB26" s="11">
        <f t="shared" si="36"/>
        <v>130134699</v>
      </c>
      <c r="CC26" s="11">
        <f t="shared" si="37"/>
        <v>-96042741</v>
      </c>
      <c r="CD26" s="11">
        <f t="shared" si="6"/>
        <v>15269063</v>
      </c>
      <c r="CE26" s="11">
        <f t="shared" si="38"/>
        <v>0</v>
      </c>
      <c r="CF26" s="56">
        <v>4301214591</v>
      </c>
      <c r="CG26" s="11">
        <f t="shared" si="39"/>
        <v>130134699</v>
      </c>
      <c r="CH26" s="11">
        <f t="shared" si="40"/>
        <v>-96042741</v>
      </c>
      <c r="CI26" s="11">
        <f t="shared" si="41"/>
        <v>15269063</v>
      </c>
      <c r="CJ26" s="11">
        <f t="shared" si="42"/>
        <v>0</v>
      </c>
      <c r="CK26" s="56">
        <v>4301214591</v>
      </c>
      <c r="CL26" s="11">
        <f t="shared" si="7"/>
        <v>130134699</v>
      </c>
      <c r="CM26" s="11">
        <f t="shared" si="43"/>
        <v>-96042741</v>
      </c>
      <c r="CN26" s="11">
        <f t="shared" si="44"/>
        <v>0</v>
      </c>
    </row>
    <row r="27" spans="1:92" ht="12.75" x14ac:dyDescent="0.2">
      <c r="A27" s="28" t="s">
        <v>5</v>
      </c>
      <c r="B27" s="29"/>
      <c r="C27" s="30" t="s">
        <v>184</v>
      </c>
      <c r="D27" s="31">
        <v>5500000</v>
      </c>
      <c r="E27" s="32">
        <v>5500000</v>
      </c>
      <c r="F27" s="32">
        <v>4312000</v>
      </c>
      <c r="G27" s="32">
        <v>2000000</v>
      </c>
      <c r="H27" s="33">
        <v>-2000000</v>
      </c>
      <c r="I27" s="32">
        <f t="shared" si="0"/>
        <v>0</v>
      </c>
      <c r="J27" s="39"/>
      <c r="K27" s="33"/>
      <c r="L27" s="33">
        <f t="shared" si="1"/>
        <v>0</v>
      </c>
      <c r="M27" s="34">
        <f t="shared" si="8"/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/>
      <c r="T27" s="34">
        <f t="shared" si="45"/>
        <v>0</v>
      </c>
      <c r="U27" s="34">
        <f t="shared" si="46"/>
        <v>0</v>
      </c>
      <c r="V27" s="34">
        <f t="shared" si="2"/>
        <v>0</v>
      </c>
      <c r="W27" s="35"/>
      <c r="X27" s="35"/>
      <c r="Y27" s="35">
        <f t="shared" si="9"/>
        <v>0</v>
      </c>
      <c r="Z27" s="36"/>
      <c r="AA27" s="36">
        <f t="shared" si="10"/>
        <v>0</v>
      </c>
      <c r="AB27" s="36"/>
      <c r="AC27" s="36"/>
      <c r="AD27" s="37"/>
      <c r="AE27" s="36"/>
      <c r="AF27" s="36">
        <f>AC27-W27+X27</f>
        <v>0</v>
      </c>
      <c r="AG27" s="36">
        <f>AC27-Z27</f>
        <v>0</v>
      </c>
      <c r="AH27" s="37"/>
      <c r="AI27" s="37"/>
      <c r="AJ27" s="36">
        <f t="shared" si="49"/>
        <v>0</v>
      </c>
      <c r="AK27" s="36">
        <f t="shared" si="11"/>
        <v>0</v>
      </c>
      <c r="AL27" s="36">
        <f t="shared" si="12"/>
        <v>0</v>
      </c>
      <c r="AM27" s="37">
        <f t="shared" si="13"/>
        <v>0</v>
      </c>
      <c r="AN27" s="37">
        <f t="shared" si="14"/>
        <v>0</v>
      </c>
      <c r="AO27" s="37">
        <f t="shared" si="4"/>
        <v>0</v>
      </c>
      <c r="AP27" s="36"/>
      <c r="AQ27" s="36">
        <f t="shared" si="5"/>
        <v>0</v>
      </c>
      <c r="AR27" s="36">
        <f t="shared" si="15"/>
        <v>0</v>
      </c>
      <c r="AS27" s="36">
        <f t="shared" si="16"/>
        <v>0</v>
      </c>
      <c r="AT27" s="36"/>
      <c r="AU27" s="36">
        <f t="shared" si="17"/>
        <v>0</v>
      </c>
      <c r="AV27" s="36"/>
      <c r="AW27" s="36">
        <f t="shared" si="18"/>
        <v>0</v>
      </c>
      <c r="AX27" s="36"/>
      <c r="AY27" s="37">
        <f t="shared" si="47"/>
        <v>0</v>
      </c>
      <c r="AZ27" s="37">
        <f t="shared" si="48"/>
        <v>0</v>
      </c>
      <c r="BA27" s="36"/>
      <c r="BB27" s="36">
        <f t="shared" si="19"/>
        <v>0</v>
      </c>
      <c r="BC27" s="36">
        <f t="shared" si="20"/>
        <v>0</v>
      </c>
      <c r="BD27" s="36">
        <f t="shared" si="21"/>
        <v>0</v>
      </c>
      <c r="BE27" s="40">
        <v>3500000</v>
      </c>
      <c r="BF27" s="40">
        <v>3500000</v>
      </c>
      <c r="BG27" s="40">
        <v>3500000</v>
      </c>
      <c r="BH27" s="36">
        <f>+BG27-AU27</f>
        <v>3500000</v>
      </c>
      <c r="BI27" s="36">
        <f>+BG27-AV27</f>
        <v>3500000</v>
      </c>
      <c r="BJ27" s="36">
        <f>+BG27-BA27</f>
        <v>3500000</v>
      </c>
      <c r="BK27" s="11">
        <f>+BG27-BE27</f>
        <v>0</v>
      </c>
      <c r="BL27" s="40">
        <v>2500000</v>
      </c>
      <c r="BM27" s="40">
        <f t="shared" si="26"/>
        <v>1000000</v>
      </c>
      <c r="BN27" s="62">
        <v>0</v>
      </c>
      <c r="BO27" s="38">
        <f t="shared" si="27"/>
        <v>-1000000</v>
      </c>
      <c r="BP27" s="56">
        <v>0</v>
      </c>
      <c r="BQ27" s="60">
        <f t="shared" si="28"/>
        <v>-1000000</v>
      </c>
      <c r="BR27" s="60">
        <f t="shared" si="29"/>
        <v>0</v>
      </c>
      <c r="BS27" s="56"/>
      <c r="BT27" s="61">
        <f t="shared" si="30"/>
        <v>-1000000</v>
      </c>
      <c r="BU27" s="61">
        <f t="shared" si="31"/>
        <v>0</v>
      </c>
      <c r="BV27" s="61">
        <f t="shared" si="32"/>
        <v>0</v>
      </c>
      <c r="BW27" s="56">
        <v>1000000</v>
      </c>
      <c r="BX27" s="60">
        <f t="shared" si="33"/>
        <v>0</v>
      </c>
      <c r="BY27" s="60">
        <f t="shared" si="34"/>
        <v>1000000</v>
      </c>
      <c r="BZ27" s="60">
        <f t="shared" si="35"/>
        <v>1000000</v>
      </c>
      <c r="CA27" s="56">
        <f>1000000+1000000</f>
        <v>2000000</v>
      </c>
      <c r="CB27" s="11">
        <f t="shared" si="36"/>
        <v>1000000</v>
      </c>
      <c r="CC27" s="11">
        <f t="shared" si="37"/>
        <v>2000000</v>
      </c>
      <c r="CD27" s="11">
        <f t="shared" si="6"/>
        <v>2000000</v>
      </c>
      <c r="CE27" s="11">
        <f t="shared" si="38"/>
        <v>1000000</v>
      </c>
      <c r="CF27" s="56">
        <v>2000000</v>
      </c>
      <c r="CG27" s="11">
        <f t="shared" si="39"/>
        <v>1000000</v>
      </c>
      <c r="CH27" s="11">
        <f t="shared" si="40"/>
        <v>2000000</v>
      </c>
      <c r="CI27" s="11">
        <f t="shared" si="41"/>
        <v>2000000</v>
      </c>
      <c r="CJ27" s="11">
        <f t="shared" si="42"/>
        <v>0</v>
      </c>
      <c r="CK27" s="56">
        <v>2000000</v>
      </c>
      <c r="CL27" s="11">
        <f t="shared" si="7"/>
        <v>1000000</v>
      </c>
      <c r="CM27" s="11">
        <f t="shared" si="43"/>
        <v>2000000</v>
      </c>
      <c r="CN27" s="11">
        <f t="shared" si="44"/>
        <v>0</v>
      </c>
    </row>
    <row r="28" spans="1:92" ht="12.75" x14ac:dyDescent="0.2">
      <c r="A28" s="28" t="s">
        <v>6</v>
      </c>
      <c r="B28" s="29"/>
      <c r="C28" s="30" t="s">
        <v>163</v>
      </c>
      <c r="D28" s="31">
        <v>220000000</v>
      </c>
      <c r="E28" s="32">
        <v>230043700</v>
      </c>
      <c r="F28" s="32">
        <v>215337070</v>
      </c>
      <c r="G28" s="32">
        <f>140113160+200000</f>
        <v>140313160</v>
      </c>
      <c r="H28" s="33">
        <v>-200000</v>
      </c>
      <c r="I28" s="32">
        <f t="shared" si="0"/>
        <v>140113160</v>
      </c>
      <c r="J28" s="33">
        <v>-6994000</v>
      </c>
      <c r="K28" s="33"/>
      <c r="L28" s="33">
        <f t="shared" si="1"/>
        <v>-6994000</v>
      </c>
      <c r="M28" s="34">
        <f t="shared" si="8"/>
        <v>133119160</v>
      </c>
      <c r="N28" s="34">
        <v>135019170</v>
      </c>
      <c r="O28" s="34">
        <v>135019170</v>
      </c>
      <c r="P28" s="34">
        <v>135019170</v>
      </c>
      <c r="Q28" s="34">
        <v>133119160</v>
      </c>
      <c r="R28" s="34">
        <v>145673366</v>
      </c>
      <c r="S28" s="34">
        <v>8.6180000000000007E-2</v>
      </c>
      <c r="T28" s="34">
        <f t="shared" si="45"/>
        <v>-12554130.681880001</v>
      </c>
      <c r="U28" s="34">
        <f t="shared" si="46"/>
        <v>133119235.31812</v>
      </c>
      <c r="V28" s="34">
        <f t="shared" si="2"/>
        <v>75.318120002746582</v>
      </c>
      <c r="W28" s="35">
        <v>133119160</v>
      </c>
      <c r="X28" s="35"/>
      <c r="Y28" s="35">
        <f t="shared" si="9"/>
        <v>133119160</v>
      </c>
      <c r="Z28" s="36">
        <v>213119160</v>
      </c>
      <c r="AA28" s="36">
        <f t="shared" si="10"/>
        <v>80000000</v>
      </c>
      <c r="AB28" s="36">
        <v>213119160</v>
      </c>
      <c r="AC28" s="36">
        <v>213119160</v>
      </c>
      <c r="AD28" s="37">
        <v>183119160</v>
      </c>
      <c r="AE28" s="36"/>
      <c r="AF28" s="36">
        <f>AC28-SUM(W28:X28)</f>
        <v>80000000</v>
      </c>
      <c r="AG28" s="36"/>
      <c r="AH28" s="38">
        <v>194119160</v>
      </c>
      <c r="AI28" s="38">
        <v>213119160</v>
      </c>
      <c r="AJ28" s="36">
        <f t="shared" si="49"/>
        <v>50000000</v>
      </c>
      <c r="AK28" s="36">
        <f t="shared" si="11"/>
        <v>-30000000</v>
      </c>
      <c r="AL28" s="36">
        <f t="shared" si="12"/>
        <v>-30000000</v>
      </c>
      <c r="AM28" s="37">
        <f t="shared" si="13"/>
        <v>61000000</v>
      </c>
      <c r="AN28" s="37">
        <f t="shared" si="14"/>
        <v>-19000000</v>
      </c>
      <c r="AO28" s="37">
        <f t="shared" si="4"/>
        <v>-19000000</v>
      </c>
      <c r="AP28" s="36">
        <v>213119160</v>
      </c>
      <c r="AQ28" s="36">
        <f t="shared" si="5"/>
        <v>80000000</v>
      </c>
      <c r="AR28" s="36">
        <f t="shared" si="15"/>
        <v>0</v>
      </c>
      <c r="AS28" s="36">
        <f t="shared" si="16"/>
        <v>80000000</v>
      </c>
      <c r="AT28" s="36"/>
      <c r="AU28" s="36">
        <f t="shared" si="17"/>
        <v>213119160</v>
      </c>
      <c r="AV28" s="36">
        <v>213150377</v>
      </c>
      <c r="AW28" s="36">
        <f t="shared" si="18"/>
        <v>31217</v>
      </c>
      <c r="AX28" s="36">
        <v>221575000</v>
      </c>
      <c r="AY28" s="37">
        <f t="shared" si="47"/>
        <v>8455840</v>
      </c>
      <c r="AZ28" s="37">
        <f t="shared" si="48"/>
        <v>8424623</v>
      </c>
      <c r="BA28" s="36">
        <v>221575000</v>
      </c>
      <c r="BB28" s="36">
        <f t="shared" si="19"/>
        <v>8455840</v>
      </c>
      <c r="BC28" s="36">
        <f t="shared" si="20"/>
        <v>8424623</v>
      </c>
      <c r="BD28" s="36">
        <f t="shared" si="21"/>
        <v>0</v>
      </c>
      <c r="BE28" s="36">
        <v>242182288</v>
      </c>
      <c r="BF28" s="36">
        <v>241932288</v>
      </c>
      <c r="BG28" s="36">
        <v>241932288</v>
      </c>
      <c r="BH28" s="36">
        <f t="shared" si="22"/>
        <v>28813128</v>
      </c>
      <c r="BI28" s="36">
        <f t="shared" si="23"/>
        <v>28781911</v>
      </c>
      <c r="BJ28" s="36">
        <f t="shared" si="24"/>
        <v>20357288</v>
      </c>
      <c r="BK28" s="11">
        <f t="shared" si="25"/>
        <v>-250000</v>
      </c>
      <c r="BL28" s="36">
        <f>75000+11425000</f>
        <v>11500000</v>
      </c>
      <c r="BM28" s="40">
        <f>BG28-BL28+11500000</f>
        <v>241932288</v>
      </c>
      <c r="BN28" s="56">
        <v>230489223</v>
      </c>
      <c r="BO28" s="38">
        <f t="shared" si="27"/>
        <v>-11443065</v>
      </c>
      <c r="BP28" s="56">
        <v>235489224</v>
      </c>
      <c r="BQ28" s="60">
        <f t="shared" si="28"/>
        <v>-6443064</v>
      </c>
      <c r="BR28" s="60">
        <f t="shared" si="29"/>
        <v>5000001</v>
      </c>
      <c r="BS28" s="56">
        <v>238489224</v>
      </c>
      <c r="BT28" s="61">
        <f t="shared" si="30"/>
        <v>-3443064</v>
      </c>
      <c r="BU28" s="61">
        <f t="shared" si="31"/>
        <v>8000001</v>
      </c>
      <c r="BV28" s="61">
        <f t="shared" si="32"/>
        <v>3000000</v>
      </c>
      <c r="BW28" s="56">
        <v>252819241</v>
      </c>
      <c r="BX28" s="60">
        <f t="shared" si="33"/>
        <v>10886953</v>
      </c>
      <c r="BY28" s="60">
        <f t="shared" si="34"/>
        <v>22330018</v>
      </c>
      <c r="BZ28" s="60">
        <f t="shared" si="35"/>
        <v>14330017</v>
      </c>
      <c r="CA28" s="56">
        <v>252819241</v>
      </c>
      <c r="CB28" s="11">
        <f t="shared" si="36"/>
        <v>10886953</v>
      </c>
      <c r="CC28" s="11">
        <f t="shared" si="37"/>
        <v>22330018</v>
      </c>
      <c r="CD28" s="11">
        <f t="shared" si="6"/>
        <v>14330017</v>
      </c>
      <c r="CE28" s="11">
        <f t="shared" si="38"/>
        <v>0</v>
      </c>
      <c r="CF28" s="56">
        <v>252489224</v>
      </c>
      <c r="CG28" s="11">
        <f t="shared" si="39"/>
        <v>10556936</v>
      </c>
      <c r="CH28" s="11">
        <f t="shared" si="40"/>
        <v>22000001</v>
      </c>
      <c r="CI28" s="11">
        <f t="shared" si="41"/>
        <v>14000000</v>
      </c>
      <c r="CJ28" s="11">
        <f t="shared" si="42"/>
        <v>-330017</v>
      </c>
      <c r="CK28" s="56">
        <v>252489224</v>
      </c>
      <c r="CL28" s="11">
        <f t="shared" si="7"/>
        <v>10556936</v>
      </c>
      <c r="CM28" s="11">
        <f t="shared" si="43"/>
        <v>22000001</v>
      </c>
      <c r="CN28" s="11">
        <f t="shared" si="44"/>
        <v>0</v>
      </c>
    </row>
    <row r="29" spans="1:92" ht="12.75" x14ac:dyDescent="0.2">
      <c r="A29" s="28" t="s">
        <v>35</v>
      </c>
      <c r="B29" s="29"/>
      <c r="C29" s="30" t="s">
        <v>190</v>
      </c>
      <c r="D29" s="31">
        <v>2974554</v>
      </c>
      <c r="E29" s="32">
        <v>2974554</v>
      </c>
      <c r="F29" s="32">
        <v>1572442</v>
      </c>
      <c r="G29" s="32">
        <v>1373226</v>
      </c>
      <c r="H29" s="32"/>
      <c r="I29" s="32">
        <f t="shared" si="0"/>
        <v>1373226</v>
      </c>
      <c r="J29" s="33">
        <v>-184143</v>
      </c>
      <c r="K29" s="33"/>
      <c r="L29" s="33">
        <f t="shared" si="1"/>
        <v>-184143</v>
      </c>
      <c r="M29" s="34">
        <f t="shared" si="8"/>
        <v>1189083</v>
      </c>
      <c r="N29" s="34">
        <v>1189083</v>
      </c>
      <c r="O29" s="34">
        <v>1072134</v>
      </c>
      <c r="P29" s="34">
        <v>1072134</v>
      </c>
      <c r="Q29" s="34">
        <v>989083</v>
      </c>
      <c r="R29" s="34">
        <v>1072134</v>
      </c>
      <c r="S29" s="34">
        <v>0.1241</v>
      </c>
      <c r="T29" s="34">
        <f t="shared" si="45"/>
        <v>-133051.82939999999</v>
      </c>
      <c r="U29" s="34">
        <f t="shared" si="46"/>
        <v>939082.17060000007</v>
      </c>
      <c r="V29" s="34">
        <f t="shared" si="2"/>
        <v>-250000.82939999993</v>
      </c>
      <c r="W29" s="35">
        <v>939083</v>
      </c>
      <c r="X29" s="35"/>
      <c r="Y29" s="35">
        <f t="shared" si="9"/>
        <v>939083</v>
      </c>
      <c r="Z29" s="36">
        <v>942704</v>
      </c>
      <c r="AA29" s="36">
        <f t="shared" si="10"/>
        <v>3621</v>
      </c>
      <c r="AB29" s="36">
        <v>939083</v>
      </c>
      <c r="AC29" s="36">
        <v>939083</v>
      </c>
      <c r="AD29" s="37">
        <v>939083</v>
      </c>
      <c r="AE29" s="36"/>
      <c r="AF29" s="36"/>
      <c r="AG29" s="36">
        <f>AC29-Z29</f>
        <v>-3621</v>
      </c>
      <c r="AH29" s="37">
        <v>939083</v>
      </c>
      <c r="AI29" s="37">
        <v>939083</v>
      </c>
      <c r="AJ29" s="36">
        <f t="shared" si="49"/>
        <v>0</v>
      </c>
      <c r="AK29" s="36">
        <f t="shared" si="11"/>
        <v>-3621</v>
      </c>
      <c r="AL29" s="36">
        <f t="shared" si="12"/>
        <v>0</v>
      </c>
      <c r="AM29" s="37">
        <f t="shared" si="13"/>
        <v>0</v>
      </c>
      <c r="AN29" s="37">
        <f t="shared" si="14"/>
        <v>-3621</v>
      </c>
      <c r="AO29" s="37">
        <f t="shared" si="4"/>
        <v>0</v>
      </c>
      <c r="AP29" s="36">
        <v>939083</v>
      </c>
      <c r="AQ29" s="36">
        <f t="shared" si="5"/>
        <v>0</v>
      </c>
      <c r="AR29" s="36">
        <f t="shared" si="15"/>
        <v>-3621</v>
      </c>
      <c r="AS29" s="36">
        <f t="shared" si="16"/>
        <v>0</v>
      </c>
      <c r="AT29" s="36"/>
      <c r="AU29" s="36">
        <f t="shared" si="17"/>
        <v>939083</v>
      </c>
      <c r="AV29" s="36">
        <v>1710118</v>
      </c>
      <c r="AW29" s="36">
        <f t="shared" si="18"/>
        <v>771035</v>
      </c>
      <c r="AX29" s="36">
        <v>949289</v>
      </c>
      <c r="AY29" s="37">
        <f t="shared" si="47"/>
        <v>10206</v>
      </c>
      <c r="AZ29" s="37">
        <f t="shared" si="48"/>
        <v>-760829</v>
      </c>
      <c r="BA29" s="36">
        <v>949289</v>
      </c>
      <c r="BB29" s="36">
        <f t="shared" si="19"/>
        <v>10206</v>
      </c>
      <c r="BC29" s="36">
        <f t="shared" si="20"/>
        <v>-760829</v>
      </c>
      <c r="BD29" s="36">
        <f t="shared" si="21"/>
        <v>0</v>
      </c>
      <c r="BE29" s="36">
        <v>959028</v>
      </c>
      <c r="BF29" s="36">
        <v>955641</v>
      </c>
      <c r="BG29" s="36">
        <v>955641</v>
      </c>
      <c r="BH29" s="36">
        <f t="shared" si="22"/>
        <v>16558</v>
      </c>
      <c r="BI29" s="36">
        <f t="shared" si="23"/>
        <v>-754477</v>
      </c>
      <c r="BJ29" s="36">
        <f t="shared" si="24"/>
        <v>6352</v>
      </c>
      <c r="BK29" s="11">
        <f t="shared" si="25"/>
        <v>-3387</v>
      </c>
      <c r="BL29" s="36"/>
      <c r="BM29" s="40">
        <f t="shared" si="26"/>
        <v>955641</v>
      </c>
      <c r="BN29" s="56">
        <v>2979388</v>
      </c>
      <c r="BO29" s="38">
        <f t="shared" si="27"/>
        <v>2023747</v>
      </c>
      <c r="BP29" s="56">
        <v>974150</v>
      </c>
      <c r="BQ29" s="60">
        <f t="shared" si="28"/>
        <v>18509</v>
      </c>
      <c r="BR29" s="60">
        <f t="shared" si="29"/>
        <v>-2005238</v>
      </c>
      <c r="BS29" s="56">
        <f>BP29</f>
        <v>974150</v>
      </c>
      <c r="BT29" s="61">
        <f t="shared" si="30"/>
        <v>18509</v>
      </c>
      <c r="BU29" s="61">
        <f t="shared" si="31"/>
        <v>-2005238</v>
      </c>
      <c r="BV29" s="61">
        <f t="shared" si="32"/>
        <v>0</v>
      </c>
      <c r="BW29" s="56">
        <v>974150</v>
      </c>
      <c r="BX29" s="60">
        <f t="shared" si="33"/>
        <v>18509</v>
      </c>
      <c r="BY29" s="60">
        <f t="shared" si="34"/>
        <v>-2005238</v>
      </c>
      <c r="BZ29" s="60">
        <f t="shared" si="35"/>
        <v>0</v>
      </c>
      <c r="CA29" s="56">
        <v>974150</v>
      </c>
      <c r="CB29" s="11">
        <f t="shared" si="36"/>
        <v>18509</v>
      </c>
      <c r="CC29" s="11">
        <f t="shared" si="37"/>
        <v>-2005238</v>
      </c>
      <c r="CD29" s="11">
        <f t="shared" si="6"/>
        <v>0</v>
      </c>
      <c r="CE29" s="11">
        <f t="shared" si="38"/>
        <v>0</v>
      </c>
      <c r="CF29" s="56">
        <v>974150</v>
      </c>
      <c r="CG29" s="11">
        <f t="shared" si="39"/>
        <v>18509</v>
      </c>
      <c r="CH29" s="11">
        <f t="shared" si="40"/>
        <v>-2005238</v>
      </c>
      <c r="CI29" s="11">
        <f t="shared" si="41"/>
        <v>0</v>
      </c>
      <c r="CJ29" s="11">
        <f t="shared" si="42"/>
        <v>0</v>
      </c>
      <c r="CK29" s="56">
        <v>974150</v>
      </c>
      <c r="CL29" s="11">
        <f t="shared" si="7"/>
        <v>18509</v>
      </c>
      <c r="CM29" s="11">
        <f t="shared" si="43"/>
        <v>-2005238</v>
      </c>
      <c r="CN29" s="11">
        <f t="shared" si="44"/>
        <v>0</v>
      </c>
    </row>
    <row r="30" spans="1:92" ht="12.75" x14ac:dyDescent="0.2">
      <c r="A30" s="28" t="s">
        <v>72</v>
      </c>
      <c r="B30" s="29"/>
      <c r="C30" s="30" t="s">
        <v>73</v>
      </c>
      <c r="D30" s="31"/>
      <c r="E30" s="32"/>
      <c r="F30" s="32"/>
      <c r="G30" s="32"/>
      <c r="H30" s="32"/>
      <c r="I30" s="32"/>
      <c r="J30" s="33"/>
      <c r="K30" s="33"/>
      <c r="L30" s="33"/>
      <c r="M30" s="34">
        <v>0</v>
      </c>
      <c r="N30" s="34">
        <v>0</v>
      </c>
      <c r="O30" s="34">
        <v>1700000</v>
      </c>
      <c r="P30" s="34">
        <v>1700000</v>
      </c>
      <c r="Q30" s="34">
        <v>1700000</v>
      </c>
      <c r="R30" s="34">
        <v>1700000</v>
      </c>
      <c r="S30" s="34">
        <v>0.23529</v>
      </c>
      <c r="T30" s="34">
        <f t="shared" si="45"/>
        <v>-399993</v>
      </c>
      <c r="U30" s="34">
        <f t="shared" si="46"/>
        <v>1300007</v>
      </c>
      <c r="V30" s="34">
        <f t="shared" si="2"/>
        <v>1300007</v>
      </c>
      <c r="W30" s="35">
        <v>1300000</v>
      </c>
      <c r="X30" s="35"/>
      <c r="Y30" s="35">
        <f t="shared" si="9"/>
        <v>1300000</v>
      </c>
      <c r="Z30" s="36">
        <v>0</v>
      </c>
      <c r="AA30" s="36">
        <f t="shared" si="10"/>
        <v>-1300000</v>
      </c>
      <c r="AB30" s="36">
        <v>1300000</v>
      </c>
      <c r="AC30" s="36">
        <v>1300000</v>
      </c>
      <c r="AD30" s="37">
        <v>1300000</v>
      </c>
      <c r="AE30" s="36"/>
      <c r="AF30" s="36"/>
      <c r="AG30" s="36">
        <f>AC30-Z30</f>
        <v>1300000</v>
      </c>
      <c r="AH30" s="37">
        <v>1300000</v>
      </c>
      <c r="AI30" s="37">
        <v>1300000</v>
      </c>
      <c r="AJ30" s="36">
        <f t="shared" si="49"/>
        <v>0</v>
      </c>
      <c r="AK30" s="36">
        <f t="shared" si="11"/>
        <v>1300000</v>
      </c>
      <c r="AL30" s="36">
        <f t="shared" si="12"/>
        <v>0</v>
      </c>
      <c r="AM30" s="37">
        <f t="shared" si="13"/>
        <v>0</v>
      </c>
      <c r="AN30" s="37">
        <f t="shared" si="14"/>
        <v>1300000</v>
      </c>
      <c r="AO30" s="37">
        <f t="shared" si="4"/>
        <v>0</v>
      </c>
      <c r="AP30" s="36">
        <v>1300000</v>
      </c>
      <c r="AQ30" s="36">
        <f t="shared" si="5"/>
        <v>0</v>
      </c>
      <c r="AR30" s="36">
        <f t="shared" si="15"/>
        <v>1300000</v>
      </c>
      <c r="AS30" s="36">
        <f t="shared" si="16"/>
        <v>0</v>
      </c>
      <c r="AT30" s="36"/>
      <c r="AU30" s="36">
        <f t="shared" si="17"/>
        <v>1300000</v>
      </c>
      <c r="AV30" s="36">
        <v>0</v>
      </c>
      <c r="AW30" s="36">
        <f t="shared" si="18"/>
        <v>-1300000</v>
      </c>
      <c r="AX30" s="36">
        <v>0</v>
      </c>
      <c r="AY30" s="37">
        <f t="shared" si="47"/>
        <v>-1300000</v>
      </c>
      <c r="AZ30" s="37">
        <f t="shared" si="48"/>
        <v>0</v>
      </c>
      <c r="BA30" s="36">
        <v>1300000</v>
      </c>
      <c r="BB30" s="36">
        <f t="shared" si="19"/>
        <v>0</v>
      </c>
      <c r="BC30" s="36">
        <f t="shared" si="20"/>
        <v>1300000</v>
      </c>
      <c r="BD30" s="36">
        <f t="shared" si="21"/>
        <v>1300000</v>
      </c>
      <c r="BE30" s="36">
        <v>1300000</v>
      </c>
      <c r="BF30" s="36">
        <v>1300000</v>
      </c>
      <c r="BG30" s="36">
        <v>1300000</v>
      </c>
      <c r="BH30" s="36">
        <f t="shared" si="22"/>
        <v>0</v>
      </c>
      <c r="BI30" s="36">
        <f t="shared" si="23"/>
        <v>1300000</v>
      </c>
      <c r="BJ30" s="36">
        <f t="shared" si="24"/>
        <v>0</v>
      </c>
      <c r="BK30" s="11">
        <f t="shared" si="25"/>
        <v>0</v>
      </c>
      <c r="BL30" s="36"/>
      <c r="BM30" s="40">
        <f t="shared" si="26"/>
        <v>1300000</v>
      </c>
      <c r="BN30" s="62">
        <v>0</v>
      </c>
      <c r="BO30" s="38">
        <f t="shared" si="27"/>
        <v>-1300000</v>
      </c>
      <c r="BP30" s="56">
        <v>0</v>
      </c>
      <c r="BQ30" s="60">
        <f t="shared" si="28"/>
        <v>-1300000</v>
      </c>
      <c r="BR30" s="60">
        <f t="shared" si="29"/>
        <v>0</v>
      </c>
      <c r="BS30" s="56">
        <v>400000</v>
      </c>
      <c r="BT30" s="61">
        <f t="shared" si="30"/>
        <v>-900000</v>
      </c>
      <c r="BU30" s="61">
        <f t="shared" si="31"/>
        <v>400000</v>
      </c>
      <c r="BV30" s="61">
        <f t="shared" si="32"/>
        <v>400000</v>
      </c>
      <c r="BW30" s="56">
        <v>900000</v>
      </c>
      <c r="BX30" s="60">
        <f t="shared" si="33"/>
        <v>-400000</v>
      </c>
      <c r="BY30" s="60">
        <f t="shared" si="34"/>
        <v>900000</v>
      </c>
      <c r="BZ30" s="60">
        <f t="shared" si="35"/>
        <v>500000</v>
      </c>
      <c r="CA30" s="56">
        <f>900000+400000</f>
        <v>1300000</v>
      </c>
      <c r="CB30" s="11">
        <f t="shared" si="36"/>
        <v>0</v>
      </c>
      <c r="CC30" s="11">
        <f t="shared" si="37"/>
        <v>1300000</v>
      </c>
      <c r="CD30" s="11">
        <f t="shared" si="6"/>
        <v>900000</v>
      </c>
      <c r="CE30" s="11">
        <f t="shared" si="38"/>
        <v>400000</v>
      </c>
      <c r="CF30" s="56">
        <v>1300000</v>
      </c>
      <c r="CG30" s="11">
        <f t="shared" si="39"/>
        <v>0</v>
      </c>
      <c r="CH30" s="11">
        <f t="shared" si="40"/>
        <v>1300000</v>
      </c>
      <c r="CI30" s="11">
        <f t="shared" si="41"/>
        <v>900000</v>
      </c>
      <c r="CJ30" s="11">
        <f t="shared" si="42"/>
        <v>0</v>
      </c>
      <c r="CK30" s="56">
        <v>1300000</v>
      </c>
      <c r="CL30" s="11">
        <f t="shared" si="7"/>
        <v>0</v>
      </c>
      <c r="CM30" s="11">
        <f t="shared" si="43"/>
        <v>1300000</v>
      </c>
      <c r="CN30" s="11">
        <f t="shared" si="44"/>
        <v>0</v>
      </c>
    </row>
    <row r="31" spans="1:92" ht="12.75" x14ac:dyDescent="0.2">
      <c r="A31" s="28" t="s">
        <v>156</v>
      </c>
      <c r="B31" s="29"/>
      <c r="C31" s="30" t="s">
        <v>158</v>
      </c>
      <c r="D31" s="31"/>
      <c r="E31" s="32"/>
      <c r="F31" s="32"/>
      <c r="G31" s="32"/>
      <c r="H31" s="32"/>
      <c r="I31" s="32"/>
      <c r="J31" s="39"/>
      <c r="K31" s="33"/>
      <c r="L31" s="33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35"/>
      <c r="Y31" s="35">
        <f t="shared" si="9"/>
        <v>0</v>
      </c>
      <c r="Z31" s="36"/>
      <c r="AA31" s="36"/>
      <c r="AB31" s="36"/>
      <c r="AC31" s="36"/>
      <c r="AD31" s="37"/>
      <c r="AE31" s="36"/>
      <c r="AF31" s="36"/>
      <c r="AG31" s="36"/>
      <c r="AH31" s="37"/>
      <c r="AI31" s="37"/>
      <c r="AJ31" s="36"/>
      <c r="AK31" s="36"/>
      <c r="AL31" s="36"/>
      <c r="AM31" s="37"/>
      <c r="AN31" s="37"/>
      <c r="AO31" s="37"/>
      <c r="AP31" s="36"/>
      <c r="AQ31" s="36"/>
      <c r="AR31" s="36"/>
      <c r="AS31" s="36"/>
      <c r="AT31" s="36"/>
      <c r="AU31" s="36">
        <f t="shared" si="17"/>
        <v>0</v>
      </c>
      <c r="AV31" s="36"/>
      <c r="AW31" s="36"/>
      <c r="AX31" s="36">
        <v>250000</v>
      </c>
      <c r="AY31" s="37">
        <f t="shared" si="47"/>
        <v>250000</v>
      </c>
      <c r="AZ31" s="37">
        <f t="shared" si="48"/>
        <v>250000</v>
      </c>
      <c r="BA31" s="36">
        <v>250000</v>
      </c>
      <c r="BB31" s="36">
        <f t="shared" si="19"/>
        <v>250000</v>
      </c>
      <c r="BC31" s="36">
        <f t="shared" si="20"/>
        <v>250000</v>
      </c>
      <c r="BD31" s="36">
        <f t="shared" si="21"/>
        <v>0</v>
      </c>
      <c r="BE31" s="36"/>
      <c r="BF31" s="36">
        <v>250000</v>
      </c>
      <c r="BG31" s="36">
        <v>250000</v>
      </c>
      <c r="BH31" s="36">
        <f t="shared" si="22"/>
        <v>250000</v>
      </c>
      <c r="BI31" s="36">
        <f t="shared" si="23"/>
        <v>250000</v>
      </c>
      <c r="BJ31" s="36">
        <f t="shared" si="24"/>
        <v>0</v>
      </c>
      <c r="BK31" s="11">
        <f t="shared" si="25"/>
        <v>250000</v>
      </c>
      <c r="BL31" s="36"/>
      <c r="BM31" s="40">
        <f t="shared" si="26"/>
        <v>250000</v>
      </c>
      <c r="BN31" s="56">
        <v>250000</v>
      </c>
      <c r="BO31" s="38">
        <f t="shared" si="27"/>
        <v>0</v>
      </c>
      <c r="BP31" s="56">
        <v>250000</v>
      </c>
      <c r="BQ31" s="60">
        <f t="shared" si="28"/>
        <v>0</v>
      </c>
      <c r="BR31" s="60">
        <f t="shared" si="29"/>
        <v>0</v>
      </c>
      <c r="BS31" s="56">
        <f>BP31</f>
        <v>250000</v>
      </c>
      <c r="BT31" s="61">
        <f t="shared" si="30"/>
        <v>0</v>
      </c>
      <c r="BU31" s="61">
        <f t="shared" si="31"/>
        <v>0</v>
      </c>
      <c r="BV31" s="61">
        <f t="shared" si="32"/>
        <v>0</v>
      </c>
      <c r="BW31" s="56">
        <v>0</v>
      </c>
      <c r="BX31" s="60">
        <f t="shared" si="33"/>
        <v>-250000</v>
      </c>
      <c r="BY31" s="60">
        <f t="shared" si="34"/>
        <v>-250000</v>
      </c>
      <c r="BZ31" s="60">
        <f t="shared" si="35"/>
        <v>-250000</v>
      </c>
      <c r="CA31" s="56">
        <v>0</v>
      </c>
      <c r="CB31" s="11">
        <f t="shared" si="36"/>
        <v>-250000</v>
      </c>
      <c r="CC31" s="11">
        <f t="shared" si="37"/>
        <v>-250000</v>
      </c>
      <c r="CD31" s="11">
        <f t="shared" si="6"/>
        <v>-250000</v>
      </c>
      <c r="CE31" s="11">
        <f t="shared" si="38"/>
        <v>0</v>
      </c>
      <c r="CF31" s="56">
        <v>250000</v>
      </c>
      <c r="CG31" s="11">
        <f t="shared" si="39"/>
        <v>0</v>
      </c>
      <c r="CH31" s="11">
        <f t="shared" si="40"/>
        <v>0</v>
      </c>
      <c r="CI31" s="11">
        <f t="shared" si="41"/>
        <v>0</v>
      </c>
      <c r="CJ31" s="11">
        <f t="shared" si="42"/>
        <v>250000</v>
      </c>
      <c r="CK31" s="56">
        <v>250000</v>
      </c>
      <c r="CL31" s="11">
        <f t="shared" si="7"/>
        <v>0</v>
      </c>
      <c r="CM31" s="11">
        <f t="shared" si="43"/>
        <v>0</v>
      </c>
      <c r="CN31" s="11">
        <f t="shared" si="44"/>
        <v>0</v>
      </c>
    </row>
    <row r="32" spans="1:92" ht="12.75" x14ac:dyDescent="0.2">
      <c r="A32" s="30" t="s">
        <v>7</v>
      </c>
      <c r="B32" s="30"/>
      <c r="C32" s="30" t="s">
        <v>48</v>
      </c>
      <c r="D32" s="31">
        <v>73790525</v>
      </c>
      <c r="E32" s="32">
        <v>79751579</v>
      </c>
      <c r="F32" s="32">
        <v>76536610</v>
      </c>
      <c r="G32" s="32">
        <v>79751579</v>
      </c>
      <c r="H32" s="32"/>
      <c r="I32" s="32">
        <f t="shared" si="0"/>
        <v>79751579</v>
      </c>
      <c r="J32" s="33">
        <v>-5174307</v>
      </c>
      <c r="K32" s="33"/>
      <c r="L32" s="33">
        <f t="shared" si="1"/>
        <v>-5174307</v>
      </c>
      <c r="M32" s="34">
        <f t="shared" si="8"/>
        <v>74577272</v>
      </c>
      <c r="N32" s="34">
        <v>74577272</v>
      </c>
      <c r="O32" s="34">
        <v>74082992</v>
      </c>
      <c r="P32" s="34">
        <v>71554914</v>
      </c>
      <c r="Q32" s="34">
        <v>71554914</v>
      </c>
      <c r="R32" s="34">
        <v>71554914</v>
      </c>
      <c r="S32" s="34">
        <v>0</v>
      </c>
      <c r="T32" s="34">
        <f t="shared" si="45"/>
        <v>0</v>
      </c>
      <c r="U32" s="34">
        <f t="shared" si="46"/>
        <v>71554914</v>
      </c>
      <c r="V32" s="34">
        <f t="shared" si="2"/>
        <v>-3022358</v>
      </c>
      <c r="W32" s="35">
        <v>71554914</v>
      </c>
      <c r="X32" s="35"/>
      <c r="Y32" s="35">
        <f t="shared" si="9"/>
        <v>71554914</v>
      </c>
      <c r="Z32" s="36">
        <v>71554914</v>
      </c>
      <c r="AA32" s="36">
        <f t="shared" si="10"/>
        <v>0</v>
      </c>
      <c r="AB32" s="36">
        <v>73215427</v>
      </c>
      <c r="AC32" s="36">
        <v>73215427</v>
      </c>
      <c r="AD32" s="37">
        <v>71554914</v>
      </c>
      <c r="AE32" s="36"/>
      <c r="AF32" s="36">
        <f>AC32-SUM(W32:X32)</f>
        <v>1660513</v>
      </c>
      <c r="AG32" s="36">
        <f>AC32-Z32</f>
        <v>1660513</v>
      </c>
      <c r="AH32" s="37">
        <v>71554914</v>
      </c>
      <c r="AI32" s="37">
        <v>71554914</v>
      </c>
      <c r="AJ32" s="36">
        <f t="shared" si="49"/>
        <v>0</v>
      </c>
      <c r="AK32" s="36">
        <f t="shared" si="11"/>
        <v>0</v>
      </c>
      <c r="AL32" s="36">
        <f t="shared" si="12"/>
        <v>-1660513</v>
      </c>
      <c r="AM32" s="37">
        <f t="shared" si="13"/>
        <v>0</v>
      </c>
      <c r="AN32" s="37">
        <f t="shared" si="14"/>
        <v>0</v>
      </c>
      <c r="AO32" s="37">
        <f t="shared" si="4"/>
        <v>-1660513</v>
      </c>
      <c r="AP32" s="36">
        <v>71554914</v>
      </c>
      <c r="AQ32" s="36">
        <f t="shared" si="5"/>
        <v>0</v>
      </c>
      <c r="AR32" s="36">
        <f t="shared" si="15"/>
        <v>0</v>
      </c>
      <c r="AS32" s="36">
        <f t="shared" si="16"/>
        <v>0</v>
      </c>
      <c r="AT32" s="36"/>
      <c r="AU32" s="36">
        <f t="shared" si="17"/>
        <v>71554914</v>
      </c>
      <c r="AV32" s="36">
        <v>71454914</v>
      </c>
      <c r="AW32" s="36">
        <f t="shared" si="18"/>
        <v>-100000</v>
      </c>
      <c r="AX32" s="36">
        <v>71554914</v>
      </c>
      <c r="AY32" s="37">
        <f t="shared" si="47"/>
        <v>0</v>
      </c>
      <c r="AZ32" s="37">
        <f t="shared" si="48"/>
        <v>100000</v>
      </c>
      <c r="BA32" s="36">
        <v>71554914</v>
      </c>
      <c r="BB32" s="36">
        <f t="shared" si="19"/>
        <v>0</v>
      </c>
      <c r="BC32" s="36">
        <f t="shared" si="20"/>
        <v>100000</v>
      </c>
      <c r="BD32" s="36">
        <f t="shared" si="21"/>
        <v>0</v>
      </c>
      <c r="BE32" s="36">
        <v>71454914</v>
      </c>
      <c r="BF32" s="36">
        <v>71454914</v>
      </c>
      <c r="BG32" s="36">
        <v>71454914</v>
      </c>
      <c r="BH32" s="36">
        <f t="shared" si="22"/>
        <v>-100000</v>
      </c>
      <c r="BI32" s="36">
        <f t="shared" si="23"/>
        <v>0</v>
      </c>
      <c r="BJ32" s="36">
        <f t="shared" si="24"/>
        <v>-100000</v>
      </c>
      <c r="BK32" s="11">
        <f t="shared" si="25"/>
        <v>0</v>
      </c>
      <c r="BL32" s="36">
        <v>1000000</v>
      </c>
      <c r="BM32" s="40">
        <f>BG32-BL32+8000000</f>
        <v>78454914</v>
      </c>
      <c r="BN32" s="56">
        <v>80270928</v>
      </c>
      <c r="BO32" s="38">
        <f t="shared" si="27"/>
        <v>1816014</v>
      </c>
      <c r="BP32" s="56">
        <v>70454914</v>
      </c>
      <c r="BQ32" s="60">
        <f t="shared" si="28"/>
        <v>-8000000</v>
      </c>
      <c r="BR32" s="60">
        <f t="shared" si="29"/>
        <v>-9816014</v>
      </c>
      <c r="BS32" s="56">
        <f t="shared" ref="BS32:BS37" si="51">BP32</f>
        <v>70454914</v>
      </c>
      <c r="BT32" s="61">
        <f t="shared" si="30"/>
        <v>-8000000</v>
      </c>
      <c r="BU32" s="61">
        <f t="shared" si="31"/>
        <v>-9816014</v>
      </c>
      <c r="BV32" s="61">
        <f t="shared" si="32"/>
        <v>0</v>
      </c>
      <c r="BW32" s="56">
        <v>76354914</v>
      </c>
      <c r="BX32" s="60">
        <f t="shared" si="33"/>
        <v>-2100000</v>
      </c>
      <c r="BY32" s="60">
        <f t="shared" si="34"/>
        <v>-3916014</v>
      </c>
      <c r="BZ32" s="60">
        <f t="shared" si="35"/>
        <v>5900000</v>
      </c>
      <c r="CA32" s="56">
        <v>76354914</v>
      </c>
      <c r="CB32" s="11">
        <f t="shared" si="36"/>
        <v>-2100000</v>
      </c>
      <c r="CC32" s="11">
        <f t="shared" si="37"/>
        <v>-3916014</v>
      </c>
      <c r="CD32" s="11">
        <f t="shared" si="6"/>
        <v>5900000</v>
      </c>
      <c r="CE32" s="11">
        <f t="shared" si="38"/>
        <v>0</v>
      </c>
      <c r="CF32" s="56">
        <v>75000000</v>
      </c>
      <c r="CG32" s="11">
        <f t="shared" si="39"/>
        <v>-3454914</v>
      </c>
      <c r="CH32" s="11">
        <f t="shared" si="40"/>
        <v>-5270928</v>
      </c>
      <c r="CI32" s="11">
        <f t="shared" si="41"/>
        <v>4545086</v>
      </c>
      <c r="CJ32" s="11">
        <f t="shared" si="42"/>
        <v>-1354914</v>
      </c>
      <c r="CK32" s="56">
        <v>75000000</v>
      </c>
      <c r="CL32" s="11">
        <f t="shared" si="7"/>
        <v>-3454914</v>
      </c>
      <c r="CM32" s="11">
        <f t="shared" si="43"/>
        <v>-5270928</v>
      </c>
      <c r="CN32" s="11">
        <f t="shared" si="44"/>
        <v>0</v>
      </c>
    </row>
    <row r="33" spans="1:92" ht="12.75" x14ac:dyDescent="0.2">
      <c r="A33" s="30" t="s">
        <v>182</v>
      </c>
      <c r="B33" s="30"/>
      <c r="C33" s="58" t="s">
        <v>216</v>
      </c>
      <c r="D33" s="31"/>
      <c r="E33" s="32"/>
      <c r="F33" s="32"/>
      <c r="G33" s="32"/>
      <c r="H33" s="32"/>
      <c r="I33" s="32"/>
      <c r="J33" s="33"/>
      <c r="K33" s="33"/>
      <c r="L33" s="33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5"/>
      <c r="Y33" s="35"/>
      <c r="Z33" s="36"/>
      <c r="AA33" s="36"/>
      <c r="AB33" s="36"/>
      <c r="AC33" s="36"/>
      <c r="AD33" s="37"/>
      <c r="AE33" s="36"/>
      <c r="AF33" s="36"/>
      <c r="AG33" s="36"/>
      <c r="AH33" s="37"/>
      <c r="AI33" s="37"/>
      <c r="AJ33" s="36"/>
      <c r="AK33" s="36"/>
      <c r="AL33" s="36"/>
      <c r="AM33" s="37"/>
      <c r="AN33" s="37"/>
      <c r="AO33" s="37"/>
      <c r="AP33" s="36"/>
      <c r="AQ33" s="36"/>
      <c r="AR33" s="36"/>
      <c r="AS33" s="36"/>
      <c r="AT33" s="36"/>
      <c r="AU33" s="36"/>
      <c r="AV33" s="36"/>
      <c r="AW33" s="36"/>
      <c r="AX33" s="36"/>
      <c r="AY33" s="37"/>
      <c r="AZ33" s="37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11"/>
      <c r="BL33" s="36"/>
      <c r="BM33" s="40"/>
      <c r="BN33" s="56">
        <v>1465000</v>
      </c>
      <c r="BO33" s="38">
        <f t="shared" si="27"/>
        <v>1465000</v>
      </c>
      <c r="BP33" s="56">
        <v>0</v>
      </c>
      <c r="BQ33" s="60">
        <f t="shared" si="28"/>
        <v>0</v>
      </c>
      <c r="BR33" s="60">
        <f t="shared" si="29"/>
        <v>-1465000</v>
      </c>
      <c r="BS33" s="56">
        <f t="shared" si="51"/>
        <v>0</v>
      </c>
      <c r="BT33" s="61">
        <f t="shared" si="30"/>
        <v>0</v>
      </c>
      <c r="BU33" s="61">
        <f t="shared" si="31"/>
        <v>-1465000</v>
      </c>
      <c r="BV33" s="61">
        <f t="shared" si="32"/>
        <v>0</v>
      </c>
      <c r="BW33" s="56">
        <v>0</v>
      </c>
      <c r="BX33" s="60">
        <f t="shared" si="33"/>
        <v>0</v>
      </c>
      <c r="BY33" s="60">
        <f t="shared" si="34"/>
        <v>-1465000</v>
      </c>
      <c r="BZ33" s="60">
        <f t="shared" si="35"/>
        <v>0</v>
      </c>
      <c r="CA33" s="56">
        <v>1000000</v>
      </c>
      <c r="CB33" s="11">
        <f t="shared" si="36"/>
        <v>1000000</v>
      </c>
      <c r="CC33" s="11">
        <f t="shared" si="37"/>
        <v>-465000</v>
      </c>
      <c r="CD33" s="11">
        <f t="shared" si="6"/>
        <v>1000000</v>
      </c>
      <c r="CE33" s="11">
        <f t="shared" si="38"/>
        <v>1000000</v>
      </c>
      <c r="CF33" s="56">
        <v>1000000</v>
      </c>
      <c r="CG33" s="11">
        <f t="shared" si="39"/>
        <v>1000000</v>
      </c>
      <c r="CH33" s="11">
        <f t="shared" si="40"/>
        <v>-465000</v>
      </c>
      <c r="CI33" s="11">
        <f t="shared" si="41"/>
        <v>1000000</v>
      </c>
      <c r="CJ33" s="11">
        <f t="shared" si="42"/>
        <v>0</v>
      </c>
      <c r="CK33" s="56">
        <v>1000000</v>
      </c>
      <c r="CL33" s="11">
        <f t="shared" si="7"/>
        <v>1000000</v>
      </c>
      <c r="CM33" s="11">
        <f t="shared" si="43"/>
        <v>-465000</v>
      </c>
      <c r="CN33" s="11">
        <f t="shared" si="44"/>
        <v>0</v>
      </c>
    </row>
    <row r="34" spans="1:92" ht="12.75" x14ac:dyDescent="0.2">
      <c r="A34" s="28" t="s">
        <v>22</v>
      </c>
      <c r="B34" s="29"/>
      <c r="C34" s="30" t="s">
        <v>191</v>
      </c>
      <c r="D34" s="31">
        <v>5515000</v>
      </c>
      <c r="E34" s="32">
        <v>5448093</v>
      </c>
      <c r="F34" s="32">
        <v>5239173</v>
      </c>
      <c r="G34" s="32">
        <v>657526</v>
      </c>
      <c r="H34" s="33"/>
      <c r="I34" s="32">
        <f t="shared" si="0"/>
        <v>657526</v>
      </c>
      <c r="J34" s="33">
        <v>-68362</v>
      </c>
      <c r="K34" s="33"/>
      <c r="L34" s="33">
        <f t="shared" si="1"/>
        <v>-68362</v>
      </c>
      <c r="M34" s="34">
        <f t="shared" si="8"/>
        <v>589164</v>
      </c>
      <c r="N34" s="34">
        <v>925806</v>
      </c>
      <c r="O34" s="34">
        <v>894719</v>
      </c>
      <c r="P34" s="34">
        <v>894719</v>
      </c>
      <c r="Q34" s="34">
        <v>813352</v>
      </c>
      <c r="R34" s="34">
        <v>894550</v>
      </c>
      <c r="S34" s="34">
        <v>0</v>
      </c>
      <c r="T34" s="34">
        <f t="shared" si="45"/>
        <v>0</v>
      </c>
      <c r="U34" s="34">
        <f t="shared" si="46"/>
        <v>894550</v>
      </c>
      <c r="V34" s="34">
        <f t="shared" si="2"/>
        <v>305386</v>
      </c>
      <c r="W34" s="35">
        <v>894550</v>
      </c>
      <c r="X34" s="35"/>
      <c r="Y34" s="35">
        <f t="shared" si="9"/>
        <v>894550</v>
      </c>
      <c r="Z34" s="36">
        <v>894550</v>
      </c>
      <c r="AA34" s="36">
        <f t="shared" si="10"/>
        <v>0</v>
      </c>
      <c r="AB34" s="36">
        <v>861405</v>
      </c>
      <c r="AC34" s="36">
        <v>861405</v>
      </c>
      <c r="AD34" s="37">
        <v>876659</v>
      </c>
      <c r="AE34" s="36"/>
      <c r="AF34" s="36">
        <f>AC34-SUM(W34:X34)</f>
        <v>-33145</v>
      </c>
      <c r="AG34" s="36">
        <f>AC34-Z34</f>
        <v>-33145</v>
      </c>
      <c r="AH34" s="37">
        <v>876659</v>
      </c>
      <c r="AI34" s="37">
        <v>861405</v>
      </c>
      <c r="AJ34" s="36">
        <f t="shared" si="49"/>
        <v>-17891</v>
      </c>
      <c r="AK34" s="36">
        <f t="shared" si="11"/>
        <v>-17891</v>
      </c>
      <c r="AL34" s="36">
        <f t="shared" si="12"/>
        <v>15254</v>
      </c>
      <c r="AM34" s="37">
        <f t="shared" si="13"/>
        <v>-17891</v>
      </c>
      <c r="AN34" s="37">
        <f t="shared" si="14"/>
        <v>-17891</v>
      </c>
      <c r="AO34" s="37">
        <f t="shared" si="4"/>
        <v>15254</v>
      </c>
      <c r="AP34" s="36">
        <v>861405</v>
      </c>
      <c r="AQ34" s="36">
        <f t="shared" si="5"/>
        <v>-33145</v>
      </c>
      <c r="AR34" s="36">
        <f t="shared" si="15"/>
        <v>-33145</v>
      </c>
      <c r="AS34" s="36">
        <f t="shared" si="16"/>
        <v>-33145</v>
      </c>
      <c r="AT34" s="36"/>
      <c r="AU34" s="36">
        <f t="shared" si="17"/>
        <v>861405</v>
      </c>
      <c r="AV34" s="36">
        <v>898474</v>
      </c>
      <c r="AW34" s="36">
        <f t="shared" si="18"/>
        <v>37069</v>
      </c>
      <c r="AX34" s="36">
        <v>872383</v>
      </c>
      <c r="AY34" s="37">
        <f t="shared" si="47"/>
        <v>10978</v>
      </c>
      <c r="AZ34" s="37">
        <f t="shared" si="48"/>
        <v>-26091</v>
      </c>
      <c r="BA34" s="36">
        <v>872383</v>
      </c>
      <c r="BB34" s="36">
        <f t="shared" si="19"/>
        <v>10978</v>
      </c>
      <c r="BC34" s="36">
        <f t="shared" si="20"/>
        <v>-26091</v>
      </c>
      <c r="BD34" s="36">
        <f t="shared" si="21"/>
        <v>0</v>
      </c>
      <c r="BE34" s="36">
        <v>901178</v>
      </c>
      <c r="BF34" s="36">
        <v>887543</v>
      </c>
      <c r="BG34" s="36">
        <v>887543</v>
      </c>
      <c r="BH34" s="36">
        <f t="shared" si="22"/>
        <v>26138</v>
      </c>
      <c r="BI34" s="36">
        <f t="shared" si="23"/>
        <v>-10931</v>
      </c>
      <c r="BJ34" s="36">
        <f t="shared" si="24"/>
        <v>15160</v>
      </c>
      <c r="BK34" s="11">
        <f t="shared" si="25"/>
        <v>-13635</v>
      </c>
      <c r="BL34" s="36">
        <v>25000</v>
      </c>
      <c r="BM34" s="40">
        <f t="shared" si="26"/>
        <v>862543</v>
      </c>
      <c r="BN34" s="56">
        <v>795441</v>
      </c>
      <c r="BO34" s="38">
        <f t="shared" si="27"/>
        <v>-67102</v>
      </c>
      <c r="BP34" s="56">
        <v>795548</v>
      </c>
      <c r="BQ34" s="60">
        <f t="shared" si="28"/>
        <v>-66995</v>
      </c>
      <c r="BR34" s="60">
        <f t="shared" si="29"/>
        <v>107</v>
      </c>
      <c r="BS34" s="56">
        <f t="shared" si="51"/>
        <v>795548</v>
      </c>
      <c r="BT34" s="61">
        <f t="shared" si="30"/>
        <v>-66995</v>
      </c>
      <c r="BU34" s="61">
        <f t="shared" si="31"/>
        <v>107</v>
      </c>
      <c r="BV34" s="61">
        <f t="shared" si="32"/>
        <v>0</v>
      </c>
      <c r="BW34" s="56">
        <v>795548</v>
      </c>
      <c r="BX34" s="60">
        <f t="shared" si="33"/>
        <v>-66995</v>
      </c>
      <c r="BY34" s="60">
        <f t="shared" si="34"/>
        <v>107</v>
      </c>
      <c r="BZ34" s="60">
        <f t="shared" si="35"/>
        <v>0</v>
      </c>
      <c r="CA34" s="56">
        <v>795548</v>
      </c>
      <c r="CB34" s="11">
        <f t="shared" si="36"/>
        <v>-66995</v>
      </c>
      <c r="CC34" s="11">
        <f t="shared" si="37"/>
        <v>107</v>
      </c>
      <c r="CD34" s="11">
        <f t="shared" si="6"/>
        <v>0</v>
      </c>
      <c r="CE34" s="11">
        <f t="shared" si="38"/>
        <v>0</v>
      </c>
      <c r="CF34" s="56">
        <v>795548</v>
      </c>
      <c r="CG34" s="11">
        <f t="shared" si="39"/>
        <v>-66995</v>
      </c>
      <c r="CH34" s="11">
        <f t="shared" si="40"/>
        <v>107</v>
      </c>
      <c r="CI34" s="11">
        <f t="shared" si="41"/>
        <v>0</v>
      </c>
      <c r="CJ34" s="11">
        <f t="shared" si="42"/>
        <v>0</v>
      </c>
      <c r="CK34" s="56">
        <v>795548</v>
      </c>
      <c r="CL34" s="11">
        <f t="shared" si="7"/>
        <v>-66995</v>
      </c>
      <c r="CM34" s="11">
        <f t="shared" si="43"/>
        <v>107</v>
      </c>
      <c r="CN34" s="11">
        <f t="shared" si="44"/>
        <v>0</v>
      </c>
    </row>
    <row r="35" spans="1:92" ht="12.75" x14ac:dyDescent="0.2">
      <c r="A35" s="28" t="s">
        <v>8</v>
      </c>
      <c r="B35" s="29"/>
      <c r="C35" s="30" t="s">
        <v>164</v>
      </c>
      <c r="D35" s="31">
        <v>27749039</v>
      </c>
      <c r="E35" s="32">
        <v>29310695</v>
      </c>
      <c r="F35" s="32">
        <v>28124478</v>
      </c>
      <c r="G35" s="32">
        <v>25290411</v>
      </c>
      <c r="H35" s="33"/>
      <c r="I35" s="32">
        <f t="shared" si="0"/>
        <v>25290411</v>
      </c>
      <c r="J35" s="33">
        <v>-22557</v>
      </c>
      <c r="K35" s="33"/>
      <c r="L35" s="33">
        <f t="shared" si="1"/>
        <v>-22557</v>
      </c>
      <c r="M35" s="34">
        <f t="shared" si="8"/>
        <v>25267854</v>
      </c>
      <c r="N35" s="34">
        <v>25267854</v>
      </c>
      <c r="O35" s="34">
        <v>25162278</v>
      </c>
      <c r="P35" s="34">
        <v>25162278</v>
      </c>
      <c r="Q35" s="34">
        <v>24862278</v>
      </c>
      <c r="R35" s="34">
        <v>25162278</v>
      </c>
      <c r="S35" s="34">
        <v>3.1789999999999999E-2</v>
      </c>
      <c r="T35" s="34">
        <f t="shared" si="45"/>
        <v>-799908.81761999999</v>
      </c>
      <c r="U35" s="34">
        <f t="shared" si="46"/>
        <v>24362369.182379998</v>
      </c>
      <c r="V35" s="34">
        <f t="shared" si="2"/>
        <v>-905484.81762000173</v>
      </c>
      <c r="W35" s="35">
        <v>24362278</v>
      </c>
      <c r="X35" s="35"/>
      <c r="Y35" s="35">
        <f t="shared" si="9"/>
        <v>24362278</v>
      </c>
      <c r="Z35" s="36">
        <v>24362278</v>
      </c>
      <c r="AA35" s="36">
        <f t="shared" si="10"/>
        <v>0</v>
      </c>
      <c r="AB35" s="36">
        <v>24362278</v>
      </c>
      <c r="AC35" s="36">
        <v>24362278</v>
      </c>
      <c r="AD35" s="37">
        <v>24362278</v>
      </c>
      <c r="AE35" s="36"/>
      <c r="AF35" s="36"/>
      <c r="AG35" s="36"/>
      <c r="AH35" s="37">
        <v>24362278</v>
      </c>
      <c r="AI35" s="37">
        <v>24362278</v>
      </c>
      <c r="AJ35" s="36">
        <f t="shared" si="49"/>
        <v>0</v>
      </c>
      <c r="AK35" s="36">
        <f t="shared" si="11"/>
        <v>0</v>
      </c>
      <c r="AL35" s="36">
        <f t="shared" si="12"/>
        <v>0</v>
      </c>
      <c r="AM35" s="37">
        <f t="shared" si="13"/>
        <v>0</v>
      </c>
      <c r="AN35" s="37">
        <f t="shared" si="14"/>
        <v>0</v>
      </c>
      <c r="AO35" s="37">
        <f t="shared" si="4"/>
        <v>0</v>
      </c>
      <c r="AP35" s="36">
        <v>24362278</v>
      </c>
      <c r="AQ35" s="36">
        <f t="shared" si="5"/>
        <v>0</v>
      </c>
      <c r="AR35" s="36">
        <f t="shared" si="15"/>
        <v>0</v>
      </c>
      <c r="AS35" s="36">
        <f t="shared" si="16"/>
        <v>0</v>
      </c>
      <c r="AT35" s="36"/>
      <c r="AU35" s="36">
        <f t="shared" si="17"/>
        <v>24362278</v>
      </c>
      <c r="AV35" s="36">
        <v>24403482</v>
      </c>
      <c r="AW35" s="36">
        <f t="shared" si="18"/>
        <v>41204</v>
      </c>
      <c r="AX35" s="36">
        <v>24371335</v>
      </c>
      <c r="AY35" s="37">
        <f t="shared" si="47"/>
        <v>9057</v>
      </c>
      <c r="AZ35" s="37">
        <f t="shared" si="48"/>
        <v>-32147</v>
      </c>
      <c r="BA35" s="36">
        <v>24371335</v>
      </c>
      <c r="BB35" s="36">
        <f t="shared" si="19"/>
        <v>9057</v>
      </c>
      <c r="BC35" s="36">
        <f t="shared" si="20"/>
        <v>-32147</v>
      </c>
      <c r="BD35" s="36">
        <f t="shared" si="21"/>
        <v>0</v>
      </c>
      <c r="BE35" s="36">
        <v>23903482</v>
      </c>
      <c r="BF35" s="36">
        <v>24385395</v>
      </c>
      <c r="BG35" s="36">
        <v>24385395</v>
      </c>
      <c r="BH35" s="36">
        <f t="shared" si="22"/>
        <v>23117</v>
      </c>
      <c r="BI35" s="36">
        <f t="shared" si="23"/>
        <v>-18087</v>
      </c>
      <c r="BJ35" s="36">
        <f t="shared" si="24"/>
        <v>14060</v>
      </c>
      <c r="BK35" s="11">
        <f t="shared" si="25"/>
        <v>481913</v>
      </c>
      <c r="BL35" s="36">
        <f>25000+104847</f>
        <v>129847</v>
      </c>
      <c r="BM35" s="40">
        <f t="shared" si="26"/>
        <v>24255548</v>
      </c>
      <c r="BN35" s="56">
        <v>24276033</v>
      </c>
      <c r="BO35" s="38">
        <f t="shared" si="27"/>
        <v>20485</v>
      </c>
      <c r="BP35" s="56">
        <v>23974543</v>
      </c>
      <c r="BQ35" s="60">
        <f t="shared" si="28"/>
        <v>-281005</v>
      </c>
      <c r="BR35" s="60">
        <f t="shared" si="29"/>
        <v>-301490</v>
      </c>
      <c r="BS35" s="56">
        <f t="shared" si="51"/>
        <v>23974543</v>
      </c>
      <c r="BT35" s="61">
        <f t="shared" si="30"/>
        <v>-281005</v>
      </c>
      <c r="BU35" s="61">
        <f t="shared" si="31"/>
        <v>-301490</v>
      </c>
      <c r="BV35" s="61">
        <f t="shared" si="32"/>
        <v>0</v>
      </c>
      <c r="BW35" s="56">
        <v>24248033</v>
      </c>
      <c r="BX35" s="60">
        <f t="shared" si="33"/>
        <v>-7515</v>
      </c>
      <c r="BY35" s="60">
        <f t="shared" si="34"/>
        <v>-28000</v>
      </c>
      <c r="BZ35" s="60">
        <f t="shared" si="35"/>
        <v>273490</v>
      </c>
      <c r="CA35" s="56">
        <v>24248033</v>
      </c>
      <c r="CB35" s="11">
        <f t="shared" si="36"/>
        <v>-7515</v>
      </c>
      <c r="CC35" s="11">
        <f t="shared" si="37"/>
        <v>-28000</v>
      </c>
      <c r="CD35" s="11">
        <f t="shared" si="6"/>
        <v>273490</v>
      </c>
      <c r="CE35" s="11">
        <f t="shared" si="38"/>
        <v>0</v>
      </c>
      <c r="CF35" s="56">
        <v>23974543</v>
      </c>
      <c r="CG35" s="11">
        <f t="shared" si="39"/>
        <v>-281005</v>
      </c>
      <c r="CH35" s="11">
        <f t="shared" si="40"/>
        <v>-301490</v>
      </c>
      <c r="CI35" s="11">
        <f t="shared" si="41"/>
        <v>0</v>
      </c>
      <c r="CJ35" s="11">
        <f t="shared" si="42"/>
        <v>-273490</v>
      </c>
      <c r="CK35" s="56">
        <v>23974543</v>
      </c>
      <c r="CL35" s="11">
        <f t="shared" si="7"/>
        <v>-281005</v>
      </c>
      <c r="CM35" s="11">
        <f t="shared" si="43"/>
        <v>-301490</v>
      </c>
      <c r="CN35" s="11">
        <f t="shared" si="44"/>
        <v>0</v>
      </c>
    </row>
    <row r="36" spans="1:92" ht="12.75" x14ac:dyDescent="0.2">
      <c r="A36" s="28" t="s">
        <v>9</v>
      </c>
      <c r="B36" s="29"/>
      <c r="C36" s="30" t="s">
        <v>138</v>
      </c>
      <c r="D36" s="31">
        <v>13215863</v>
      </c>
      <c r="E36" s="32">
        <v>13391393</v>
      </c>
      <c r="F36" s="32">
        <v>12562938</v>
      </c>
      <c r="G36" s="32">
        <v>9294804</v>
      </c>
      <c r="H36" s="33"/>
      <c r="I36" s="32">
        <f t="shared" si="0"/>
        <v>9294804</v>
      </c>
      <c r="J36" s="33"/>
      <c r="K36" s="33"/>
      <c r="L36" s="33">
        <f t="shared" si="1"/>
        <v>0</v>
      </c>
      <c r="M36" s="34">
        <f t="shared" si="8"/>
        <v>9294804</v>
      </c>
      <c r="N36" s="34">
        <v>9294804</v>
      </c>
      <c r="O36" s="34">
        <v>9294804</v>
      </c>
      <c r="P36" s="34">
        <v>9294804</v>
      </c>
      <c r="Q36" s="34">
        <v>9294804</v>
      </c>
      <c r="R36" s="34">
        <v>9294804</v>
      </c>
      <c r="S36" s="34">
        <v>2.1520000000000001E-2</v>
      </c>
      <c r="T36" s="34">
        <f t="shared" si="45"/>
        <v>-200024.18208</v>
      </c>
      <c r="U36" s="34">
        <f t="shared" si="46"/>
        <v>9094779.8179199994</v>
      </c>
      <c r="V36" s="34">
        <f t="shared" si="2"/>
        <v>-200024.18208000064</v>
      </c>
      <c r="W36" s="35">
        <v>9094804</v>
      </c>
      <c r="X36" s="35"/>
      <c r="Y36" s="35">
        <f t="shared" si="9"/>
        <v>9094804</v>
      </c>
      <c r="Z36" s="36">
        <v>9655545</v>
      </c>
      <c r="AA36" s="36">
        <f t="shared" si="10"/>
        <v>560741</v>
      </c>
      <c r="AB36" s="36">
        <v>9094805</v>
      </c>
      <c r="AC36" s="36">
        <v>9575175</v>
      </c>
      <c r="AD36" s="37">
        <v>8344804</v>
      </c>
      <c r="AE36" s="36">
        <f t="shared" ref="AE36:AE49" si="52">AC36-AB36</f>
        <v>480370</v>
      </c>
      <c r="AF36" s="36">
        <f>AC36-W36+X36</f>
        <v>480371</v>
      </c>
      <c r="AG36" s="36">
        <f>AC36-Z36</f>
        <v>-80370</v>
      </c>
      <c r="AH36" s="37">
        <v>8344804</v>
      </c>
      <c r="AI36" s="37">
        <v>9575175</v>
      </c>
      <c r="AJ36" s="36">
        <f t="shared" si="49"/>
        <v>-750000</v>
      </c>
      <c r="AK36" s="36">
        <f t="shared" si="11"/>
        <v>-1310741</v>
      </c>
      <c r="AL36" s="36">
        <f t="shared" si="12"/>
        <v>-1230371</v>
      </c>
      <c r="AM36" s="37">
        <f t="shared" si="13"/>
        <v>-750000</v>
      </c>
      <c r="AN36" s="37">
        <f t="shared" si="14"/>
        <v>-1310741</v>
      </c>
      <c r="AO36" s="37">
        <f t="shared" si="4"/>
        <v>-1230371</v>
      </c>
      <c r="AP36" s="36">
        <v>9575175</v>
      </c>
      <c r="AQ36" s="36">
        <f t="shared" si="5"/>
        <v>480371</v>
      </c>
      <c r="AR36" s="36">
        <f t="shared" si="15"/>
        <v>-80370</v>
      </c>
      <c r="AS36" s="36">
        <f t="shared" si="16"/>
        <v>480371</v>
      </c>
      <c r="AT36" s="36"/>
      <c r="AU36" s="36">
        <f t="shared" si="17"/>
        <v>9575175</v>
      </c>
      <c r="AV36" s="36">
        <v>9575175</v>
      </c>
      <c r="AW36" s="36">
        <f t="shared" si="18"/>
        <v>0</v>
      </c>
      <c r="AX36" s="36">
        <v>9094804</v>
      </c>
      <c r="AY36" s="37">
        <f t="shared" si="47"/>
        <v>-480371</v>
      </c>
      <c r="AZ36" s="37">
        <f t="shared" si="48"/>
        <v>-480371</v>
      </c>
      <c r="BA36" s="36">
        <v>9575175</v>
      </c>
      <c r="BB36" s="36">
        <f t="shared" si="19"/>
        <v>0</v>
      </c>
      <c r="BC36" s="36">
        <f t="shared" si="20"/>
        <v>0</v>
      </c>
      <c r="BD36" s="36">
        <f t="shared" si="21"/>
        <v>480371</v>
      </c>
      <c r="BE36" s="36">
        <v>9094804</v>
      </c>
      <c r="BF36" s="36">
        <v>9575175</v>
      </c>
      <c r="BG36" s="36">
        <v>9575175</v>
      </c>
      <c r="BH36" s="36">
        <f t="shared" si="22"/>
        <v>0</v>
      </c>
      <c r="BI36" s="36">
        <f t="shared" si="23"/>
        <v>0</v>
      </c>
      <c r="BJ36" s="36">
        <f t="shared" si="24"/>
        <v>0</v>
      </c>
      <c r="BK36" s="11">
        <f t="shared" si="25"/>
        <v>480371</v>
      </c>
      <c r="BL36" s="36"/>
      <c r="BM36" s="40">
        <f t="shared" si="26"/>
        <v>9575175</v>
      </c>
      <c r="BN36" s="56">
        <v>9575175</v>
      </c>
      <c r="BO36" s="38">
        <f t="shared" si="27"/>
        <v>0</v>
      </c>
      <c r="BP36" s="56">
        <v>9094804</v>
      </c>
      <c r="BQ36" s="60">
        <f t="shared" si="28"/>
        <v>-480371</v>
      </c>
      <c r="BR36" s="60">
        <f t="shared" si="29"/>
        <v>-480371</v>
      </c>
      <c r="BS36" s="56">
        <f t="shared" si="51"/>
        <v>9094804</v>
      </c>
      <c r="BT36" s="61">
        <f t="shared" si="30"/>
        <v>-480371</v>
      </c>
      <c r="BU36" s="61">
        <f t="shared" si="31"/>
        <v>-480371</v>
      </c>
      <c r="BV36" s="61">
        <f t="shared" si="32"/>
        <v>0</v>
      </c>
      <c r="BW36" s="56">
        <v>9094804</v>
      </c>
      <c r="BX36" s="60">
        <f t="shared" si="33"/>
        <v>-480371</v>
      </c>
      <c r="BY36" s="60">
        <f t="shared" si="34"/>
        <v>-480371</v>
      </c>
      <c r="BZ36" s="60">
        <f t="shared" si="35"/>
        <v>0</v>
      </c>
      <c r="CA36" s="56">
        <v>9094804</v>
      </c>
      <c r="CB36" s="11">
        <f t="shared" si="36"/>
        <v>-480371</v>
      </c>
      <c r="CC36" s="11">
        <f t="shared" si="37"/>
        <v>-480371</v>
      </c>
      <c r="CD36" s="11">
        <f t="shared" si="6"/>
        <v>0</v>
      </c>
      <c r="CE36" s="11">
        <f t="shared" si="38"/>
        <v>0</v>
      </c>
      <c r="CF36" s="56">
        <v>9094804</v>
      </c>
      <c r="CG36" s="11">
        <f t="shared" si="39"/>
        <v>-480371</v>
      </c>
      <c r="CH36" s="11">
        <f t="shared" si="40"/>
        <v>-480371</v>
      </c>
      <c r="CI36" s="11">
        <f t="shared" si="41"/>
        <v>0</v>
      </c>
      <c r="CJ36" s="11">
        <f t="shared" si="42"/>
        <v>0</v>
      </c>
      <c r="CK36" s="56">
        <v>9094804</v>
      </c>
      <c r="CL36" s="11">
        <f t="shared" si="7"/>
        <v>-480371</v>
      </c>
      <c r="CM36" s="11">
        <f t="shared" si="43"/>
        <v>-480371</v>
      </c>
      <c r="CN36" s="11">
        <f t="shared" si="44"/>
        <v>0</v>
      </c>
    </row>
    <row r="37" spans="1:92" ht="12.75" x14ac:dyDescent="0.2">
      <c r="A37" s="28" t="s">
        <v>30</v>
      </c>
      <c r="B37" s="29"/>
      <c r="C37" s="58" t="s">
        <v>208</v>
      </c>
      <c r="D37" s="31">
        <v>9100434</v>
      </c>
      <c r="E37" s="32">
        <v>9175041</v>
      </c>
      <c r="F37" s="32">
        <v>7723259</v>
      </c>
      <c r="G37" s="32">
        <v>6900841</v>
      </c>
      <c r="H37" s="33"/>
      <c r="I37" s="32">
        <f t="shared" si="0"/>
        <v>6900841</v>
      </c>
      <c r="J37" s="33">
        <v>-26365</v>
      </c>
      <c r="K37" s="33"/>
      <c r="L37" s="33">
        <f t="shared" si="1"/>
        <v>-26365</v>
      </c>
      <c r="M37" s="34">
        <f t="shared" si="8"/>
        <v>6874476</v>
      </c>
      <c r="N37" s="34">
        <v>6900841</v>
      </c>
      <c r="O37" s="34">
        <v>6740746</v>
      </c>
      <c r="P37" s="34">
        <v>6740746</v>
      </c>
      <c r="Q37" s="34">
        <v>6874476</v>
      </c>
      <c r="R37" s="34">
        <v>6874476</v>
      </c>
      <c r="S37" s="34">
        <v>1.9449999999999999E-2</v>
      </c>
      <c r="T37" s="34">
        <f t="shared" si="45"/>
        <v>-133708.5582</v>
      </c>
      <c r="U37" s="34">
        <f t="shared" si="46"/>
        <v>6740767.4418000001</v>
      </c>
      <c r="V37" s="34">
        <f t="shared" si="2"/>
        <v>-133708.55819999985</v>
      </c>
      <c r="W37" s="35">
        <v>6740746</v>
      </c>
      <c r="X37" s="35"/>
      <c r="Y37" s="35">
        <f t="shared" si="9"/>
        <v>6740746</v>
      </c>
      <c r="Z37" s="36">
        <v>7692193</v>
      </c>
      <c r="AA37" s="36">
        <f t="shared" si="10"/>
        <v>951447</v>
      </c>
      <c r="AB37" s="36">
        <v>6740746</v>
      </c>
      <c r="AC37" s="36">
        <v>7692193</v>
      </c>
      <c r="AD37" s="37">
        <v>6740746</v>
      </c>
      <c r="AE37" s="36">
        <f t="shared" si="52"/>
        <v>951447</v>
      </c>
      <c r="AF37" s="36">
        <f>AC37-W37+X37</f>
        <v>951447</v>
      </c>
      <c r="AG37" s="36"/>
      <c r="AH37" s="37">
        <v>6740746</v>
      </c>
      <c r="AI37" s="37">
        <v>6740746</v>
      </c>
      <c r="AJ37" s="36">
        <f t="shared" si="49"/>
        <v>0</v>
      </c>
      <c r="AK37" s="36">
        <f t="shared" si="11"/>
        <v>-951447</v>
      </c>
      <c r="AL37" s="36">
        <f t="shared" si="12"/>
        <v>-951447</v>
      </c>
      <c r="AM37" s="37">
        <f t="shared" si="13"/>
        <v>0</v>
      </c>
      <c r="AN37" s="37">
        <f t="shared" si="14"/>
        <v>-951447</v>
      </c>
      <c r="AO37" s="37">
        <f t="shared" si="4"/>
        <v>-951447</v>
      </c>
      <c r="AP37" s="36">
        <v>6740746</v>
      </c>
      <c r="AQ37" s="36">
        <f t="shared" si="5"/>
        <v>0</v>
      </c>
      <c r="AR37" s="36">
        <f t="shared" si="15"/>
        <v>-951447</v>
      </c>
      <c r="AS37" s="36">
        <f t="shared" si="16"/>
        <v>0</v>
      </c>
      <c r="AT37" s="36"/>
      <c r="AU37" s="36">
        <f t="shared" si="17"/>
        <v>6740746</v>
      </c>
      <c r="AV37" s="36">
        <v>9323711</v>
      </c>
      <c r="AW37" s="36">
        <f t="shared" si="18"/>
        <v>2582965</v>
      </c>
      <c r="AX37" s="36">
        <v>7650410</v>
      </c>
      <c r="AY37" s="37">
        <f t="shared" si="47"/>
        <v>909664</v>
      </c>
      <c r="AZ37" s="37">
        <f t="shared" si="48"/>
        <v>-1673301</v>
      </c>
      <c r="BA37" s="36">
        <v>7650410</v>
      </c>
      <c r="BB37" s="36">
        <f t="shared" si="19"/>
        <v>909664</v>
      </c>
      <c r="BC37" s="36">
        <f t="shared" si="20"/>
        <v>-1673301</v>
      </c>
      <c r="BD37" s="36">
        <f t="shared" si="21"/>
        <v>0</v>
      </c>
      <c r="BE37" s="36">
        <v>6849037</v>
      </c>
      <c r="BF37" s="36">
        <v>7667618</v>
      </c>
      <c r="BG37" s="36">
        <v>7667618</v>
      </c>
      <c r="BH37" s="36">
        <f t="shared" si="22"/>
        <v>926872</v>
      </c>
      <c r="BI37" s="36">
        <f t="shared" si="23"/>
        <v>-1656093</v>
      </c>
      <c r="BJ37" s="36">
        <f t="shared" si="24"/>
        <v>17208</v>
      </c>
      <c r="BK37" s="11">
        <f t="shared" si="25"/>
        <v>818581</v>
      </c>
      <c r="BL37" s="36">
        <v>50000</v>
      </c>
      <c r="BM37" s="40">
        <f t="shared" si="26"/>
        <v>7617618</v>
      </c>
      <c r="BN37" s="56">
        <v>9755007</v>
      </c>
      <c r="BO37" s="38">
        <f t="shared" si="27"/>
        <v>2137389</v>
      </c>
      <c r="BP37" s="56">
        <v>7677989</v>
      </c>
      <c r="BQ37" s="60">
        <f t="shared" si="28"/>
        <v>60371</v>
      </c>
      <c r="BR37" s="60">
        <f t="shared" si="29"/>
        <v>-2077018</v>
      </c>
      <c r="BS37" s="56">
        <f t="shared" si="51"/>
        <v>7677989</v>
      </c>
      <c r="BT37" s="61">
        <f t="shared" si="30"/>
        <v>60371</v>
      </c>
      <c r="BU37" s="61">
        <f t="shared" si="31"/>
        <v>-2077018</v>
      </c>
      <c r="BV37" s="61">
        <f t="shared" si="32"/>
        <v>0</v>
      </c>
      <c r="BW37" s="56">
        <v>7640268</v>
      </c>
      <c r="BX37" s="60">
        <f t="shared" si="33"/>
        <v>22650</v>
      </c>
      <c r="BY37" s="60">
        <f t="shared" si="34"/>
        <v>-2114739</v>
      </c>
      <c r="BZ37" s="60">
        <f t="shared" si="35"/>
        <v>-37721</v>
      </c>
      <c r="CA37" s="56">
        <f>7640268+250000</f>
        <v>7890268</v>
      </c>
      <c r="CB37" s="11">
        <f t="shared" si="36"/>
        <v>272650</v>
      </c>
      <c r="CC37" s="11">
        <f t="shared" si="37"/>
        <v>-1864739</v>
      </c>
      <c r="CD37" s="11">
        <f t="shared" si="6"/>
        <v>212279</v>
      </c>
      <c r="CE37" s="11">
        <f t="shared" si="38"/>
        <v>250000</v>
      </c>
      <c r="CF37" s="56">
        <v>7890268</v>
      </c>
      <c r="CG37" s="11">
        <f t="shared" si="39"/>
        <v>272650</v>
      </c>
      <c r="CH37" s="11">
        <f t="shared" si="40"/>
        <v>-1864739</v>
      </c>
      <c r="CI37" s="11">
        <f t="shared" si="41"/>
        <v>212279</v>
      </c>
      <c r="CJ37" s="11">
        <f t="shared" si="42"/>
        <v>0</v>
      </c>
      <c r="CK37" s="56">
        <v>7890268</v>
      </c>
      <c r="CL37" s="11">
        <f t="shared" si="7"/>
        <v>272650</v>
      </c>
      <c r="CM37" s="11">
        <f t="shared" si="43"/>
        <v>-1864739</v>
      </c>
      <c r="CN37" s="11">
        <f t="shared" si="44"/>
        <v>0</v>
      </c>
    </row>
    <row r="38" spans="1:92" ht="12.75" x14ac:dyDescent="0.2">
      <c r="A38" s="28" t="s">
        <v>32</v>
      </c>
      <c r="B38" s="29"/>
      <c r="C38" s="30" t="s">
        <v>39</v>
      </c>
      <c r="D38" s="31">
        <v>13000000</v>
      </c>
      <c r="E38" s="32">
        <v>17500000</v>
      </c>
      <c r="F38" s="32">
        <v>17413294</v>
      </c>
      <c r="G38" s="32">
        <v>15672375</v>
      </c>
      <c r="H38" s="33"/>
      <c r="I38" s="32">
        <f t="shared" si="0"/>
        <v>15672375</v>
      </c>
      <c r="J38" s="33"/>
      <c r="K38" s="33"/>
      <c r="L38" s="33">
        <f t="shared" si="1"/>
        <v>0</v>
      </c>
      <c r="M38" s="34">
        <f t="shared" si="8"/>
        <v>15672375</v>
      </c>
      <c r="N38" s="34">
        <v>15672375</v>
      </c>
      <c r="O38" s="34">
        <v>14918030</v>
      </c>
      <c r="P38" s="34">
        <v>14918030</v>
      </c>
      <c r="Q38" s="34">
        <v>15672374</v>
      </c>
      <c r="R38" s="34">
        <v>15485202</v>
      </c>
      <c r="S38" s="34">
        <v>0.1012</v>
      </c>
      <c r="T38" s="34">
        <f t="shared" si="45"/>
        <v>-1567102.4424000001</v>
      </c>
      <c r="U38" s="34">
        <f t="shared" si="46"/>
        <v>13918099.557599999</v>
      </c>
      <c r="V38" s="34">
        <f t="shared" si="2"/>
        <v>-1754275.442400001</v>
      </c>
      <c r="W38" s="35">
        <v>13918030</v>
      </c>
      <c r="X38" s="35"/>
      <c r="Y38" s="35">
        <f t="shared" si="9"/>
        <v>13918030</v>
      </c>
      <c r="Z38" s="36">
        <v>13918030</v>
      </c>
      <c r="AA38" s="36">
        <f t="shared" si="10"/>
        <v>0</v>
      </c>
      <c r="AB38" s="36">
        <v>13918030</v>
      </c>
      <c r="AC38" s="36">
        <v>13918030</v>
      </c>
      <c r="AD38" s="37">
        <v>13139669</v>
      </c>
      <c r="AE38" s="36"/>
      <c r="AF38" s="36"/>
      <c r="AG38" s="36"/>
      <c r="AH38" s="37">
        <v>13139669</v>
      </c>
      <c r="AI38" s="37">
        <v>13918030</v>
      </c>
      <c r="AJ38" s="36">
        <f t="shared" si="49"/>
        <v>-778361</v>
      </c>
      <c r="AK38" s="36">
        <f t="shared" si="11"/>
        <v>-778361</v>
      </c>
      <c r="AL38" s="36">
        <f t="shared" si="12"/>
        <v>-778361</v>
      </c>
      <c r="AM38" s="37">
        <f t="shared" si="13"/>
        <v>-778361</v>
      </c>
      <c r="AN38" s="37">
        <f t="shared" si="14"/>
        <v>-778361</v>
      </c>
      <c r="AO38" s="37">
        <f t="shared" si="4"/>
        <v>-778361</v>
      </c>
      <c r="AP38" s="36">
        <v>13918030</v>
      </c>
      <c r="AQ38" s="36">
        <f t="shared" si="5"/>
        <v>0</v>
      </c>
      <c r="AR38" s="36">
        <f t="shared" si="15"/>
        <v>0</v>
      </c>
      <c r="AS38" s="36">
        <f t="shared" si="16"/>
        <v>0</v>
      </c>
      <c r="AT38" s="36"/>
      <c r="AU38" s="36">
        <f t="shared" si="17"/>
        <v>13918030</v>
      </c>
      <c r="AV38" s="36">
        <v>14918030</v>
      </c>
      <c r="AW38" s="36">
        <f t="shared" si="18"/>
        <v>1000000</v>
      </c>
      <c r="AX38" s="36">
        <v>13918030</v>
      </c>
      <c r="AY38" s="37">
        <f t="shared" si="47"/>
        <v>0</v>
      </c>
      <c r="AZ38" s="37">
        <f t="shared" si="48"/>
        <v>-1000000</v>
      </c>
      <c r="BA38" s="36">
        <v>14168030</v>
      </c>
      <c r="BB38" s="36">
        <f t="shared" si="19"/>
        <v>250000</v>
      </c>
      <c r="BC38" s="36">
        <f t="shared" si="20"/>
        <v>-750000</v>
      </c>
      <c r="BD38" s="36">
        <f t="shared" si="21"/>
        <v>250000</v>
      </c>
      <c r="BE38" s="36">
        <v>14042764</v>
      </c>
      <c r="BF38" s="36">
        <v>14168030</v>
      </c>
      <c r="BG38" s="36">
        <v>14168030</v>
      </c>
      <c r="BH38" s="36">
        <f t="shared" si="22"/>
        <v>250000</v>
      </c>
      <c r="BI38" s="36">
        <f t="shared" si="23"/>
        <v>-750000</v>
      </c>
      <c r="BJ38" s="36">
        <f t="shared" si="24"/>
        <v>0</v>
      </c>
      <c r="BK38" s="11">
        <f t="shared" si="25"/>
        <v>125266</v>
      </c>
      <c r="BL38" s="36"/>
      <c r="BM38" s="40">
        <f t="shared" si="26"/>
        <v>14168030</v>
      </c>
      <c r="BN38" s="56">
        <v>19040030</v>
      </c>
      <c r="BO38" s="38">
        <f t="shared" si="27"/>
        <v>4872000</v>
      </c>
      <c r="BP38" s="56">
        <v>13918030</v>
      </c>
      <c r="BQ38" s="60">
        <f t="shared" si="28"/>
        <v>-250000</v>
      </c>
      <c r="BR38" s="60">
        <f t="shared" si="29"/>
        <v>-5122000</v>
      </c>
      <c r="BS38" s="56">
        <v>14168030</v>
      </c>
      <c r="BT38" s="61">
        <f t="shared" si="30"/>
        <v>0</v>
      </c>
      <c r="BU38" s="61">
        <f t="shared" si="31"/>
        <v>-4872000</v>
      </c>
      <c r="BV38" s="61">
        <f t="shared" si="32"/>
        <v>250000</v>
      </c>
      <c r="BW38" s="56">
        <v>13768030</v>
      </c>
      <c r="BX38" s="60">
        <f t="shared" si="33"/>
        <v>-400000</v>
      </c>
      <c r="BY38" s="60">
        <f t="shared" si="34"/>
        <v>-5272000</v>
      </c>
      <c r="BZ38" s="60">
        <f t="shared" si="35"/>
        <v>-400000</v>
      </c>
      <c r="CA38" s="56">
        <v>13768030</v>
      </c>
      <c r="CB38" s="11">
        <f t="shared" si="36"/>
        <v>-400000</v>
      </c>
      <c r="CC38" s="11">
        <f t="shared" si="37"/>
        <v>-5272000</v>
      </c>
      <c r="CD38" s="11">
        <f t="shared" si="6"/>
        <v>-400000</v>
      </c>
      <c r="CE38" s="11">
        <f t="shared" si="38"/>
        <v>0</v>
      </c>
      <c r="CF38" s="56">
        <v>14168030</v>
      </c>
      <c r="CG38" s="11">
        <f t="shared" si="39"/>
        <v>0</v>
      </c>
      <c r="CH38" s="11">
        <f t="shared" si="40"/>
        <v>-4872000</v>
      </c>
      <c r="CI38" s="11">
        <f t="shared" si="41"/>
        <v>0</v>
      </c>
      <c r="CJ38" s="11">
        <f t="shared" si="42"/>
        <v>400000</v>
      </c>
      <c r="CK38" s="56">
        <v>14168030</v>
      </c>
      <c r="CL38" s="11">
        <f t="shared" si="7"/>
        <v>0</v>
      </c>
      <c r="CM38" s="11">
        <f t="shared" si="43"/>
        <v>-4872000</v>
      </c>
      <c r="CN38" s="11">
        <f t="shared" si="44"/>
        <v>0</v>
      </c>
    </row>
    <row r="39" spans="1:92" ht="12.75" x14ac:dyDescent="0.2">
      <c r="A39" s="28" t="s">
        <v>38</v>
      </c>
      <c r="B39" s="29"/>
      <c r="C39" s="58" t="s">
        <v>198</v>
      </c>
      <c r="D39" s="31">
        <v>1575000</v>
      </c>
      <c r="E39" s="32">
        <v>1575000</v>
      </c>
      <c r="F39" s="32">
        <v>1306000</v>
      </c>
      <c r="G39" s="32">
        <v>721000</v>
      </c>
      <c r="H39" s="33"/>
      <c r="I39" s="32">
        <f t="shared" si="0"/>
        <v>721000</v>
      </c>
      <c r="J39" s="33"/>
      <c r="K39" s="33"/>
      <c r="L39" s="33">
        <f t="shared" si="1"/>
        <v>0</v>
      </c>
      <c r="M39" s="34">
        <f t="shared" si="8"/>
        <v>721000</v>
      </c>
      <c r="N39" s="34">
        <v>721000</v>
      </c>
      <c r="O39" s="34">
        <v>721000</v>
      </c>
      <c r="P39" s="34">
        <v>721000</v>
      </c>
      <c r="Q39" s="34">
        <v>500000</v>
      </c>
      <c r="R39" s="34">
        <v>721000</v>
      </c>
      <c r="S39" s="34">
        <v>0.44520999999999999</v>
      </c>
      <c r="T39" s="34">
        <f t="shared" si="45"/>
        <v>-320996.40999999997</v>
      </c>
      <c r="U39" s="34">
        <f t="shared" si="46"/>
        <v>400003.59</v>
      </c>
      <c r="V39" s="34">
        <f t="shared" si="2"/>
        <v>-320996.40999999997</v>
      </c>
      <c r="W39" s="35">
        <v>400000</v>
      </c>
      <c r="X39" s="35"/>
      <c r="Y39" s="35">
        <f t="shared" si="9"/>
        <v>400000</v>
      </c>
      <c r="Z39" s="36">
        <v>400000</v>
      </c>
      <c r="AA39" s="36">
        <f t="shared" si="10"/>
        <v>0</v>
      </c>
      <c r="AB39" s="36">
        <v>400000</v>
      </c>
      <c r="AC39" s="36">
        <v>400000</v>
      </c>
      <c r="AD39" s="37">
        <v>400000</v>
      </c>
      <c r="AE39" s="36"/>
      <c r="AF39" s="36"/>
      <c r="AG39" s="36"/>
      <c r="AH39" s="37">
        <v>400000</v>
      </c>
      <c r="AI39" s="37">
        <v>400000</v>
      </c>
      <c r="AJ39" s="36">
        <f t="shared" si="49"/>
        <v>0</v>
      </c>
      <c r="AK39" s="36">
        <f t="shared" si="11"/>
        <v>0</v>
      </c>
      <c r="AL39" s="36">
        <f t="shared" si="12"/>
        <v>0</v>
      </c>
      <c r="AM39" s="37">
        <f t="shared" si="13"/>
        <v>0</v>
      </c>
      <c r="AN39" s="37">
        <f t="shared" si="14"/>
        <v>0</v>
      </c>
      <c r="AO39" s="37">
        <f t="shared" si="4"/>
        <v>0</v>
      </c>
      <c r="AP39" s="36">
        <v>400000</v>
      </c>
      <c r="AQ39" s="36">
        <f t="shared" si="5"/>
        <v>0</v>
      </c>
      <c r="AR39" s="36">
        <f t="shared" si="15"/>
        <v>0</v>
      </c>
      <c r="AS39" s="36">
        <f t="shared" si="16"/>
        <v>0</v>
      </c>
      <c r="AT39" s="36"/>
      <c r="AU39" s="36">
        <f t="shared" si="17"/>
        <v>400000</v>
      </c>
      <c r="AV39" s="36">
        <v>400000</v>
      </c>
      <c r="AW39" s="36">
        <f t="shared" si="18"/>
        <v>0</v>
      </c>
      <c r="AX39" s="36">
        <v>400000</v>
      </c>
      <c r="AY39" s="37">
        <f t="shared" si="47"/>
        <v>0</v>
      </c>
      <c r="AZ39" s="37">
        <f t="shared" si="48"/>
        <v>0</v>
      </c>
      <c r="BA39" s="36">
        <v>400000</v>
      </c>
      <c r="BB39" s="36">
        <f t="shared" si="19"/>
        <v>0</v>
      </c>
      <c r="BC39" s="36">
        <f t="shared" si="20"/>
        <v>0</v>
      </c>
      <c r="BD39" s="36">
        <f t="shared" si="21"/>
        <v>0</v>
      </c>
      <c r="BE39" s="36">
        <f>400000+200000</f>
        <v>600000</v>
      </c>
      <c r="BF39" s="36">
        <v>475000</v>
      </c>
      <c r="BG39" s="36">
        <v>475000</v>
      </c>
      <c r="BH39" s="36">
        <f t="shared" si="22"/>
        <v>75000</v>
      </c>
      <c r="BI39" s="36">
        <f t="shared" si="23"/>
        <v>75000</v>
      </c>
      <c r="BJ39" s="36">
        <f t="shared" si="24"/>
        <v>75000</v>
      </c>
      <c r="BK39" s="11">
        <f t="shared" si="25"/>
        <v>-125000</v>
      </c>
      <c r="BL39" s="36"/>
      <c r="BM39" s="40">
        <f t="shared" si="26"/>
        <v>475000</v>
      </c>
      <c r="BN39" s="56">
        <v>475000</v>
      </c>
      <c r="BO39" s="38">
        <f t="shared" si="27"/>
        <v>0</v>
      </c>
      <c r="BP39" s="56">
        <v>0</v>
      </c>
      <c r="BQ39" s="60">
        <f t="shared" si="28"/>
        <v>-475000</v>
      </c>
      <c r="BR39" s="60">
        <f t="shared" si="29"/>
        <v>-475000</v>
      </c>
      <c r="BS39" s="56">
        <v>0</v>
      </c>
      <c r="BT39" s="61">
        <f t="shared" si="30"/>
        <v>-475000</v>
      </c>
      <c r="BU39" s="61">
        <f t="shared" si="31"/>
        <v>-475000</v>
      </c>
      <c r="BV39" s="61">
        <f t="shared" si="32"/>
        <v>0</v>
      </c>
      <c r="BW39" s="56">
        <v>0</v>
      </c>
      <c r="BX39" s="60">
        <f t="shared" si="33"/>
        <v>-475000</v>
      </c>
      <c r="BY39" s="60">
        <f t="shared" si="34"/>
        <v>-475000</v>
      </c>
      <c r="BZ39" s="60">
        <f t="shared" si="35"/>
        <v>0</v>
      </c>
      <c r="CA39" s="56">
        <v>0</v>
      </c>
      <c r="CB39" s="11">
        <f t="shared" si="36"/>
        <v>-475000</v>
      </c>
      <c r="CC39" s="11">
        <f t="shared" si="37"/>
        <v>-475000</v>
      </c>
      <c r="CD39" s="11">
        <f t="shared" si="6"/>
        <v>0</v>
      </c>
      <c r="CE39" s="11">
        <f t="shared" si="38"/>
        <v>0</v>
      </c>
      <c r="CF39" s="56">
        <v>0</v>
      </c>
      <c r="CG39" s="11">
        <f t="shared" si="39"/>
        <v>-475000</v>
      </c>
      <c r="CH39" s="11">
        <f t="shared" si="40"/>
        <v>-475000</v>
      </c>
      <c r="CI39" s="11">
        <f t="shared" si="41"/>
        <v>0</v>
      </c>
      <c r="CJ39" s="11">
        <f t="shared" si="42"/>
        <v>0</v>
      </c>
      <c r="CK39" s="56">
        <v>0</v>
      </c>
      <c r="CL39" s="11">
        <f t="shared" si="7"/>
        <v>-475000</v>
      </c>
      <c r="CM39" s="11">
        <f t="shared" si="43"/>
        <v>-475000</v>
      </c>
      <c r="CN39" s="11">
        <f t="shared" si="44"/>
        <v>0</v>
      </c>
    </row>
    <row r="40" spans="1:92" ht="12.75" x14ac:dyDescent="0.2">
      <c r="A40" s="28" t="s">
        <v>99</v>
      </c>
      <c r="B40" s="29"/>
      <c r="C40" s="30" t="s">
        <v>165</v>
      </c>
      <c r="D40" s="31"/>
      <c r="E40" s="32"/>
      <c r="F40" s="32"/>
      <c r="G40" s="32"/>
      <c r="H40" s="33"/>
      <c r="I40" s="32"/>
      <c r="J40" s="33"/>
      <c r="K40" s="33"/>
      <c r="L40" s="33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5"/>
      <c r="Y40" s="35">
        <f t="shared" si="9"/>
        <v>0</v>
      </c>
      <c r="Z40" s="36">
        <v>1367409</v>
      </c>
      <c r="AA40" s="36">
        <f t="shared" si="10"/>
        <v>1367409</v>
      </c>
      <c r="AB40" s="36">
        <v>1265038</v>
      </c>
      <c r="AC40" s="36">
        <v>1367409</v>
      </c>
      <c r="AD40" s="37">
        <v>1367409</v>
      </c>
      <c r="AE40" s="36">
        <f t="shared" si="52"/>
        <v>102371</v>
      </c>
      <c r="AF40" s="36">
        <f>AC40-W40+X40</f>
        <v>1367409</v>
      </c>
      <c r="AG40" s="36"/>
      <c r="AH40" s="37">
        <v>1367409</v>
      </c>
      <c r="AI40" s="37">
        <v>1367409</v>
      </c>
      <c r="AJ40" s="36">
        <f t="shared" si="49"/>
        <v>1367409</v>
      </c>
      <c r="AK40" s="36">
        <f t="shared" si="11"/>
        <v>0</v>
      </c>
      <c r="AL40" s="36">
        <f t="shared" si="12"/>
        <v>0</v>
      </c>
      <c r="AM40" s="37">
        <f t="shared" si="13"/>
        <v>1367409</v>
      </c>
      <c r="AN40" s="37">
        <f t="shared" si="14"/>
        <v>0</v>
      </c>
      <c r="AO40" s="37">
        <f t="shared" si="4"/>
        <v>0</v>
      </c>
      <c r="AP40" s="36">
        <v>1367409</v>
      </c>
      <c r="AQ40" s="36">
        <f t="shared" si="5"/>
        <v>1367409</v>
      </c>
      <c r="AR40" s="36">
        <f t="shared" si="15"/>
        <v>0</v>
      </c>
      <c r="AS40" s="36">
        <f t="shared" si="16"/>
        <v>1367409</v>
      </c>
      <c r="AT40" s="36"/>
      <c r="AU40" s="36">
        <f t="shared" si="17"/>
        <v>1367409</v>
      </c>
      <c r="AV40" s="36">
        <v>1405317</v>
      </c>
      <c r="AW40" s="36">
        <f t="shared" si="18"/>
        <v>37908</v>
      </c>
      <c r="AX40" s="36">
        <v>1405317</v>
      </c>
      <c r="AY40" s="37">
        <f t="shared" si="47"/>
        <v>37908</v>
      </c>
      <c r="AZ40" s="37">
        <f t="shared" si="48"/>
        <v>0</v>
      </c>
      <c r="BA40" s="36">
        <v>1405317</v>
      </c>
      <c r="BB40" s="36">
        <f t="shared" si="19"/>
        <v>37908</v>
      </c>
      <c r="BC40" s="36">
        <f t="shared" si="20"/>
        <v>0</v>
      </c>
      <c r="BD40" s="36">
        <f t="shared" si="21"/>
        <v>0</v>
      </c>
      <c r="BE40" s="36">
        <v>1405317</v>
      </c>
      <c r="BF40" s="36">
        <v>1405317</v>
      </c>
      <c r="BG40" s="36">
        <v>1405317</v>
      </c>
      <c r="BH40" s="36">
        <f t="shared" si="22"/>
        <v>37908</v>
      </c>
      <c r="BI40" s="36">
        <f t="shared" si="23"/>
        <v>0</v>
      </c>
      <c r="BJ40" s="36">
        <f t="shared" si="24"/>
        <v>0</v>
      </c>
      <c r="BK40" s="11">
        <f t="shared" si="25"/>
        <v>0</v>
      </c>
      <c r="BL40" s="36"/>
      <c r="BM40" s="40">
        <f t="shared" si="26"/>
        <v>1405317</v>
      </c>
      <c r="BN40" s="56">
        <v>1842712</v>
      </c>
      <c r="BO40" s="38">
        <f t="shared" si="27"/>
        <v>437395</v>
      </c>
      <c r="BP40" s="56">
        <v>1405317</v>
      </c>
      <c r="BQ40" s="60">
        <f t="shared" si="28"/>
        <v>0</v>
      </c>
      <c r="BR40" s="60">
        <f t="shared" si="29"/>
        <v>-437395</v>
      </c>
      <c r="BS40" s="56">
        <f>BP40</f>
        <v>1405317</v>
      </c>
      <c r="BT40" s="61">
        <f t="shared" si="30"/>
        <v>0</v>
      </c>
      <c r="BU40" s="61">
        <f t="shared" si="31"/>
        <v>-437395</v>
      </c>
      <c r="BV40" s="61">
        <f t="shared" si="32"/>
        <v>0</v>
      </c>
      <c r="BW40" s="56">
        <v>1842412</v>
      </c>
      <c r="BX40" s="60">
        <f t="shared" si="33"/>
        <v>437095</v>
      </c>
      <c r="BY40" s="60">
        <f t="shared" si="34"/>
        <v>-300</v>
      </c>
      <c r="BZ40" s="60">
        <f t="shared" si="35"/>
        <v>437095</v>
      </c>
      <c r="CA40" s="56">
        <v>1842412</v>
      </c>
      <c r="CB40" s="11">
        <f t="shared" si="36"/>
        <v>437095</v>
      </c>
      <c r="CC40" s="11">
        <f t="shared" si="37"/>
        <v>-300</v>
      </c>
      <c r="CD40" s="11">
        <f t="shared" si="6"/>
        <v>437095</v>
      </c>
      <c r="CE40" s="11">
        <f t="shared" si="38"/>
        <v>0</v>
      </c>
      <c r="CF40" s="56">
        <v>1842412</v>
      </c>
      <c r="CG40" s="11">
        <f t="shared" si="39"/>
        <v>437095</v>
      </c>
      <c r="CH40" s="11">
        <f t="shared" si="40"/>
        <v>-300</v>
      </c>
      <c r="CI40" s="11">
        <f t="shared" si="41"/>
        <v>437095</v>
      </c>
      <c r="CJ40" s="11">
        <f t="shared" si="42"/>
        <v>0</v>
      </c>
      <c r="CK40" s="56">
        <v>1842412</v>
      </c>
      <c r="CL40" s="11">
        <f t="shared" si="7"/>
        <v>437095</v>
      </c>
      <c r="CM40" s="11">
        <f t="shared" si="43"/>
        <v>-300</v>
      </c>
      <c r="CN40" s="11">
        <f t="shared" si="44"/>
        <v>0</v>
      </c>
    </row>
    <row r="41" spans="1:92" ht="12.75" hidden="1" customHeight="1" x14ac:dyDescent="0.2">
      <c r="A41" s="28" t="s">
        <v>23</v>
      </c>
      <c r="B41" s="29"/>
      <c r="C41" s="30" t="s">
        <v>147</v>
      </c>
      <c r="D41" s="31">
        <v>1820065</v>
      </c>
      <c r="E41" s="32">
        <v>2032758</v>
      </c>
      <c r="F41" s="32">
        <v>1860686</v>
      </c>
      <c r="G41" s="32">
        <f>1546270+50000</f>
        <v>1596270</v>
      </c>
      <c r="H41" s="33">
        <v>-50000</v>
      </c>
      <c r="I41" s="32">
        <f t="shared" si="0"/>
        <v>1546270</v>
      </c>
      <c r="J41" s="33">
        <v>-26927</v>
      </c>
      <c r="K41" s="33"/>
      <c r="L41" s="33">
        <f t="shared" si="1"/>
        <v>-26927</v>
      </c>
      <c r="M41" s="34">
        <f t="shared" si="8"/>
        <v>1519343</v>
      </c>
      <c r="N41" s="34">
        <v>1519343</v>
      </c>
      <c r="O41" s="34">
        <v>1488306</v>
      </c>
      <c r="P41" s="34">
        <v>1488306</v>
      </c>
      <c r="Q41" s="34">
        <v>1367409</v>
      </c>
      <c r="R41" s="34">
        <v>1488306</v>
      </c>
      <c r="S41" s="34">
        <v>8.1229999999999997E-2</v>
      </c>
      <c r="T41" s="34">
        <f t="shared" si="45"/>
        <v>-120895.09637999999</v>
      </c>
      <c r="U41" s="34">
        <f t="shared" si="46"/>
        <v>1367410.90362</v>
      </c>
      <c r="V41" s="34">
        <f t="shared" ref="V41:V48" si="53">U41-M41</f>
        <v>-151932.09638</v>
      </c>
      <c r="W41" s="35">
        <v>1367409</v>
      </c>
      <c r="X41" s="35"/>
      <c r="Y41" s="35">
        <f t="shared" si="9"/>
        <v>1367409</v>
      </c>
      <c r="Z41" s="36">
        <v>0</v>
      </c>
      <c r="AA41" s="36">
        <f t="shared" si="10"/>
        <v>-1367409</v>
      </c>
      <c r="AB41" s="36"/>
      <c r="AC41" s="36"/>
      <c r="AD41" s="37"/>
      <c r="AE41" s="36"/>
      <c r="AF41" s="36">
        <f>AC41-W41+X41</f>
        <v>-1367409</v>
      </c>
      <c r="AG41" s="36"/>
      <c r="AH41" s="37"/>
      <c r="AI41" s="37"/>
      <c r="AJ41" s="36">
        <f t="shared" si="49"/>
        <v>-1367409</v>
      </c>
      <c r="AK41" s="36">
        <f t="shared" si="11"/>
        <v>0</v>
      </c>
      <c r="AL41" s="36">
        <f t="shared" si="12"/>
        <v>0</v>
      </c>
      <c r="AM41" s="37">
        <f t="shared" si="13"/>
        <v>-1367409</v>
      </c>
      <c r="AN41" s="37">
        <f t="shared" si="14"/>
        <v>0</v>
      </c>
      <c r="AO41" s="37">
        <f t="shared" si="4"/>
        <v>0</v>
      </c>
      <c r="AP41" s="36"/>
      <c r="AQ41" s="36">
        <f t="shared" si="5"/>
        <v>-1367409</v>
      </c>
      <c r="AR41" s="36">
        <f t="shared" si="15"/>
        <v>0</v>
      </c>
      <c r="AS41" s="36">
        <f t="shared" si="16"/>
        <v>-1367409</v>
      </c>
      <c r="AT41" s="36"/>
      <c r="AU41" s="36">
        <f t="shared" si="17"/>
        <v>0</v>
      </c>
      <c r="AV41" s="36">
        <v>0</v>
      </c>
      <c r="AW41" s="36">
        <f t="shared" si="18"/>
        <v>0</v>
      </c>
      <c r="AX41" s="36">
        <v>0</v>
      </c>
      <c r="AY41" s="37">
        <f t="shared" si="47"/>
        <v>0</v>
      </c>
      <c r="AZ41" s="37">
        <f t="shared" si="48"/>
        <v>0</v>
      </c>
      <c r="BA41" s="36">
        <v>0</v>
      </c>
      <c r="BB41" s="36">
        <f t="shared" si="19"/>
        <v>0</v>
      </c>
      <c r="BC41" s="36">
        <f t="shared" si="20"/>
        <v>0</v>
      </c>
      <c r="BD41" s="36">
        <f t="shared" si="21"/>
        <v>0</v>
      </c>
      <c r="BE41" s="36"/>
      <c r="BF41" s="36"/>
      <c r="BG41" s="36"/>
      <c r="BH41" s="36">
        <f t="shared" si="22"/>
        <v>0</v>
      </c>
      <c r="BI41" s="36">
        <f t="shared" si="23"/>
        <v>0</v>
      </c>
      <c r="BJ41" s="36">
        <f t="shared" si="24"/>
        <v>0</v>
      </c>
      <c r="BK41" s="11">
        <f t="shared" si="25"/>
        <v>0</v>
      </c>
      <c r="BL41" s="36"/>
      <c r="BM41" s="36">
        <f t="shared" si="26"/>
        <v>0</v>
      </c>
      <c r="BN41" s="54"/>
      <c r="BO41" s="37">
        <f t="shared" si="27"/>
        <v>0</v>
      </c>
      <c r="BP41" s="54">
        <v>0</v>
      </c>
      <c r="BQ41" s="11">
        <f t="shared" si="28"/>
        <v>0</v>
      </c>
      <c r="BR41" s="11">
        <f t="shared" si="29"/>
        <v>0</v>
      </c>
      <c r="BS41" s="54"/>
      <c r="BT41" s="59">
        <f t="shared" si="30"/>
        <v>0</v>
      </c>
      <c r="BU41" s="59">
        <f t="shared" si="31"/>
        <v>0</v>
      </c>
      <c r="BV41" s="59">
        <f t="shared" si="32"/>
        <v>0</v>
      </c>
      <c r="BW41" s="56"/>
      <c r="BX41" s="11">
        <f t="shared" si="33"/>
        <v>0</v>
      </c>
      <c r="BY41" s="11">
        <f t="shared" si="34"/>
        <v>0</v>
      </c>
      <c r="BZ41" s="11">
        <f t="shared" si="35"/>
        <v>0</v>
      </c>
      <c r="CA41" s="56"/>
      <c r="CB41" s="11">
        <f t="shared" si="36"/>
        <v>0</v>
      </c>
      <c r="CC41" s="11">
        <f t="shared" si="37"/>
        <v>0</v>
      </c>
      <c r="CD41" s="11">
        <f t="shared" si="6"/>
        <v>0</v>
      </c>
      <c r="CE41" s="11">
        <f t="shared" si="38"/>
        <v>0</v>
      </c>
      <c r="CF41" s="56"/>
      <c r="CG41" s="11">
        <f t="shared" si="39"/>
        <v>0</v>
      </c>
      <c r="CH41" s="11">
        <f t="shared" si="40"/>
        <v>0</v>
      </c>
      <c r="CI41" s="11">
        <f t="shared" si="41"/>
        <v>0</v>
      </c>
      <c r="CJ41" s="11">
        <f t="shared" si="42"/>
        <v>0</v>
      </c>
      <c r="CK41" s="56"/>
      <c r="CL41" s="11">
        <f t="shared" si="7"/>
        <v>0</v>
      </c>
      <c r="CM41" s="11">
        <f t="shared" si="43"/>
        <v>0</v>
      </c>
      <c r="CN41" s="11">
        <f t="shared" si="44"/>
        <v>0</v>
      </c>
    </row>
    <row r="42" spans="1:92" ht="12.75" x14ac:dyDescent="0.2">
      <c r="A42" s="28" t="s">
        <v>36</v>
      </c>
      <c r="B42" s="29"/>
      <c r="C42" s="30" t="s">
        <v>37</v>
      </c>
      <c r="D42" s="31">
        <v>2000000</v>
      </c>
      <c r="E42" s="32">
        <v>5550000</v>
      </c>
      <c r="F42" s="32">
        <v>5302539</v>
      </c>
      <c r="G42" s="32">
        <v>2000000</v>
      </c>
      <c r="H42" s="33"/>
      <c r="I42" s="32">
        <f t="shared" si="0"/>
        <v>2000000</v>
      </c>
      <c r="J42" s="33"/>
      <c r="K42" s="33"/>
      <c r="L42" s="33">
        <f t="shared" si="1"/>
        <v>0</v>
      </c>
      <c r="M42" s="34">
        <f t="shared" si="8"/>
        <v>2000000</v>
      </c>
      <c r="N42" s="34">
        <v>2000000</v>
      </c>
      <c r="O42" s="34">
        <v>2000000</v>
      </c>
      <c r="P42" s="34">
        <v>2000000</v>
      </c>
      <c r="Q42" s="34">
        <v>1500000</v>
      </c>
      <c r="R42" s="34">
        <v>2000000</v>
      </c>
      <c r="S42" s="34">
        <v>0.25</v>
      </c>
      <c r="T42" s="34">
        <f t="shared" si="45"/>
        <v>-500000</v>
      </c>
      <c r="U42" s="34">
        <f t="shared" si="46"/>
        <v>1500000</v>
      </c>
      <c r="V42" s="34">
        <f t="shared" si="53"/>
        <v>-500000</v>
      </c>
      <c r="W42" s="35">
        <v>1500000</v>
      </c>
      <c r="X42" s="35"/>
      <c r="Y42" s="35">
        <f t="shared" si="9"/>
        <v>1500000</v>
      </c>
      <c r="Z42" s="36">
        <v>1500000</v>
      </c>
      <c r="AA42" s="36">
        <f t="shared" si="10"/>
        <v>0</v>
      </c>
      <c r="AB42" s="36">
        <v>1500000</v>
      </c>
      <c r="AC42" s="36">
        <v>1500000</v>
      </c>
      <c r="AD42" s="37">
        <v>1410000</v>
      </c>
      <c r="AE42" s="36"/>
      <c r="AF42" s="36"/>
      <c r="AG42" s="36"/>
      <c r="AH42" s="37">
        <v>1410000</v>
      </c>
      <c r="AI42" s="37">
        <v>1410000</v>
      </c>
      <c r="AJ42" s="36">
        <f t="shared" si="49"/>
        <v>-90000</v>
      </c>
      <c r="AK42" s="36">
        <f t="shared" si="11"/>
        <v>-90000</v>
      </c>
      <c r="AL42" s="36">
        <f t="shared" si="12"/>
        <v>-90000</v>
      </c>
      <c r="AM42" s="37">
        <f t="shared" si="13"/>
        <v>-90000</v>
      </c>
      <c r="AN42" s="37">
        <f t="shared" si="14"/>
        <v>-90000</v>
      </c>
      <c r="AO42" s="37">
        <f t="shared" si="4"/>
        <v>-90000</v>
      </c>
      <c r="AP42" s="36">
        <v>1410000</v>
      </c>
      <c r="AQ42" s="36">
        <f t="shared" si="5"/>
        <v>-90000</v>
      </c>
      <c r="AR42" s="36">
        <f t="shared" si="15"/>
        <v>-90000</v>
      </c>
      <c r="AS42" s="36">
        <f t="shared" si="16"/>
        <v>-90000</v>
      </c>
      <c r="AT42" s="36"/>
      <c r="AU42" s="36">
        <f t="shared" si="17"/>
        <v>1410000</v>
      </c>
      <c r="AV42" s="36">
        <v>1410000</v>
      </c>
      <c r="AW42" s="36">
        <f t="shared" si="18"/>
        <v>0</v>
      </c>
      <c r="AX42" s="36">
        <v>1410000</v>
      </c>
      <c r="AY42" s="37">
        <f t="shared" si="47"/>
        <v>0</v>
      </c>
      <c r="AZ42" s="37">
        <f t="shared" si="48"/>
        <v>0</v>
      </c>
      <c r="BA42" s="36">
        <v>1410000</v>
      </c>
      <c r="BB42" s="36">
        <f t="shared" si="19"/>
        <v>0</v>
      </c>
      <c r="BC42" s="36">
        <f t="shared" si="20"/>
        <v>0</v>
      </c>
      <c r="BD42" s="36">
        <f t="shared" si="21"/>
        <v>0</v>
      </c>
      <c r="BE42" s="36">
        <v>1410000</v>
      </c>
      <c r="BF42" s="36">
        <v>1410000</v>
      </c>
      <c r="BG42" s="36">
        <v>1410000</v>
      </c>
      <c r="BH42" s="36">
        <f t="shared" si="22"/>
        <v>0</v>
      </c>
      <c r="BI42" s="36">
        <f t="shared" si="23"/>
        <v>0</v>
      </c>
      <c r="BJ42" s="36">
        <f t="shared" si="24"/>
        <v>0</v>
      </c>
      <c r="BK42" s="11">
        <f t="shared" si="25"/>
        <v>0</v>
      </c>
      <c r="BL42" s="36"/>
      <c r="BM42" s="36">
        <f t="shared" si="26"/>
        <v>1410000</v>
      </c>
      <c r="BN42" s="54">
        <v>1410000</v>
      </c>
      <c r="BO42" s="37">
        <f t="shared" si="27"/>
        <v>0</v>
      </c>
      <c r="BP42" s="54">
        <v>1410000</v>
      </c>
      <c r="BQ42" s="11">
        <f t="shared" si="28"/>
        <v>0</v>
      </c>
      <c r="BR42" s="11">
        <f t="shared" si="29"/>
        <v>0</v>
      </c>
      <c r="BS42" s="54">
        <v>1610000</v>
      </c>
      <c r="BT42" s="59">
        <f t="shared" si="30"/>
        <v>200000</v>
      </c>
      <c r="BU42" s="59">
        <f t="shared" si="31"/>
        <v>200000</v>
      </c>
      <c r="BV42" s="59">
        <f t="shared" si="32"/>
        <v>200000</v>
      </c>
      <c r="BW42" s="56">
        <v>1410000</v>
      </c>
      <c r="BX42" s="11">
        <f t="shared" si="33"/>
        <v>0</v>
      </c>
      <c r="BY42" s="11">
        <f t="shared" si="34"/>
        <v>0</v>
      </c>
      <c r="BZ42" s="11">
        <f t="shared" si="35"/>
        <v>-200000</v>
      </c>
      <c r="CA42" s="56">
        <f>1410000+200000</f>
        <v>1610000</v>
      </c>
      <c r="CB42" s="11">
        <f t="shared" si="36"/>
        <v>200000</v>
      </c>
      <c r="CC42" s="11">
        <f t="shared" si="37"/>
        <v>200000</v>
      </c>
      <c r="CD42" s="11">
        <f t="shared" si="6"/>
        <v>0</v>
      </c>
      <c r="CE42" s="11">
        <f t="shared" si="38"/>
        <v>200000</v>
      </c>
      <c r="CF42" s="56">
        <v>1610000</v>
      </c>
      <c r="CG42" s="11">
        <f t="shared" si="39"/>
        <v>200000</v>
      </c>
      <c r="CH42" s="11">
        <f t="shared" si="40"/>
        <v>200000</v>
      </c>
      <c r="CI42" s="11">
        <f t="shared" si="41"/>
        <v>0</v>
      </c>
      <c r="CJ42" s="11">
        <f t="shared" si="42"/>
        <v>0</v>
      </c>
      <c r="CK42" s="56">
        <v>1610000</v>
      </c>
      <c r="CL42" s="11">
        <f t="shared" si="7"/>
        <v>200000</v>
      </c>
      <c r="CM42" s="11">
        <f t="shared" si="43"/>
        <v>200000</v>
      </c>
      <c r="CN42" s="11">
        <f t="shared" si="44"/>
        <v>0</v>
      </c>
    </row>
    <row r="43" spans="1:92" ht="12.75" x14ac:dyDescent="0.2">
      <c r="A43" s="57" t="s">
        <v>196</v>
      </c>
      <c r="B43" s="29"/>
      <c r="C43" s="58" t="s">
        <v>197</v>
      </c>
      <c r="D43" s="31"/>
      <c r="E43" s="32"/>
      <c r="F43" s="32"/>
      <c r="G43" s="32"/>
      <c r="H43" s="33"/>
      <c r="I43" s="32"/>
      <c r="J43" s="33"/>
      <c r="K43" s="33"/>
      <c r="L43" s="33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5"/>
      <c r="Y43" s="35"/>
      <c r="Z43" s="36"/>
      <c r="AA43" s="36"/>
      <c r="AB43" s="36"/>
      <c r="AC43" s="36"/>
      <c r="AD43" s="37"/>
      <c r="AE43" s="36"/>
      <c r="AF43" s="36"/>
      <c r="AG43" s="36"/>
      <c r="AH43" s="37"/>
      <c r="AI43" s="37"/>
      <c r="AJ43" s="36"/>
      <c r="AK43" s="36"/>
      <c r="AL43" s="36"/>
      <c r="AM43" s="37"/>
      <c r="AN43" s="37"/>
      <c r="AO43" s="37"/>
      <c r="AP43" s="36"/>
      <c r="AQ43" s="36"/>
      <c r="AR43" s="36"/>
      <c r="AS43" s="36"/>
      <c r="AT43" s="36"/>
      <c r="AU43" s="36"/>
      <c r="AV43" s="36"/>
      <c r="AW43" s="36"/>
      <c r="AX43" s="36"/>
      <c r="AY43" s="37"/>
      <c r="AZ43" s="37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11"/>
      <c r="BL43" s="36"/>
      <c r="BM43" s="36"/>
      <c r="BN43" s="54"/>
      <c r="BO43" s="37"/>
      <c r="BP43" s="54"/>
      <c r="BQ43" s="11"/>
      <c r="BR43" s="11"/>
      <c r="BS43" s="56">
        <v>200000</v>
      </c>
      <c r="BT43" s="59">
        <f t="shared" ref="BT43" si="54">BS43-BM43</f>
        <v>200000</v>
      </c>
      <c r="BU43" s="59">
        <f t="shared" ref="BU43" si="55">BS43-BN43</f>
        <v>200000</v>
      </c>
      <c r="BV43" s="59">
        <f t="shared" si="32"/>
        <v>200000</v>
      </c>
      <c r="BW43" s="56">
        <v>0</v>
      </c>
      <c r="BX43" s="11">
        <f t="shared" si="33"/>
        <v>0</v>
      </c>
      <c r="BY43" s="11">
        <f t="shared" si="34"/>
        <v>0</v>
      </c>
      <c r="BZ43" s="11">
        <f t="shared" si="35"/>
        <v>-200000</v>
      </c>
      <c r="CA43" s="56">
        <v>0</v>
      </c>
      <c r="CB43" s="11">
        <f t="shared" si="36"/>
        <v>0</v>
      </c>
      <c r="CC43" s="11">
        <f t="shared" si="37"/>
        <v>0</v>
      </c>
      <c r="CD43" s="11">
        <f t="shared" si="6"/>
        <v>-200000</v>
      </c>
      <c r="CE43" s="11">
        <f t="shared" si="38"/>
        <v>0</v>
      </c>
      <c r="CF43" s="56">
        <v>200000</v>
      </c>
      <c r="CG43" s="11">
        <f t="shared" si="39"/>
        <v>200000</v>
      </c>
      <c r="CH43" s="11">
        <f t="shared" si="40"/>
        <v>200000</v>
      </c>
      <c r="CI43" s="11">
        <f t="shared" si="41"/>
        <v>0</v>
      </c>
      <c r="CJ43" s="11">
        <f t="shared" si="42"/>
        <v>200000</v>
      </c>
      <c r="CK43" s="56">
        <v>200000</v>
      </c>
      <c r="CL43" s="11">
        <f t="shared" si="7"/>
        <v>200000</v>
      </c>
      <c r="CM43" s="11">
        <f t="shared" si="43"/>
        <v>200000</v>
      </c>
      <c r="CN43" s="11">
        <f t="shared" si="44"/>
        <v>0</v>
      </c>
    </row>
    <row r="44" spans="1:92" ht="12.75" x14ac:dyDescent="0.2">
      <c r="A44" s="28" t="s">
        <v>28</v>
      </c>
      <c r="B44" s="29"/>
      <c r="C44" s="30" t="s">
        <v>40</v>
      </c>
      <c r="D44" s="31">
        <v>1195840</v>
      </c>
      <c r="E44" s="32">
        <v>1195840</v>
      </c>
      <c r="F44" s="32">
        <v>1180621</v>
      </c>
      <c r="G44" s="32">
        <v>200000</v>
      </c>
      <c r="H44" s="33"/>
      <c r="I44" s="32">
        <f t="shared" si="0"/>
        <v>200000</v>
      </c>
      <c r="J44" s="33">
        <v>-53860</v>
      </c>
      <c r="K44" s="33"/>
      <c r="L44" s="33">
        <f t="shared" si="1"/>
        <v>-53860</v>
      </c>
      <c r="M44" s="34">
        <f t="shared" si="8"/>
        <v>146140</v>
      </c>
      <c r="N44" s="34">
        <v>146140</v>
      </c>
      <c r="O44" s="34">
        <v>0</v>
      </c>
      <c r="P44" s="34">
        <v>200000</v>
      </c>
      <c r="Q44" s="34">
        <v>146140</v>
      </c>
      <c r="R44" s="34">
        <v>146140</v>
      </c>
      <c r="S44" s="34">
        <v>0</v>
      </c>
      <c r="T44" s="34">
        <f t="shared" si="45"/>
        <v>0</v>
      </c>
      <c r="U44" s="34">
        <f t="shared" si="46"/>
        <v>146140</v>
      </c>
      <c r="V44" s="34">
        <f t="shared" si="53"/>
        <v>0</v>
      </c>
      <c r="W44" s="35">
        <v>146140</v>
      </c>
      <c r="X44" s="35"/>
      <c r="Y44" s="35">
        <f t="shared" si="9"/>
        <v>146140</v>
      </c>
      <c r="Z44" s="36">
        <v>146140</v>
      </c>
      <c r="AA44" s="36">
        <f t="shared" si="10"/>
        <v>0</v>
      </c>
      <c r="AB44" s="36">
        <v>0</v>
      </c>
      <c r="AC44" s="36">
        <v>146140</v>
      </c>
      <c r="AD44" s="37">
        <v>146140</v>
      </c>
      <c r="AE44" s="36">
        <f t="shared" si="52"/>
        <v>146140</v>
      </c>
      <c r="AF44" s="36"/>
      <c r="AG44" s="36"/>
      <c r="AH44" s="37">
        <v>146140</v>
      </c>
      <c r="AI44" s="37">
        <v>146140</v>
      </c>
      <c r="AJ44" s="36">
        <f t="shared" si="49"/>
        <v>0</v>
      </c>
      <c r="AK44" s="36">
        <f t="shared" si="11"/>
        <v>0</v>
      </c>
      <c r="AL44" s="36">
        <f t="shared" si="12"/>
        <v>0</v>
      </c>
      <c r="AM44" s="37">
        <f t="shared" si="13"/>
        <v>0</v>
      </c>
      <c r="AN44" s="37">
        <f t="shared" si="14"/>
        <v>0</v>
      </c>
      <c r="AO44" s="37">
        <f t="shared" si="4"/>
        <v>0</v>
      </c>
      <c r="AP44" s="36">
        <v>146140</v>
      </c>
      <c r="AQ44" s="36">
        <f t="shared" si="5"/>
        <v>0</v>
      </c>
      <c r="AR44" s="36">
        <f t="shared" si="15"/>
        <v>0</v>
      </c>
      <c r="AS44" s="36">
        <f t="shared" si="16"/>
        <v>0</v>
      </c>
      <c r="AT44" s="36"/>
      <c r="AU44" s="36">
        <f t="shared" si="17"/>
        <v>146140</v>
      </c>
      <c r="AV44" s="36">
        <v>146140</v>
      </c>
      <c r="AW44" s="36">
        <f t="shared" si="18"/>
        <v>0</v>
      </c>
      <c r="AX44" s="36">
        <v>0</v>
      </c>
      <c r="AY44" s="37">
        <f t="shared" si="47"/>
        <v>-146140</v>
      </c>
      <c r="AZ44" s="37">
        <f t="shared" si="48"/>
        <v>-146140</v>
      </c>
      <c r="BA44" s="36">
        <v>146140</v>
      </c>
      <c r="BB44" s="36">
        <f t="shared" si="19"/>
        <v>0</v>
      </c>
      <c r="BC44" s="36">
        <f t="shared" si="20"/>
        <v>0</v>
      </c>
      <c r="BD44" s="36">
        <f t="shared" si="21"/>
        <v>146140</v>
      </c>
      <c r="BE44" s="36">
        <v>146140</v>
      </c>
      <c r="BF44" s="36">
        <v>146140</v>
      </c>
      <c r="BG44" s="36">
        <v>146140</v>
      </c>
      <c r="BH44" s="36">
        <f t="shared" si="22"/>
        <v>0</v>
      </c>
      <c r="BI44" s="36">
        <f t="shared" si="23"/>
        <v>0</v>
      </c>
      <c r="BJ44" s="36">
        <f t="shared" si="24"/>
        <v>0</v>
      </c>
      <c r="BK44" s="11">
        <f t="shared" si="25"/>
        <v>0</v>
      </c>
      <c r="BL44" s="36"/>
      <c r="BM44" s="36">
        <f t="shared" si="26"/>
        <v>146140</v>
      </c>
      <c r="BN44" s="54">
        <v>146140</v>
      </c>
      <c r="BO44" s="37">
        <f t="shared" si="27"/>
        <v>0</v>
      </c>
      <c r="BP44" s="54">
        <v>0</v>
      </c>
      <c r="BQ44" s="11">
        <f t="shared" si="28"/>
        <v>-146140</v>
      </c>
      <c r="BR44" s="11">
        <f t="shared" si="29"/>
        <v>-146140</v>
      </c>
      <c r="BS44" s="54">
        <v>200000</v>
      </c>
      <c r="BT44" s="59">
        <f t="shared" si="30"/>
        <v>53860</v>
      </c>
      <c r="BU44" s="59">
        <f t="shared" si="31"/>
        <v>53860</v>
      </c>
      <c r="BV44" s="59">
        <f t="shared" si="32"/>
        <v>200000</v>
      </c>
      <c r="BW44" s="56">
        <v>146140</v>
      </c>
      <c r="BX44" s="11">
        <f t="shared" si="33"/>
        <v>0</v>
      </c>
      <c r="BY44" s="11">
        <f t="shared" si="34"/>
        <v>0</v>
      </c>
      <c r="BZ44" s="11">
        <f t="shared" si="35"/>
        <v>-53860</v>
      </c>
      <c r="CA44" s="56">
        <v>146140</v>
      </c>
      <c r="CB44" s="11">
        <f t="shared" si="36"/>
        <v>0</v>
      </c>
      <c r="CC44" s="11">
        <f t="shared" si="37"/>
        <v>0</v>
      </c>
      <c r="CD44" s="11">
        <f t="shared" si="6"/>
        <v>-53860</v>
      </c>
      <c r="CE44" s="11">
        <f t="shared" si="38"/>
        <v>0</v>
      </c>
      <c r="CF44" s="56">
        <v>146140</v>
      </c>
      <c r="CG44" s="11">
        <f t="shared" si="39"/>
        <v>0</v>
      </c>
      <c r="CH44" s="11">
        <f t="shared" si="40"/>
        <v>0</v>
      </c>
      <c r="CI44" s="11">
        <f t="shared" si="41"/>
        <v>-53860</v>
      </c>
      <c r="CJ44" s="11">
        <f t="shared" si="42"/>
        <v>0</v>
      </c>
      <c r="CK44" s="56">
        <v>146140</v>
      </c>
      <c r="CL44" s="11">
        <f t="shared" si="7"/>
        <v>0</v>
      </c>
      <c r="CM44" s="11">
        <f t="shared" si="43"/>
        <v>0</v>
      </c>
      <c r="CN44" s="11">
        <f t="shared" si="44"/>
        <v>0</v>
      </c>
    </row>
    <row r="45" spans="1:92" ht="12.75" x14ac:dyDescent="0.2">
      <c r="A45" s="28" t="s">
        <v>11</v>
      </c>
      <c r="B45" s="29"/>
      <c r="C45" s="30" t="s">
        <v>12</v>
      </c>
      <c r="D45" s="31">
        <v>100000</v>
      </c>
      <c r="E45" s="32">
        <v>1</v>
      </c>
      <c r="F45" s="32">
        <v>1</v>
      </c>
      <c r="G45" s="32">
        <v>1</v>
      </c>
      <c r="H45" s="33"/>
      <c r="I45" s="32">
        <f t="shared" si="0"/>
        <v>1</v>
      </c>
      <c r="J45" s="33"/>
      <c r="K45" s="33"/>
      <c r="L45" s="33">
        <f t="shared" si="1"/>
        <v>0</v>
      </c>
      <c r="M45" s="34">
        <f t="shared" si="8"/>
        <v>1</v>
      </c>
      <c r="N45" s="34">
        <v>1</v>
      </c>
      <c r="O45" s="34">
        <v>1</v>
      </c>
      <c r="P45" s="34">
        <v>1</v>
      </c>
      <c r="Q45" s="34">
        <v>1</v>
      </c>
      <c r="R45" s="34">
        <v>1</v>
      </c>
      <c r="S45" s="34">
        <v>0</v>
      </c>
      <c r="T45" s="34">
        <f t="shared" si="45"/>
        <v>0</v>
      </c>
      <c r="U45" s="34">
        <f t="shared" si="46"/>
        <v>1</v>
      </c>
      <c r="V45" s="34">
        <f t="shared" si="53"/>
        <v>0</v>
      </c>
      <c r="W45" s="35">
        <v>1</v>
      </c>
      <c r="X45" s="35"/>
      <c r="Y45" s="35">
        <f t="shared" si="9"/>
        <v>1</v>
      </c>
      <c r="Z45" s="36">
        <v>1</v>
      </c>
      <c r="AA45" s="36">
        <f t="shared" si="10"/>
        <v>0</v>
      </c>
      <c r="AB45" s="36">
        <v>1</v>
      </c>
      <c r="AC45" s="36">
        <v>1</v>
      </c>
      <c r="AD45" s="37">
        <v>1</v>
      </c>
      <c r="AE45" s="36"/>
      <c r="AF45" s="36"/>
      <c r="AG45" s="36"/>
      <c r="AH45" s="37">
        <v>1</v>
      </c>
      <c r="AI45" s="37">
        <v>1</v>
      </c>
      <c r="AJ45" s="36">
        <f t="shared" si="49"/>
        <v>0</v>
      </c>
      <c r="AK45" s="36">
        <f t="shared" si="11"/>
        <v>0</v>
      </c>
      <c r="AL45" s="36">
        <f t="shared" si="12"/>
        <v>0</v>
      </c>
      <c r="AM45" s="37">
        <f t="shared" si="13"/>
        <v>0</v>
      </c>
      <c r="AN45" s="37">
        <f t="shared" si="14"/>
        <v>0</v>
      </c>
      <c r="AO45" s="37">
        <f t="shared" si="4"/>
        <v>0</v>
      </c>
      <c r="AP45" s="36">
        <v>1</v>
      </c>
      <c r="AQ45" s="36">
        <f t="shared" si="5"/>
        <v>0</v>
      </c>
      <c r="AR45" s="36">
        <f t="shared" si="15"/>
        <v>0</v>
      </c>
      <c r="AS45" s="36">
        <f t="shared" si="16"/>
        <v>0</v>
      </c>
      <c r="AT45" s="36"/>
      <c r="AU45" s="36">
        <f t="shared" si="17"/>
        <v>1</v>
      </c>
      <c r="AV45" s="36">
        <v>1</v>
      </c>
      <c r="AW45" s="36">
        <f t="shared" si="18"/>
        <v>0</v>
      </c>
      <c r="AX45" s="36">
        <v>1</v>
      </c>
      <c r="AY45" s="37">
        <f t="shared" si="47"/>
        <v>0</v>
      </c>
      <c r="AZ45" s="37">
        <f t="shared" si="48"/>
        <v>0</v>
      </c>
      <c r="BA45" s="36">
        <v>1</v>
      </c>
      <c r="BB45" s="36">
        <f t="shared" si="19"/>
        <v>0</v>
      </c>
      <c r="BC45" s="36">
        <f t="shared" si="20"/>
        <v>0</v>
      </c>
      <c r="BD45" s="36">
        <f t="shared" si="21"/>
        <v>0</v>
      </c>
      <c r="BE45" s="36">
        <v>2</v>
      </c>
      <c r="BF45" s="36">
        <v>2</v>
      </c>
      <c r="BG45" s="36">
        <v>2</v>
      </c>
      <c r="BH45" s="36">
        <f t="shared" si="22"/>
        <v>1</v>
      </c>
      <c r="BI45" s="36">
        <f t="shared" si="23"/>
        <v>1</v>
      </c>
      <c r="BJ45" s="36">
        <f t="shared" si="24"/>
        <v>1</v>
      </c>
      <c r="BK45" s="11">
        <f t="shared" si="25"/>
        <v>0</v>
      </c>
      <c r="BL45" s="36"/>
      <c r="BM45" s="36">
        <f t="shared" si="26"/>
        <v>2</v>
      </c>
      <c r="BN45" s="54">
        <v>1</v>
      </c>
      <c r="BO45" s="37">
        <f t="shared" si="27"/>
        <v>-1</v>
      </c>
      <c r="BP45" s="54">
        <v>1</v>
      </c>
      <c r="BQ45" s="11">
        <f t="shared" si="28"/>
        <v>-1</v>
      </c>
      <c r="BR45" s="11">
        <f t="shared" si="29"/>
        <v>0</v>
      </c>
      <c r="BS45" s="54">
        <f>BP45</f>
        <v>1</v>
      </c>
      <c r="BT45" s="59">
        <f t="shared" si="30"/>
        <v>-1</v>
      </c>
      <c r="BU45" s="59">
        <f t="shared" si="31"/>
        <v>0</v>
      </c>
      <c r="BV45" s="59">
        <f t="shared" si="32"/>
        <v>0</v>
      </c>
      <c r="BW45" s="56">
        <v>3</v>
      </c>
      <c r="BX45" s="11">
        <f t="shared" si="33"/>
        <v>1</v>
      </c>
      <c r="BY45" s="11">
        <f t="shared" si="34"/>
        <v>2</v>
      </c>
      <c r="BZ45" s="11">
        <f t="shared" si="35"/>
        <v>2</v>
      </c>
      <c r="CA45" s="56">
        <v>3</v>
      </c>
      <c r="CB45" s="11">
        <f t="shared" si="36"/>
        <v>1</v>
      </c>
      <c r="CC45" s="11">
        <f t="shared" si="37"/>
        <v>2</v>
      </c>
      <c r="CD45" s="11">
        <f t="shared" si="6"/>
        <v>2</v>
      </c>
      <c r="CE45" s="11">
        <f t="shared" si="38"/>
        <v>0</v>
      </c>
      <c r="CF45" s="56">
        <v>3</v>
      </c>
      <c r="CG45" s="11">
        <f t="shared" si="39"/>
        <v>1</v>
      </c>
      <c r="CH45" s="11">
        <f t="shared" si="40"/>
        <v>2</v>
      </c>
      <c r="CI45" s="11">
        <f t="shared" si="41"/>
        <v>2</v>
      </c>
      <c r="CJ45" s="11">
        <f t="shared" si="42"/>
        <v>0</v>
      </c>
      <c r="CK45" s="56">
        <v>3</v>
      </c>
      <c r="CL45" s="11">
        <f t="shared" si="7"/>
        <v>1</v>
      </c>
      <c r="CM45" s="11">
        <f t="shared" si="43"/>
        <v>2</v>
      </c>
      <c r="CN45" s="11">
        <f t="shared" si="44"/>
        <v>0</v>
      </c>
    </row>
    <row r="46" spans="1:92" ht="12.75" x14ac:dyDescent="0.2">
      <c r="A46" s="28" t="s">
        <v>24</v>
      </c>
      <c r="B46" s="29"/>
      <c r="C46" s="30" t="s">
        <v>25</v>
      </c>
      <c r="D46" s="31">
        <v>2270500</v>
      </c>
      <c r="E46" s="32">
        <v>2770500</v>
      </c>
      <c r="F46" s="32">
        <v>1932063</v>
      </c>
      <c r="G46" s="32">
        <v>1500000</v>
      </c>
      <c r="H46" s="33"/>
      <c r="I46" s="32">
        <f t="shared" si="0"/>
        <v>1500000</v>
      </c>
      <c r="J46" s="33"/>
      <c r="K46" s="33"/>
      <c r="L46" s="33">
        <f t="shared" si="1"/>
        <v>0</v>
      </c>
      <c r="M46" s="34">
        <f t="shared" si="8"/>
        <v>1500000</v>
      </c>
      <c r="N46" s="34">
        <v>1500000</v>
      </c>
      <c r="O46" s="34">
        <v>1500000</v>
      </c>
      <c r="P46" s="34">
        <v>1500000</v>
      </c>
      <c r="Q46" s="34">
        <v>1600000</v>
      </c>
      <c r="R46" s="34">
        <v>1600000</v>
      </c>
      <c r="S46" s="34">
        <v>0.1875</v>
      </c>
      <c r="T46" s="34">
        <f t="shared" si="45"/>
        <v>-300000</v>
      </c>
      <c r="U46" s="34">
        <f t="shared" si="46"/>
        <v>1300000</v>
      </c>
      <c r="V46" s="34">
        <f t="shared" si="53"/>
        <v>-200000</v>
      </c>
      <c r="W46" s="35">
        <v>1300000</v>
      </c>
      <c r="X46" s="35"/>
      <c r="Y46" s="35">
        <f t="shared" si="9"/>
        <v>1300000</v>
      </c>
      <c r="Z46" s="36">
        <v>1300000</v>
      </c>
      <c r="AA46" s="36">
        <f t="shared" si="10"/>
        <v>0</v>
      </c>
      <c r="AB46" s="36">
        <v>0</v>
      </c>
      <c r="AC46" s="36">
        <v>1300000</v>
      </c>
      <c r="AD46" s="37">
        <v>1150000</v>
      </c>
      <c r="AE46" s="36">
        <f t="shared" si="52"/>
        <v>1300000</v>
      </c>
      <c r="AF46" s="36"/>
      <c r="AG46" s="36"/>
      <c r="AH46" s="38">
        <v>1300000</v>
      </c>
      <c r="AI46" s="38">
        <v>1300000</v>
      </c>
      <c r="AJ46" s="36">
        <f t="shared" si="49"/>
        <v>-150000</v>
      </c>
      <c r="AK46" s="36">
        <f t="shared" si="11"/>
        <v>-150000</v>
      </c>
      <c r="AL46" s="36">
        <f t="shared" si="12"/>
        <v>-150000</v>
      </c>
      <c r="AM46" s="37">
        <f t="shared" si="13"/>
        <v>0</v>
      </c>
      <c r="AN46" s="37">
        <f t="shared" si="14"/>
        <v>0</v>
      </c>
      <c r="AO46" s="37">
        <f t="shared" si="4"/>
        <v>0</v>
      </c>
      <c r="AP46" s="36">
        <v>1300000</v>
      </c>
      <c r="AQ46" s="36">
        <f t="shared" si="5"/>
        <v>0</v>
      </c>
      <c r="AR46" s="36">
        <f t="shared" si="15"/>
        <v>0</v>
      </c>
      <c r="AS46" s="36">
        <f t="shared" si="16"/>
        <v>0</v>
      </c>
      <c r="AT46" s="36"/>
      <c r="AU46" s="36">
        <f t="shared" si="17"/>
        <v>1300000</v>
      </c>
      <c r="AV46" s="36">
        <v>2000000</v>
      </c>
      <c r="AW46" s="36">
        <f t="shared" si="18"/>
        <v>700000</v>
      </c>
      <c r="AX46" s="36">
        <v>1000000</v>
      </c>
      <c r="AY46" s="37">
        <f t="shared" si="47"/>
        <v>-300000</v>
      </c>
      <c r="AZ46" s="37">
        <f t="shared" si="48"/>
        <v>-1000000</v>
      </c>
      <c r="BA46" s="36">
        <v>2000000</v>
      </c>
      <c r="BB46" s="36">
        <f t="shared" si="19"/>
        <v>700000</v>
      </c>
      <c r="BC46" s="36">
        <f t="shared" si="20"/>
        <v>0</v>
      </c>
      <c r="BD46" s="36">
        <f t="shared" si="21"/>
        <v>1000000</v>
      </c>
      <c r="BE46" s="36">
        <v>1500000</v>
      </c>
      <c r="BF46" s="36">
        <v>2000000</v>
      </c>
      <c r="BG46" s="36">
        <v>2000000</v>
      </c>
      <c r="BH46" s="36">
        <f t="shared" si="22"/>
        <v>700000</v>
      </c>
      <c r="BI46" s="36">
        <f t="shared" si="23"/>
        <v>0</v>
      </c>
      <c r="BJ46" s="36">
        <f t="shared" si="24"/>
        <v>0</v>
      </c>
      <c r="BK46" s="11">
        <f t="shared" si="25"/>
        <v>500000</v>
      </c>
      <c r="BL46" s="36"/>
      <c r="BM46" s="36">
        <f t="shared" si="26"/>
        <v>2000000</v>
      </c>
      <c r="BN46" s="54">
        <v>2000000</v>
      </c>
      <c r="BO46" s="37">
        <f t="shared" si="27"/>
        <v>0</v>
      </c>
      <c r="BP46" s="54">
        <v>1000000</v>
      </c>
      <c r="BQ46" s="11">
        <f t="shared" si="28"/>
        <v>-1000000</v>
      </c>
      <c r="BR46" s="11">
        <f t="shared" si="29"/>
        <v>-1000000</v>
      </c>
      <c r="BS46" s="54">
        <v>2000000</v>
      </c>
      <c r="BT46" s="59">
        <f t="shared" si="30"/>
        <v>0</v>
      </c>
      <c r="BU46" s="59">
        <f t="shared" si="31"/>
        <v>0</v>
      </c>
      <c r="BV46" s="59">
        <f t="shared" si="32"/>
        <v>1000000</v>
      </c>
      <c r="BW46" s="56">
        <v>1500000</v>
      </c>
      <c r="BX46" s="11">
        <f t="shared" si="33"/>
        <v>-500000</v>
      </c>
      <c r="BY46" s="11">
        <f t="shared" si="34"/>
        <v>-500000</v>
      </c>
      <c r="BZ46" s="11">
        <f t="shared" si="35"/>
        <v>-500000</v>
      </c>
      <c r="CA46" s="56">
        <f>1500000+500000</f>
        <v>2000000</v>
      </c>
      <c r="CB46" s="11">
        <f t="shared" si="36"/>
        <v>0</v>
      </c>
      <c r="CC46" s="11">
        <f t="shared" si="37"/>
        <v>0</v>
      </c>
      <c r="CD46" s="11">
        <f t="shared" si="6"/>
        <v>0</v>
      </c>
      <c r="CE46" s="11">
        <f t="shared" si="38"/>
        <v>500000</v>
      </c>
      <c r="CF46" s="56">
        <v>2000000</v>
      </c>
      <c r="CG46" s="11">
        <f t="shared" si="39"/>
        <v>0</v>
      </c>
      <c r="CH46" s="11">
        <f t="shared" si="40"/>
        <v>0</v>
      </c>
      <c r="CI46" s="11">
        <f t="shared" si="41"/>
        <v>0</v>
      </c>
      <c r="CJ46" s="11">
        <f t="shared" si="42"/>
        <v>0</v>
      </c>
      <c r="CK46" s="56">
        <v>2000000</v>
      </c>
      <c r="CL46" s="11">
        <f t="shared" si="7"/>
        <v>0</v>
      </c>
      <c r="CM46" s="11">
        <f t="shared" si="43"/>
        <v>0</v>
      </c>
      <c r="CN46" s="11">
        <f t="shared" si="44"/>
        <v>0</v>
      </c>
    </row>
    <row r="47" spans="1:92" ht="12.75" x14ac:dyDescent="0.2">
      <c r="A47" s="28" t="s">
        <v>13</v>
      </c>
      <c r="B47" s="29"/>
      <c r="C47" s="30" t="s">
        <v>43</v>
      </c>
      <c r="D47" s="31">
        <v>712000</v>
      </c>
      <c r="E47" s="32">
        <v>712000</v>
      </c>
      <c r="F47" s="32">
        <v>517320</v>
      </c>
      <c r="G47" s="32">
        <v>100000</v>
      </c>
      <c r="H47" s="33"/>
      <c r="I47" s="32">
        <f t="shared" si="0"/>
        <v>100000</v>
      </c>
      <c r="J47" s="33"/>
      <c r="K47" s="33"/>
      <c r="L47" s="33">
        <f t="shared" si="1"/>
        <v>0</v>
      </c>
      <c r="M47" s="34">
        <f t="shared" si="8"/>
        <v>100000</v>
      </c>
      <c r="N47" s="34">
        <v>100000</v>
      </c>
      <c r="O47" s="34">
        <v>100000</v>
      </c>
      <c r="P47" s="34">
        <v>100000</v>
      </c>
      <c r="Q47" s="34">
        <v>100000</v>
      </c>
      <c r="R47" s="34">
        <v>250000</v>
      </c>
      <c r="S47" s="34">
        <v>0.6</v>
      </c>
      <c r="T47" s="34">
        <f t="shared" si="45"/>
        <v>-150000</v>
      </c>
      <c r="U47" s="34">
        <f t="shared" si="46"/>
        <v>100000</v>
      </c>
      <c r="V47" s="34">
        <f t="shared" si="53"/>
        <v>0</v>
      </c>
      <c r="W47" s="35">
        <v>100000</v>
      </c>
      <c r="X47" s="35"/>
      <c r="Y47" s="35">
        <f t="shared" si="9"/>
        <v>100000</v>
      </c>
      <c r="Z47" s="36">
        <v>100000</v>
      </c>
      <c r="AA47" s="36">
        <f t="shared" si="10"/>
        <v>0</v>
      </c>
      <c r="AB47" s="36">
        <v>100000</v>
      </c>
      <c r="AC47" s="36">
        <v>250000</v>
      </c>
      <c r="AD47" s="37">
        <v>100000</v>
      </c>
      <c r="AE47" s="36">
        <f t="shared" si="52"/>
        <v>150000</v>
      </c>
      <c r="AF47" s="36">
        <f>AC47-W47+X47</f>
        <v>150000</v>
      </c>
      <c r="AG47" s="36">
        <f>AC47-Z47</f>
        <v>150000</v>
      </c>
      <c r="AH47" s="37">
        <v>100000</v>
      </c>
      <c r="AI47" s="37">
        <v>250000</v>
      </c>
      <c r="AJ47" s="36">
        <f t="shared" si="49"/>
        <v>0</v>
      </c>
      <c r="AK47" s="36">
        <f t="shared" si="11"/>
        <v>0</v>
      </c>
      <c r="AL47" s="36">
        <f t="shared" si="12"/>
        <v>-150000</v>
      </c>
      <c r="AM47" s="37">
        <f t="shared" si="13"/>
        <v>0</v>
      </c>
      <c r="AN47" s="37">
        <f t="shared" si="14"/>
        <v>0</v>
      </c>
      <c r="AO47" s="37">
        <f t="shared" si="4"/>
        <v>-150000</v>
      </c>
      <c r="AP47" s="36">
        <v>250000</v>
      </c>
      <c r="AQ47" s="36">
        <f t="shared" si="5"/>
        <v>150000</v>
      </c>
      <c r="AR47" s="36">
        <f t="shared" si="15"/>
        <v>150000</v>
      </c>
      <c r="AS47" s="36">
        <f t="shared" si="16"/>
        <v>150000</v>
      </c>
      <c r="AT47" s="36"/>
      <c r="AU47" s="36">
        <f t="shared" si="17"/>
        <v>250000</v>
      </c>
      <c r="AV47" s="36">
        <v>250000</v>
      </c>
      <c r="AW47" s="36">
        <f t="shared" si="18"/>
        <v>0</v>
      </c>
      <c r="AX47" s="36">
        <v>250000</v>
      </c>
      <c r="AY47" s="37">
        <f t="shared" si="47"/>
        <v>0</v>
      </c>
      <c r="AZ47" s="37">
        <f t="shared" si="48"/>
        <v>0</v>
      </c>
      <c r="BA47" s="36">
        <v>350000</v>
      </c>
      <c r="BB47" s="36">
        <f t="shared" si="19"/>
        <v>100000</v>
      </c>
      <c r="BC47" s="36">
        <f t="shared" si="20"/>
        <v>100000</v>
      </c>
      <c r="BD47" s="36">
        <f t="shared" si="21"/>
        <v>100000</v>
      </c>
      <c r="BE47" s="36">
        <v>250000</v>
      </c>
      <c r="BF47" s="36">
        <v>350000</v>
      </c>
      <c r="BG47" s="36">
        <v>350000</v>
      </c>
      <c r="BH47" s="36">
        <f t="shared" si="22"/>
        <v>100000</v>
      </c>
      <c r="BI47" s="36">
        <f t="shared" si="23"/>
        <v>100000</v>
      </c>
      <c r="BJ47" s="36">
        <f t="shared" si="24"/>
        <v>0</v>
      </c>
      <c r="BK47" s="11">
        <f t="shared" si="25"/>
        <v>100000</v>
      </c>
      <c r="BL47" s="36"/>
      <c r="BM47" s="36">
        <f t="shared" si="26"/>
        <v>350000</v>
      </c>
      <c r="BN47" s="54">
        <v>400000</v>
      </c>
      <c r="BO47" s="37">
        <f t="shared" si="27"/>
        <v>50000</v>
      </c>
      <c r="BP47" s="54">
        <v>250000</v>
      </c>
      <c r="BQ47" s="11">
        <f t="shared" si="28"/>
        <v>-100000</v>
      </c>
      <c r="BR47" s="11">
        <f t="shared" si="29"/>
        <v>-150000</v>
      </c>
      <c r="BS47" s="54">
        <v>350000</v>
      </c>
      <c r="BT47" s="59">
        <f t="shared" si="30"/>
        <v>0</v>
      </c>
      <c r="BU47" s="59">
        <f t="shared" si="31"/>
        <v>-50000</v>
      </c>
      <c r="BV47" s="59">
        <f t="shared" si="32"/>
        <v>100000</v>
      </c>
      <c r="BW47" s="56">
        <v>250000</v>
      </c>
      <c r="BX47" s="11">
        <f t="shared" si="33"/>
        <v>-100000</v>
      </c>
      <c r="BY47" s="11">
        <f t="shared" si="34"/>
        <v>-150000</v>
      </c>
      <c r="BZ47" s="11">
        <f t="shared" si="35"/>
        <v>-100000</v>
      </c>
      <c r="CA47" s="56">
        <v>250000</v>
      </c>
      <c r="CB47" s="11">
        <f t="shared" si="36"/>
        <v>-100000</v>
      </c>
      <c r="CC47" s="11">
        <f t="shared" si="37"/>
        <v>-150000</v>
      </c>
      <c r="CD47" s="11">
        <f t="shared" si="6"/>
        <v>-100000</v>
      </c>
      <c r="CE47" s="11">
        <f t="shared" si="38"/>
        <v>0</v>
      </c>
      <c r="CF47" s="56">
        <v>350000</v>
      </c>
      <c r="CG47" s="11">
        <f t="shared" si="39"/>
        <v>0</v>
      </c>
      <c r="CH47" s="11">
        <f t="shared" si="40"/>
        <v>-50000</v>
      </c>
      <c r="CI47" s="11">
        <f t="shared" si="41"/>
        <v>0</v>
      </c>
      <c r="CJ47" s="11">
        <f t="shared" si="42"/>
        <v>100000</v>
      </c>
      <c r="CK47" s="56">
        <v>350000</v>
      </c>
      <c r="CL47" s="11">
        <f t="shared" si="7"/>
        <v>0</v>
      </c>
      <c r="CM47" s="11">
        <f t="shared" si="43"/>
        <v>-50000</v>
      </c>
      <c r="CN47" s="11">
        <f t="shared" si="44"/>
        <v>0</v>
      </c>
    </row>
    <row r="48" spans="1:92" ht="12.75" x14ac:dyDescent="0.2">
      <c r="A48" s="28" t="s">
        <v>33</v>
      </c>
      <c r="B48" s="29"/>
      <c r="C48" s="30" t="s">
        <v>139</v>
      </c>
      <c r="D48" s="31">
        <v>895367</v>
      </c>
      <c r="E48" s="32">
        <v>991367</v>
      </c>
      <c r="F48" s="32">
        <v>486227</v>
      </c>
      <c r="G48" s="32">
        <v>386227</v>
      </c>
      <c r="H48" s="33"/>
      <c r="I48" s="32">
        <f t="shared" si="0"/>
        <v>386227</v>
      </c>
      <c r="J48" s="33"/>
      <c r="K48" s="33"/>
      <c r="L48" s="33">
        <f t="shared" si="1"/>
        <v>0</v>
      </c>
      <c r="M48" s="34">
        <f t="shared" si="8"/>
        <v>386227</v>
      </c>
      <c r="N48" s="34">
        <v>386227</v>
      </c>
      <c r="O48" s="34">
        <v>353227</v>
      </c>
      <c r="P48" s="34">
        <v>353227</v>
      </c>
      <c r="Q48" s="34">
        <v>386227</v>
      </c>
      <c r="R48" s="34">
        <v>353227</v>
      </c>
      <c r="S48" s="34">
        <v>0.6</v>
      </c>
      <c r="T48" s="34">
        <f t="shared" si="45"/>
        <v>-211936.19999999998</v>
      </c>
      <c r="U48" s="34">
        <f t="shared" si="46"/>
        <v>141290.80000000002</v>
      </c>
      <c r="V48" s="34">
        <f t="shared" si="53"/>
        <v>-244936.19999999998</v>
      </c>
      <c r="W48" s="35">
        <f xml:space="preserve"> 353227</f>
        <v>353227</v>
      </c>
      <c r="X48" s="35"/>
      <c r="Y48" s="35">
        <f t="shared" si="9"/>
        <v>353227</v>
      </c>
      <c r="Z48" s="36">
        <v>353227</v>
      </c>
      <c r="AA48" s="36">
        <f t="shared" si="10"/>
        <v>0</v>
      </c>
      <c r="AB48" s="36">
        <v>353227</v>
      </c>
      <c r="AC48" s="40">
        <v>753227</v>
      </c>
      <c r="AD48" s="38">
        <v>346162</v>
      </c>
      <c r="AE48" s="36">
        <f t="shared" si="52"/>
        <v>400000</v>
      </c>
      <c r="AF48" s="36">
        <f>AC48-W48+X48</f>
        <v>400000</v>
      </c>
      <c r="AG48" s="36">
        <f>AC48-Z48</f>
        <v>400000</v>
      </c>
      <c r="AH48" s="38">
        <v>746162</v>
      </c>
      <c r="AI48" s="38">
        <v>746162</v>
      </c>
      <c r="AJ48" s="40">
        <f t="shared" si="49"/>
        <v>-7065</v>
      </c>
      <c r="AK48" s="40">
        <f t="shared" si="11"/>
        <v>-7065</v>
      </c>
      <c r="AL48" s="40">
        <f t="shared" si="12"/>
        <v>-407065</v>
      </c>
      <c r="AM48" s="38">
        <f t="shared" si="13"/>
        <v>392935</v>
      </c>
      <c r="AN48" s="38">
        <f t="shared" si="14"/>
        <v>392935</v>
      </c>
      <c r="AO48" s="38">
        <f t="shared" si="4"/>
        <v>-7065</v>
      </c>
      <c r="AP48" s="40">
        <v>746162</v>
      </c>
      <c r="AQ48" s="40">
        <f t="shared" si="5"/>
        <v>392935</v>
      </c>
      <c r="AR48" s="40">
        <f t="shared" si="15"/>
        <v>392935</v>
      </c>
      <c r="AS48" s="40">
        <f t="shared" si="16"/>
        <v>392935</v>
      </c>
      <c r="AT48" s="40"/>
      <c r="AU48" s="40">
        <f t="shared" si="17"/>
        <v>746162</v>
      </c>
      <c r="AV48" s="40">
        <v>737022</v>
      </c>
      <c r="AW48" s="40">
        <f t="shared" si="18"/>
        <v>-9140</v>
      </c>
      <c r="AX48" s="40">
        <v>746162</v>
      </c>
      <c r="AY48" s="37">
        <f t="shared" si="47"/>
        <v>0</v>
      </c>
      <c r="AZ48" s="37">
        <f t="shared" si="48"/>
        <v>9140</v>
      </c>
      <c r="BA48" s="40">
        <v>746162</v>
      </c>
      <c r="BB48" s="40">
        <f t="shared" si="19"/>
        <v>0</v>
      </c>
      <c r="BC48" s="40">
        <f t="shared" si="20"/>
        <v>9140</v>
      </c>
      <c r="BD48" s="40">
        <f t="shared" si="21"/>
        <v>0</v>
      </c>
      <c r="BE48" s="40">
        <v>346162</v>
      </c>
      <c r="BF48" s="40">
        <v>346162</v>
      </c>
      <c r="BG48" s="40">
        <v>346162</v>
      </c>
      <c r="BH48" s="36">
        <f t="shared" si="22"/>
        <v>-400000</v>
      </c>
      <c r="BI48" s="36">
        <f t="shared" si="23"/>
        <v>-390860</v>
      </c>
      <c r="BJ48" s="36">
        <f t="shared" si="24"/>
        <v>-400000</v>
      </c>
      <c r="BK48" s="11">
        <f t="shared" si="25"/>
        <v>0</v>
      </c>
      <c r="BL48" s="40"/>
      <c r="BM48" s="36">
        <f t="shared" si="26"/>
        <v>346162</v>
      </c>
      <c r="BN48" s="54">
        <v>346162</v>
      </c>
      <c r="BO48" s="37">
        <f t="shared" si="27"/>
        <v>0</v>
      </c>
      <c r="BP48" s="54">
        <v>0</v>
      </c>
      <c r="BQ48" s="11">
        <f t="shared" si="28"/>
        <v>-346162</v>
      </c>
      <c r="BR48" s="11">
        <f t="shared" si="29"/>
        <v>-346162</v>
      </c>
      <c r="BS48" s="54">
        <f>BP48</f>
        <v>0</v>
      </c>
      <c r="BT48" s="59">
        <f t="shared" si="30"/>
        <v>-346162</v>
      </c>
      <c r="BU48" s="59">
        <f t="shared" si="31"/>
        <v>-346162</v>
      </c>
      <c r="BV48" s="59">
        <f t="shared" si="32"/>
        <v>0</v>
      </c>
      <c r="BW48" s="56">
        <v>346162</v>
      </c>
      <c r="BX48" s="11">
        <f t="shared" si="33"/>
        <v>0</v>
      </c>
      <c r="BY48" s="11">
        <f t="shared" si="34"/>
        <v>0</v>
      </c>
      <c r="BZ48" s="11">
        <f t="shared" si="35"/>
        <v>346162</v>
      </c>
      <c r="CA48" s="56">
        <v>346162</v>
      </c>
      <c r="CB48" s="11">
        <f t="shared" si="36"/>
        <v>0</v>
      </c>
      <c r="CC48" s="11">
        <f t="shared" si="37"/>
        <v>0</v>
      </c>
      <c r="CD48" s="11">
        <f t="shared" si="6"/>
        <v>346162</v>
      </c>
      <c r="CE48" s="11">
        <f t="shared" si="38"/>
        <v>0</v>
      </c>
      <c r="CF48" s="56">
        <v>200000</v>
      </c>
      <c r="CG48" s="11">
        <f t="shared" si="39"/>
        <v>-146162</v>
      </c>
      <c r="CH48" s="11">
        <f t="shared" si="40"/>
        <v>-146162</v>
      </c>
      <c r="CI48" s="11">
        <f t="shared" si="41"/>
        <v>200000</v>
      </c>
      <c r="CJ48" s="11">
        <f t="shared" si="42"/>
        <v>-146162</v>
      </c>
      <c r="CK48" s="56">
        <v>200000</v>
      </c>
      <c r="CL48" s="11">
        <f t="shared" si="7"/>
        <v>-146162</v>
      </c>
      <c r="CM48" s="11">
        <f t="shared" si="43"/>
        <v>-146162</v>
      </c>
      <c r="CN48" s="11">
        <f t="shared" si="44"/>
        <v>0</v>
      </c>
    </row>
    <row r="49" spans="1:92" ht="12.75" x14ac:dyDescent="0.2">
      <c r="A49" s="28" t="s">
        <v>109</v>
      </c>
      <c r="B49" s="29"/>
      <c r="C49" s="30" t="s">
        <v>140</v>
      </c>
      <c r="D49" s="31"/>
      <c r="E49" s="32"/>
      <c r="F49" s="32"/>
      <c r="G49" s="32"/>
      <c r="H49" s="33"/>
      <c r="I49" s="32"/>
      <c r="J49" s="33"/>
      <c r="K49" s="33"/>
      <c r="L49" s="33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5"/>
      <c r="X49" s="35"/>
      <c r="Y49" s="35">
        <f t="shared" si="9"/>
        <v>0</v>
      </c>
      <c r="Z49" s="36"/>
      <c r="AA49" s="36"/>
      <c r="AB49" s="36"/>
      <c r="AC49" s="36">
        <v>300000</v>
      </c>
      <c r="AD49" s="37">
        <v>0</v>
      </c>
      <c r="AE49" s="36">
        <f t="shared" si="52"/>
        <v>300000</v>
      </c>
      <c r="AF49" s="36">
        <f>AC49-W49+X49</f>
        <v>300000</v>
      </c>
      <c r="AG49" s="36">
        <f>AC49-Z49</f>
        <v>300000</v>
      </c>
      <c r="AH49" s="38">
        <v>300000</v>
      </c>
      <c r="AI49" s="38">
        <v>300000</v>
      </c>
      <c r="AJ49" s="36">
        <f t="shared" si="49"/>
        <v>0</v>
      </c>
      <c r="AK49" s="36">
        <f t="shared" si="11"/>
        <v>0</v>
      </c>
      <c r="AL49" s="36">
        <f t="shared" si="12"/>
        <v>-300000</v>
      </c>
      <c r="AM49" s="37">
        <f t="shared" si="13"/>
        <v>300000</v>
      </c>
      <c r="AN49" s="37">
        <f t="shared" si="14"/>
        <v>300000</v>
      </c>
      <c r="AO49" s="37">
        <f t="shared" si="4"/>
        <v>0</v>
      </c>
      <c r="AP49" s="36">
        <v>300000</v>
      </c>
      <c r="AQ49" s="36">
        <f t="shared" si="5"/>
        <v>300000</v>
      </c>
      <c r="AR49" s="36">
        <f t="shared" si="15"/>
        <v>300000</v>
      </c>
      <c r="AS49" s="36">
        <f t="shared" si="16"/>
        <v>300000</v>
      </c>
      <c r="AT49" s="36"/>
      <c r="AU49" s="36">
        <f t="shared" si="17"/>
        <v>300000</v>
      </c>
      <c r="AV49" s="36">
        <v>0</v>
      </c>
      <c r="AW49" s="36">
        <f t="shared" si="18"/>
        <v>-300000</v>
      </c>
      <c r="AX49" s="36">
        <v>0</v>
      </c>
      <c r="AY49" s="37">
        <f>AX49-AP49-AT49</f>
        <v>-300000</v>
      </c>
      <c r="AZ49" s="37">
        <f>AX49-AV49</f>
        <v>0</v>
      </c>
      <c r="BA49" s="36">
        <v>251950</v>
      </c>
      <c r="BB49" s="36">
        <f t="shared" si="19"/>
        <v>-48050</v>
      </c>
      <c r="BC49" s="36">
        <f t="shared" si="20"/>
        <v>251950</v>
      </c>
      <c r="BD49" s="36">
        <f t="shared" si="21"/>
        <v>251950</v>
      </c>
      <c r="BE49" s="36">
        <v>251950</v>
      </c>
      <c r="BF49" s="36">
        <v>251950</v>
      </c>
      <c r="BG49" s="36">
        <v>251950</v>
      </c>
      <c r="BH49" s="36">
        <f t="shared" si="22"/>
        <v>-48050</v>
      </c>
      <c r="BI49" s="36">
        <f t="shared" si="23"/>
        <v>251950</v>
      </c>
      <c r="BJ49" s="36">
        <f t="shared" si="24"/>
        <v>0</v>
      </c>
      <c r="BK49" s="11">
        <f t="shared" si="25"/>
        <v>0</v>
      </c>
      <c r="BL49" s="36"/>
      <c r="BM49" s="36">
        <f t="shared" si="26"/>
        <v>251950</v>
      </c>
      <c r="BN49" s="54">
        <v>251950</v>
      </c>
      <c r="BO49" s="37">
        <f t="shared" si="27"/>
        <v>0</v>
      </c>
      <c r="BP49" s="54">
        <v>0</v>
      </c>
      <c r="BQ49" s="11">
        <f t="shared" si="28"/>
        <v>-251950</v>
      </c>
      <c r="BR49" s="11">
        <f t="shared" si="29"/>
        <v>-251950</v>
      </c>
      <c r="BS49" s="54">
        <f>BP49</f>
        <v>0</v>
      </c>
      <c r="BT49" s="59">
        <f t="shared" si="30"/>
        <v>-251950</v>
      </c>
      <c r="BU49" s="59">
        <f t="shared" si="31"/>
        <v>-251950</v>
      </c>
      <c r="BV49" s="59">
        <f t="shared" si="32"/>
        <v>0</v>
      </c>
      <c r="BW49" s="56">
        <v>251950</v>
      </c>
      <c r="BX49" s="11">
        <f t="shared" si="33"/>
        <v>0</v>
      </c>
      <c r="BY49" s="11">
        <f t="shared" si="34"/>
        <v>0</v>
      </c>
      <c r="BZ49" s="11">
        <f t="shared" si="35"/>
        <v>251950</v>
      </c>
      <c r="CA49" s="56">
        <v>251950</v>
      </c>
      <c r="CB49" s="11">
        <f t="shared" si="36"/>
        <v>0</v>
      </c>
      <c r="CC49" s="11">
        <f t="shared" si="37"/>
        <v>0</v>
      </c>
      <c r="CD49" s="11">
        <f t="shared" si="6"/>
        <v>251950</v>
      </c>
      <c r="CE49" s="11">
        <f t="shared" si="38"/>
        <v>0</v>
      </c>
      <c r="CF49" s="56">
        <v>251950</v>
      </c>
      <c r="CG49" s="11">
        <f t="shared" si="39"/>
        <v>0</v>
      </c>
      <c r="CH49" s="11">
        <f t="shared" si="40"/>
        <v>0</v>
      </c>
      <c r="CI49" s="11">
        <f t="shared" si="41"/>
        <v>251950</v>
      </c>
      <c r="CJ49" s="11">
        <f t="shared" si="42"/>
        <v>0</v>
      </c>
      <c r="CK49" s="56">
        <v>251950</v>
      </c>
      <c r="CL49" s="11">
        <f t="shared" si="7"/>
        <v>0</v>
      </c>
      <c r="CM49" s="11">
        <f t="shared" si="43"/>
        <v>0</v>
      </c>
      <c r="CN49" s="11">
        <f t="shared" si="44"/>
        <v>0</v>
      </c>
    </row>
    <row r="50" spans="1:92" ht="12.75" x14ac:dyDescent="0.2">
      <c r="A50" s="57" t="s">
        <v>207</v>
      </c>
      <c r="B50" s="29"/>
      <c r="C50" s="58" t="s">
        <v>215</v>
      </c>
      <c r="D50" s="31"/>
      <c r="E50" s="32"/>
      <c r="F50" s="32"/>
      <c r="G50" s="32"/>
      <c r="H50" s="33"/>
      <c r="I50" s="32"/>
      <c r="J50" s="33"/>
      <c r="K50" s="33"/>
      <c r="L50" s="33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35"/>
      <c r="Y50" s="35"/>
      <c r="Z50" s="36"/>
      <c r="AA50" s="36"/>
      <c r="AB50" s="36"/>
      <c r="AC50" s="36"/>
      <c r="AD50" s="37"/>
      <c r="AE50" s="36"/>
      <c r="AF50" s="36"/>
      <c r="AG50" s="36"/>
      <c r="AH50" s="38"/>
      <c r="AI50" s="38"/>
      <c r="AJ50" s="36"/>
      <c r="AK50" s="36"/>
      <c r="AL50" s="36"/>
      <c r="AM50" s="37"/>
      <c r="AN50" s="37"/>
      <c r="AO50" s="37"/>
      <c r="AP50" s="36"/>
      <c r="AQ50" s="36"/>
      <c r="AR50" s="36"/>
      <c r="AS50" s="36"/>
      <c r="AT50" s="36"/>
      <c r="AU50" s="36"/>
      <c r="AV50" s="36"/>
      <c r="AW50" s="36"/>
      <c r="AX50" s="36"/>
      <c r="AY50" s="37"/>
      <c r="AZ50" s="37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11"/>
      <c r="BL50" s="36"/>
      <c r="BM50" s="36"/>
      <c r="BN50" s="54"/>
      <c r="BO50" s="37"/>
      <c r="BP50" s="54"/>
      <c r="BQ50" s="11"/>
      <c r="BR50" s="11"/>
      <c r="BS50" s="54"/>
      <c r="BT50" s="59"/>
      <c r="BU50" s="59"/>
      <c r="BV50" s="59"/>
      <c r="BW50" s="56"/>
      <c r="BX50" s="11"/>
      <c r="BY50" s="11"/>
      <c r="BZ50" s="11"/>
      <c r="CA50" s="56">
        <v>200000</v>
      </c>
      <c r="CB50" s="11">
        <f t="shared" ref="CB50" si="56">CA50-BM50</f>
        <v>200000</v>
      </c>
      <c r="CC50" s="11">
        <f t="shared" ref="CC50" si="57">CA50-BN50</f>
        <v>200000</v>
      </c>
      <c r="CD50" s="11">
        <f t="shared" ref="CD50" si="58">CA50-BS50</f>
        <v>200000</v>
      </c>
      <c r="CE50" s="11">
        <f t="shared" ref="CE50" si="59">CA50-BW50</f>
        <v>200000</v>
      </c>
      <c r="CF50" s="56">
        <v>125000</v>
      </c>
      <c r="CG50" s="11">
        <f t="shared" si="39"/>
        <v>125000</v>
      </c>
      <c r="CH50" s="11">
        <f t="shared" si="40"/>
        <v>125000</v>
      </c>
      <c r="CI50" s="11">
        <f t="shared" si="41"/>
        <v>125000</v>
      </c>
      <c r="CJ50" s="11">
        <f t="shared" si="42"/>
        <v>-75000</v>
      </c>
      <c r="CK50" s="56">
        <v>125000</v>
      </c>
      <c r="CL50" s="11">
        <f t="shared" si="7"/>
        <v>125000</v>
      </c>
      <c r="CM50" s="11">
        <f t="shared" si="43"/>
        <v>125000</v>
      </c>
      <c r="CN50" s="11">
        <f t="shared" si="44"/>
        <v>0</v>
      </c>
    </row>
    <row r="51" spans="1:92" ht="12.75" x14ac:dyDescent="0.2">
      <c r="A51" s="52" t="s">
        <v>171</v>
      </c>
      <c r="B51" s="30"/>
      <c r="C51" s="13"/>
      <c r="D51" s="41">
        <f t="shared" ref="D51:L51" si="60">SUM(D9:D48)</f>
        <v>4291565177</v>
      </c>
      <c r="E51" s="42">
        <f t="shared" si="60"/>
        <v>4551124520</v>
      </c>
      <c r="F51" s="42">
        <f t="shared" si="60"/>
        <v>4100990904</v>
      </c>
      <c r="G51" s="42">
        <f t="shared" si="60"/>
        <v>4310153596</v>
      </c>
      <c r="H51" s="43">
        <f t="shared" si="60"/>
        <v>-2250000</v>
      </c>
      <c r="I51" s="42">
        <f t="shared" si="60"/>
        <v>4307903596</v>
      </c>
      <c r="J51" s="43">
        <f t="shared" si="60"/>
        <v>-13378636</v>
      </c>
      <c r="K51" s="43">
        <f t="shared" si="60"/>
        <v>0</v>
      </c>
      <c r="L51" s="43">
        <f t="shared" si="60"/>
        <v>-13378636</v>
      </c>
      <c r="M51" s="44">
        <f t="shared" ref="M51:AR51" si="61">SUM(M9:M49)</f>
        <v>4294524960</v>
      </c>
      <c r="N51" s="44">
        <f t="shared" si="61"/>
        <v>4475708972</v>
      </c>
      <c r="O51" s="44">
        <f t="shared" si="61"/>
        <v>4278073976</v>
      </c>
      <c r="P51" s="44">
        <f t="shared" si="61"/>
        <v>4275882835</v>
      </c>
      <c r="Q51" s="44">
        <f t="shared" si="61"/>
        <v>4292443683</v>
      </c>
      <c r="R51" s="44">
        <f t="shared" si="61"/>
        <v>4290394190</v>
      </c>
      <c r="S51" s="44">
        <f t="shared" si="61"/>
        <v>4.5271800000000004</v>
      </c>
      <c r="T51" s="44">
        <f t="shared" si="61"/>
        <v>-25839554.999050006</v>
      </c>
      <c r="U51" s="44">
        <f t="shared" si="61"/>
        <v>4264554635.0009508</v>
      </c>
      <c r="V51" s="44">
        <f t="shared" si="61"/>
        <v>-29970324.999049995</v>
      </c>
      <c r="W51" s="44">
        <f t="shared" si="61"/>
        <v>4264601913</v>
      </c>
      <c r="X51" s="44">
        <f t="shared" si="61"/>
        <v>2000000</v>
      </c>
      <c r="Y51" s="44">
        <f t="shared" si="61"/>
        <v>4266601913</v>
      </c>
      <c r="Z51" s="44">
        <f t="shared" si="61"/>
        <v>4484465653</v>
      </c>
      <c r="AA51" s="44">
        <f t="shared" si="61"/>
        <v>219863740</v>
      </c>
      <c r="AB51" s="44">
        <f t="shared" si="61"/>
        <v>4480669977</v>
      </c>
      <c r="AC51" s="44">
        <f t="shared" si="61"/>
        <v>4486000305</v>
      </c>
      <c r="AD51" s="44">
        <f t="shared" si="61"/>
        <v>4448424876</v>
      </c>
      <c r="AE51" s="44">
        <f t="shared" si="61"/>
        <v>5330328</v>
      </c>
      <c r="AF51" s="44">
        <f t="shared" si="61"/>
        <v>219398392</v>
      </c>
      <c r="AG51" s="44">
        <f t="shared" si="61"/>
        <v>1534652</v>
      </c>
      <c r="AH51" s="44">
        <f t="shared" si="61"/>
        <v>4463917728</v>
      </c>
      <c r="AI51" s="44">
        <f t="shared" si="61"/>
        <v>4487041280</v>
      </c>
      <c r="AJ51" s="44">
        <f t="shared" si="61"/>
        <v>181822963</v>
      </c>
      <c r="AK51" s="44">
        <f t="shared" si="61"/>
        <v>-36040777</v>
      </c>
      <c r="AL51" s="44">
        <f t="shared" si="61"/>
        <v>-37575429</v>
      </c>
      <c r="AM51" s="44">
        <f t="shared" si="61"/>
        <v>197315815</v>
      </c>
      <c r="AN51" s="44">
        <f t="shared" si="61"/>
        <v>-20547925</v>
      </c>
      <c r="AO51" s="44">
        <f t="shared" si="61"/>
        <v>-22082577</v>
      </c>
      <c r="AP51" s="44">
        <f t="shared" si="61"/>
        <v>4487041280</v>
      </c>
      <c r="AQ51" s="44">
        <f t="shared" si="61"/>
        <v>220439367</v>
      </c>
      <c r="AR51" s="44">
        <f t="shared" si="61"/>
        <v>2575627</v>
      </c>
      <c r="AS51" s="44">
        <f t="shared" ref="AS51:AT51" si="62">SUM(AS9:AS49)</f>
        <v>220439367</v>
      </c>
      <c r="AT51" s="44">
        <f t="shared" si="62"/>
        <v>3000000</v>
      </c>
      <c r="AU51" s="44">
        <f>SUM(AU9:AU50)</f>
        <v>4490041280</v>
      </c>
      <c r="AV51" s="44">
        <f t="shared" ref="AV51:CE51" si="63">SUM(AV9:AV50)</f>
        <v>4647281619</v>
      </c>
      <c r="AW51" s="44">
        <f t="shared" si="63"/>
        <v>157240339</v>
      </c>
      <c r="AX51" s="44">
        <f t="shared" si="63"/>
        <v>4675077596</v>
      </c>
      <c r="AY51" s="44">
        <f t="shared" si="63"/>
        <v>185036316</v>
      </c>
      <c r="AZ51" s="44">
        <f t="shared" si="63"/>
        <v>27795977</v>
      </c>
      <c r="BA51" s="44">
        <f t="shared" si="63"/>
        <v>4682763339</v>
      </c>
      <c r="BB51" s="44">
        <f t="shared" si="63"/>
        <v>192722059</v>
      </c>
      <c r="BC51" s="44">
        <f t="shared" si="63"/>
        <v>35481720</v>
      </c>
      <c r="BD51" s="44">
        <f t="shared" si="63"/>
        <v>7685743</v>
      </c>
      <c r="BE51" s="44">
        <f t="shared" si="63"/>
        <v>4708480378</v>
      </c>
      <c r="BF51" s="44">
        <f t="shared" si="63"/>
        <v>4723601975</v>
      </c>
      <c r="BG51" s="44">
        <f t="shared" si="63"/>
        <v>4723601975</v>
      </c>
      <c r="BH51" s="44">
        <f t="shared" si="63"/>
        <v>233560695</v>
      </c>
      <c r="BI51" s="44">
        <f t="shared" si="63"/>
        <v>76320356</v>
      </c>
      <c r="BJ51" s="44">
        <f t="shared" si="63"/>
        <v>40838636</v>
      </c>
      <c r="BK51" s="44">
        <f t="shared" si="63"/>
        <v>15121597</v>
      </c>
      <c r="BL51" s="44">
        <f t="shared" si="63"/>
        <v>21677486</v>
      </c>
      <c r="BM51" s="44">
        <f t="shared" si="63"/>
        <v>4727674489</v>
      </c>
      <c r="BN51" s="44">
        <f t="shared" si="63"/>
        <v>4954764325</v>
      </c>
      <c r="BO51" s="44">
        <f t="shared" si="63"/>
        <v>227089836</v>
      </c>
      <c r="BP51" s="44">
        <f t="shared" si="63"/>
        <v>4806178326</v>
      </c>
      <c r="BQ51" s="44">
        <f t="shared" si="63"/>
        <v>78503837</v>
      </c>
      <c r="BR51" s="44">
        <f t="shared" si="63"/>
        <v>-148585999</v>
      </c>
      <c r="BS51" s="44">
        <f t="shared" si="63"/>
        <v>4822755174</v>
      </c>
      <c r="BT51" s="44">
        <f t="shared" si="63"/>
        <v>95080685</v>
      </c>
      <c r="BU51" s="44">
        <f t="shared" si="63"/>
        <v>-132009151</v>
      </c>
      <c r="BV51" s="44">
        <f t="shared" si="63"/>
        <v>16576848</v>
      </c>
      <c r="BW51" s="44">
        <f t="shared" si="63"/>
        <v>4862516920</v>
      </c>
      <c r="BX51" s="44">
        <f t="shared" si="63"/>
        <v>134842431</v>
      </c>
      <c r="BY51" s="44">
        <f t="shared" si="63"/>
        <v>-92247405</v>
      </c>
      <c r="BZ51" s="44">
        <f t="shared" si="63"/>
        <v>39761746</v>
      </c>
      <c r="CA51" s="44">
        <f t="shared" si="63"/>
        <v>4872261601</v>
      </c>
      <c r="CB51" s="44">
        <f t="shared" si="63"/>
        <v>144587112</v>
      </c>
      <c r="CC51" s="44">
        <f t="shared" si="63"/>
        <v>-82502724</v>
      </c>
      <c r="CD51" s="44">
        <f t="shared" si="63"/>
        <v>49506427</v>
      </c>
      <c r="CE51" s="44">
        <f t="shared" si="63"/>
        <v>9744681</v>
      </c>
      <c r="CF51" s="44">
        <f t="shared" ref="CF51:CJ51" si="64">SUM(CF9:CF50)</f>
        <v>4874766789</v>
      </c>
      <c r="CG51" s="44">
        <f t="shared" si="64"/>
        <v>147092300</v>
      </c>
      <c r="CH51" s="44">
        <f t="shared" si="64"/>
        <v>-79997536</v>
      </c>
      <c r="CI51" s="44">
        <f t="shared" si="64"/>
        <v>52011615</v>
      </c>
      <c r="CJ51" s="44">
        <f t="shared" si="64"/>
        <v>2505188</v>
      </c>
      <c r="CK51" s="44">
        <f>SUM(CK9:CK50)</f>
        <v>4874766789</v>
      </c>
      <c r="CL51" s="44">
        <f t="shared" ref="CL51:CN51" si="65">SUM(CL9:CL50)</f>
        <v>147092300</v>
      </c>
      <c r="CM51" s="44">
        <f t="shared" si="65"/>
        <v>-79997536</v>
      </c>
      <c r="CN51" s="44">
        <f t="shared" si="65"/>
        <v>0</v>
      </c>
    </row>
    <row r="52" spans="1:92" ht="4.5" customHeight="1" x14ac:dyDescent="0.2">
      <c r="A52" s="2"/>
      <c r="B52" s="2"/>
      <c r="C52" s="3"/>
      <c r="D52" s="4"/>
      <c r="E52" s="48"/>
      <c r="F52" s="48"/>
      <c r="G52" s="48"/>
      <c r="H52" s="48"/>
      <c r="I52" s="48"/>
      <c r="J52" s="49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6"/>
      <c r="X52" s="46"/>
      <c r="Y52" s="46"/>
      <c r="Z52" s="46"/>
      <c r="AA52" s="50"/>
      <c r="AB52" s="46"/>
      <c r="AC52" s="46"/>
      <c r="AD52" s="51"/>
      <c r="AE52" s="46"/>
      <c r="AF52" s="46"/>
      <c r="AG52" s="46"/>
      <c r="AH52" s="46"/>
      <c r="AI52" s="46"/>
      <c r="AJ52" s="46"/>
      <c r="AK52" s="46"/>
      <c r="AL52" s="46"/>
      <c r="AM52" s="51"/>
      <c r="AN52" s="51"/>
      <c r="AO52" s="51"/>
      <c r="AP52" s="46"/>
      <c r="AQ52" s="46"/>
      <c r="AR52" s="46"/>
      <c r="AS52" s="46"/>
      <c r="AT52" s="46"/>
      <c r="AU52" s="46"/>
      <c r="AV52" s="51"/>
      <c r="AW52" s="46"/>
      <c r="AX52" s="46"/>
      <c r="AY52" s="51"/>
      <c r="AZ52" s="51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</row>
    <row r="66" spans="16:22" x14ac:dyDescent="0.2">
      <c r="P66" s="6"/>
      <c r="Q66" s="6"/>
      <c r="R66" s="6"/>
      <c r="S66" s="6"/>
      <c r="T66" s="6"/>
      <c r="U66" s="6"/>
      <c r="V66" s="6"/>
    </row>
  </sheetData>
  <mergeCells count="4">
    <mergeCell ref="A1:CK1"/>
    <mergeCell ref="A2:CK2"/>
    <mergeCell ref="B6:B8"/>
    <mergeCell ref="J5:L5"/>
  </mergeCells>
  <phoneticPr fontId="3" type="noConversion"/>
  <pageMargins left="0.2" right="0.2" top="0.5" bottom="0.5" header="0.18" footer="0.22"/>
  <pageSetup scale="75" orientation="landscape" r:id="rId1"/>
  <headerFooter alignWithMargins="0">
    <oddFooter>&amp;R&amp;8&amp;Z&amp;F Budget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BESE Document, Process and Timelines for FY2015 Budgte, Agenda Item 8, September 2013</dc:title>
  <dc:creator>ESE</dc:creator>
  <cp:lastModifiedBy>ESE</cp:lastModifiedBy>
  <cp:lastPrinted>2013-09-13T15:13:36Z</cp:lastPrinted>
  <dcterms:created xsi:type="dcterms:W3CDTF">2003-04-23T14:43:01Z</dcterms:created>
  <dcterms:modified xsi:type="dcterms:W3CDTF">2013-09-19T21:34:52Z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19 2013</vt:lpwstr>
  </property>
</Properties>
</file>