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965" windowWidth="20700" windowHeight="11655" tabRatio="702"/>
  </bookViews>
  <sheets>
    <sheet name="Sheet1" sheetId="5" r:id="rId1"/>
  </sheets>
  <definedNames>
    <definedName name="_xlnm._FilterDatabase" localSheetId="0" hidden="1">Sheet1!$A$7:$EH$58</definedName>
    <definedName name="_xlnm.Print_Area" localSheetId="0">Sheet1!$A$1:$FB$58</definedName>
    <definedName name="_xlnm.Print_Titles" localSheetId="0">Sheet1!$1:$8</definedName>
  </definedNames>
  <calcPr calcId="145621"/>
</workbook>
</file>

<file path=xl/calcChain.xml><?xml version="1.0" encoding="utf-8"?>
<calcChain xmlns="http://schemas.openxmlformats.org/spreadsheetml/2006/main">
  <c r="FB10" i="5" l="1"/>
  <c r="FB11" i="5"/>
  <c r="FB12" i="5"/>
  <c r="FB13" i="5"/>
  <c r="FB14" i="5"/>
  <c r="FB16" i="5"/>
  <c r="FB17" i="5"/>
  <c r="FB19" i="5"/>
  <c r="FB20" i="5"/>
  <c r="FB21" i="5"/>
  <c r="FB22" i="5"/>
  <c r="FB24" i="5"/>
  <c r="FB25" i="5"/>
  <c r="FB26" i="5"/>
  <c r="FB27" i="5"/>
  <c r="FB28" i="5"/>
  <c r="FB31" i="5"/>
  <c r="FB32" i="5"/>
  <c r="FB33" i="5"/>
  <c r="FB34" i="5"/>
  <c r="FB35" i="5"/>
  <c r="FB36" i="5"/>
  <c r="FB37" i="5"/>
  <c r="FB38" i="5"/>
  <c r="FB39" i="5"/>
  <c r="FB40" i="5"/>
  <c r="FB41" i="5"/>
  <c r="FB43" i="5"/>
  <c r="FB44" i="5"/>
  <c r="FB45" i="5"/>
  <c r="FB46" i="5"/>
  <c r="FB48" i="5"/>
  <c r="FB49" i="5"/>
  <c r="FB50" i="5"/>
  <c r="FB51" i="5"/>
  <c r="FB52" i="5"/>
  <c r="FB53" i="5"/>
  <c r="FB54" i="5"/>
  <c r="FB56" i="5"/>
  <c r="FB57" i="5"/>
  <c r="FA10" i="5"/>
  <c r="FA11" i="5"/>
  <c r="FA12" i="5"/>
  <c r="FA13" i="5"/>
  <c r="FA14" i="5"/>
  <c r="FA16" i="5"/>
  <c r="FA17" i="5"/>
  <c r="FA19" i="5"/>
  <c r="FA20" i="5"/>
  <c r="FA22" i="5"/>
  <c r="FA24" i="5"/>
  <c r="FA25" i="5"/>
  <c r="FA26" i="5"/>
  <c r="FA27" i="5"/>
  <c r="FA28" i="5"/>
  <c r="FA31" i="5"/>
  <c r="FA32" i="5"/>
  <c r="FA33" i="5"/>
  <c r="FA34" i="5"/>
  <c r="FA35" i="5"/>
  <c r="FA36" i="5"/>
  <c r="FA37" i="5"/>
  <c r="FA38" i="5"/>
  <c r="FA39" i="5"/>
  <c r="FA40" i="5"/>
  <c r="FA41" i="5"/>
  <c r="FA43" i="5"/>
  <c r="FA44" i="5"/>
  <c r="FA45" i="5"/>
  <c r="FA46" i="5"/>
  <c r="FA48" i="5"/>
  <c r="FA49" i="5"/>
  <c r="FA50" i="5"/>
  <c r="FA51" i="5"/>
  <c r="FA52" i="5"/>
  <c r="FA53" i="5"/>
  <c r="FA54" i="5"/>
  <c r="FA56" i="5"/>
  <c r="EZ55" i="5"/>
  <c r="FA55" i="5" s="1"/>
  <c r="EZ47" i="5"/>
  <c r="FA47" i="5" s="1"/>
  <c r="EZ42" i="5"/>
  <c r="FA42" i="5" s="1"/>
  <c r="EZ18" i="5"/>
  <c r="FA18" i="5" s="1"/>
  <c r="EZ9" i="5"/>
  <c r="EZ30" i="5"/>
  <c r="FA30" i="5" s="1"/>
  <c r="EZ29" i="5"/>
  <c r="EZ23" i="5"/>
  <c r="FA23" i="5" s="1"/>
  <c r="EZ15" i="5"/>
  <c r="FA15" i="5" s="1"/>
  <c r="EX10" i="5"/>
  <c r="EY10" i="5"/>
  <c r="EX11" i="5"/>
  <c r="EY11" i="5"/>
  <c r="EX12" i="5"/>
  <c r="EY12" i="5"/>
  <c r="EX13" i="5"/>
  <c r="EY13" i="5"/>
  <c r="EX14" i="5"/>
  <c r="EY14" i="5"/>
  <c r="EX16" i="5"/>
  <c r="EY16" i="5"/>
  <c r="EX17" i="5"/>
  <c r="EY17" i="5"/>
  <c r="EX19" i="5"/>
  <c r="EY19" i="5"/>
  <c r="EX20" i="5"/>
  <c r="EY20" i="5"/>
  <c r="EY21" i="5"/>
  <c r="EX22" i="5"/>
  <c r="EY22" i="5"/>
  <c r="EX24" i="5"/>
  <c r="EY24" i="5"/>
  <c r="EX25" i="5"/>
  <c r="EY25" i="5"/>
  <c r="EX26" i="5"/>
  <c r="EY26" i="5"/>
  <c r="EX27" i="5"/>
  <c r="EY27" i="5"/>
  <c r="EX28" i="5"/>
  <c r="EY28" i="5"/>
  <c r="EX31" i="5"/>
  <c r="EY31" i="5"/>
  <c r="EX32" i="5"/>
  <c r="EY32" i="5"/>
  <c r="EX33" i="5"/>
  <c r="EY33" i="5"/>
  <c r="EX34" i="5"/>
  <c r="EY34" i="5"/>
  <c r="EX35" i="5"/>
  <c r="EY35" i="5"/>
  <c r="EX36" i="5"/>
  <c r="EY36" i="5"/>
  <c r="EX37" i="5"/>
  <c r="EY37" i="5"/>
  <c r="EX38" i="5"/>
  <c r="EY38" i="5"/>
  <c r="EX39" i="5"/>
  <c r="EY39" i="5"/>
  <c r="EX40" i="5"/>
  <c r="EY40" i="5"/>
  <c r="EX41" i="5"/>
  <c r="EY41" i="5"/>
  <c r="EX43" i="5"/>
  <c r="EY43" i="5"/>
  <c r="EX44" i="5"/>
  <c r="EY44" i="5"/>
  <c r="EX45" i="5"/>
  <c r="EY45" i="5"/>
  <c r="EX46" i="5"/>
  <c r="EY46" i="5"/>
  <c r="EX48" i="5"/>
  <c r="EY48" i="5"/>
  <c r="EX49" i="5"/>
  <c r="EY49" i="5"/>
  <c r="EX50" i="5"/>
  <c r="EY50" i="5"/>
  <c r="EX51" i="5"/>
  <c r="EY51" i="5"/>
  <c r="EX52" i="5"/>
  <c r="EY52" i="5"/>
  <c r="EX53" i="5"/>
  <c r="EY53" i="5"/>
  <c r="EX54" i="5"/>
  <c r="EY54" i="5"/>
  <c r="EX56" i="5"/>
  <c r="EY56" i="5"/>
  <c r="EX57" i="5"/>
  <c r="EY57" i="5"/>
  <c r="EW55" i="5"/>
  <c r="EY55" i="5" s="1"/>
  <c r="EW47" i="5"/>
  <c r="EY47" i="5" s="1"/>
  <c r="EW42" i="5"/>
  <c r="EY42" i="5" s="1"/>
  <c r="EW18" i="5"/>
  <c r="EY18" i="5" s="1"/>
  <c r="EW9" i="5"/>
  <c r="EY9" i="5" s="1"/>
  <c r="EW30" i="5"/>
  <c r="EX30" i="5" s="1"/>
  <c r="EW29" i="5"/>
  <c r="EW23" i="5"/>
  <c r="EW15" i="5"/>
  <c r="ES10" i="5"/>
  <c r="ES11" i="5"/>
  <c r="ES12" i="5"/>
  <c r="ES13" i="5"/>
  <c r="ES14" i="5"/>
  <c r="ES16" i="5"/>
  <c r="ES17" i="5"/>
  <c r="ES18" i="5"/>
  <c r="ES19" i="5"/>
  <c r="ES20" i="5"/>
  <c r="ES22" i="5"/>
  <c r="ES24" i="5"/>
  <c r="ES25" i="5"/>
  <c r="ES26" i="5"/>
  <c r="ES27" i="5"/>
  <c r="ES28" i="5"/>
  <c r="ES31" i="5"/>
  <c r="ES32" i="5"/>
  <c r="ES33" i="5"/>
  <c r="ES34" i="5"/>
  <c r="ES35" i="5"/>
  <c r="ES36" i="5"/>
  <c r="ES37" i="5"/>
  <c r="ES38" i="5"/>
  <c r="ES39" i="5"/>
  <c r="ES40" i="5"/>
  <c r="ES41" i="5"/>
  <c r="ES42" i="5"/>
  <c r="ES43" i="5"/>
  <c r="ES44" i="5"/>
  <c r="ES45" i="5"/>
  <c r="ES46" i="5"/>
  <c r="ES47" i="5"/>
  <c r="ES48" i="5"/>
  <c r="ES49" i="5"/>
  <c r="ES50" i="5"/>
  <c r="ES51" i="5"/>
  <c r="ES52" i="5"/>
  <c r="ES53" i="5"/>
  <c r="ES54" i="5"/>
  <c r="ES55" i="5"/>
  <c r="ES56" i="5"/>
  <c r="ES57" i="5"/>
  <c r="ES9" i="5"/>
  <c r="CR58" i="5"/>
  <c r="CS58" i="5"/>
  <c r="CX58" i="5"/>
  <c r="DG58" i="5"/>
  <c r="DN58" i="5"/>
  <c r="DP58" i="5"/>
  <c r="DQ58" i="5"/>
  <c r="DT58" i="5"/>
  <c r="DW21" i="5"/>
  <c r="ES21" i="5" s="1"/>
  <c r="EZ58" i="5" l="1"/>
  <c r="FB29" i="5"/>
  <c r="FA9" i="5"/>
  <c r="FA29" i="5"/>
  <c r="FA21" i="5"/>
  <c r="FB9" i="5"/>
  <c r="FB42" i="5"/>
  <c r="FB30" i="5"/>
  <c r="FB18" i="5"/>
  <c r="FB55" i="5"/>
  <c r="FB47" i="5"/>
  <c r="FB23" i="5"/>
  <c r="FB15" i="5"/>
  <c r="EX9" i="5"/>
  <c r="EX47" i="5"/>
  <c r="EX55" i="5"/>
  <c r="EX29" i="5"/>
  <c r="EX23" i="5"/>
  <c r="EX21" i="5"/>
  <c r="EX15" i="5"/>
  <c r="EX42" i="5"/>
  <c r="EX18" i="5"/>
  <c r="EW58" i="5"/>
  <c r="CT58" i="5"/>
  <c r="CU58" i="5" s="1"/>
  <c r="CV58" i="5" s="1"/>
  <c r="CW58" i="5" s="1"/>
  <c r="DW58" i="5"/>
  <c r="EV11" i="5"/>
  <c r="EV12" i="5"/>
  <c r="EV13" i="5"/>
  <c r="EV14" i="5"/>
  <c r="EV16" i="5"/>
  <c r="EV17" i="5"/>
  <c r="EV18" i="5"/>
  <c r="EV19" i="5"/>
  <c r="EV22" i="5"/>
  <c r="EV24" i="5"/>
  <c r="EV25" i="5"/>
  <c r="EV26" i="5"/>
  <c r="EV27" i="5"/>
  <c r="EV28" i="5"/>
  <c r="EV31" i="5"/>
  <c r="EV32" i="5"/>
  <c r="EV33" i="5"/>
  <c r="EV34" i="5"/>
  <c r="EV35" i="5"/>
  <c r="EV37" i="5"/>
  <c r="EV38" i="5"/>
  <c r="EV39" i="5"/>
  <c r="EV40" i="5"/>
  <c r="EV41" i="5"/>
  <c r="EV43" i="5"/>
  <c r="EV44" i="5"/>
  <c r="EV45" i="5"/>
  <c r="EV46" i="5"/>
  <c r="EV48" i="5"/>
  <c r="EV49" i="5"/>
  <c r="EV50" i="5"/>
  <c r="EV51" i="5"/>
  <c r="EV52" i="5"/>
  <c r="EV53" i="5"/>
  <c r="EV54" i="5"/>
  <c r="EV55" i="5"/>
  <c r="EV56" i="5"/>
  <c r="EV57" i="5"/>
  <c r="ET10" i="5"/>
  <c r="EU10" i="5"/>
  <c r="ET11" i="5"/>
  <c r="EU11" i="5"/>
  <c r="ET12" i="5"/>
  <c r="EU12" i="5"/>
  <c r="ET13" i="5"/>
  <c r="EU13" i="5"/>
  <c r="ET14" i="5"/>
  <c r="EU14" i="5"/>
  <c r="ET16" i="5"/>
  <c r="EU16" i="5"/>
  <c r="ET17" i="5"/>
  <c r="EU17" i="5"/>
  <c r="ET18" i="5"/>
  <c r="EU18" i="5"/>
  <c r="ET19" i="5"/>
  <c r="EU19" i="5"/>
  <c r="ET20" i="5"/>
  <c r="EU20" i="5"/>
  <c r="ET21" i="5"/>
  <c r="EU21" i="5"/>
  <c r="ET22" i="5"/>
  <c r="EU22" i="5"/>
  <c r="ET24" i="5"/>
  <c r="EU24" i="5"/>
  <c r="ET25" i="5"/>
  <c r="EU25" i="5"/>
  <c r="ET26" i="5"/>
  <c r="EU26" i="5"/>
  <c r="ET27" i="5"/>
  <c r="EU27" i="5"/>
  <c r="ET28" i="5"/>
  <c r="EU28" i="5"/>
  <c r="ET31" i="5"/>
  <c r="EU31" i="5"/>
  <c r="ET32" i="5"/>
  <c r="EU32" i="5"/>
  <c r="ET33" i="5"/>
  <c r="EU33" i="5"/>
  <c r="ET34" i="5"/>
  <c r="EU34" i="5"/>
  <c r="ET35" i="5"/>
  <c r="EU35" i="5"/>
  <c r="ET36" i="5"/>
  <c r="EU36" i="5"/>
  <c r="ET37" i="5"/>
  <c r="EU37" i="5"/>
  <c r="ET38" i="5"/>
  <c r="EU38" i="5"/>
  <c r="ET39" i="5"/>
  <c r="EU39" i="5"/>
  <c r="ET40" i="5"/>
  <c r="EU40" i="5"/>
  <c r="ET41" i="5"/>
  <c r="EU41" i="5"/>
  <c r="ET42" i="5"/>
  <c r="EU42" i="5"/>
  <c r="ET43" i="5"/>
  <c r="EU43" i="5"/>
  <c r="ET44" i="5"/>
  <c r="EU44" i="5"/>
  <c r="ET45" i="5"/>
  <c r="EU45" i="5"/>
  <c r="ET46" i="5"/>
  <c r="EU46" i="5"/>
  <c r="ET47" i="5"/>
  <c r="EU47" i="5"/>
  <c r="ET48" i="5"/>
  <c r="EU48" i="5"/>
  <c r="ET49" i="5"/>
  <c r="EU49" i="5"/>
  <c r="ET50" i="5"/>
  <c r="EU50" i="5"/>
  <c r="ET51" i="5"/>
  <c r="EU51" i="5"/>
  <c r="ET52" i="5"/>
  <c r="EU52" i="5"/>
  <c r="ET53" i="5"/>
  <c r="EU53" i="5"/>
  <c r="ET54" i="5"/>
  <c r="EU54" i="5"/>
  <c r="ET55" i="5"/>
  <c r="EU55" i="5"/>
  <c r="ET56" i="5"/>
  <c r="EU56" i="5"/>
  <c r="ET57" i="5"/>
  <c r="EU57" i="5"/>
  <c r="EU9" i="5"/>
  <c r="ET9" i="5"/>
  <c r="ER30" i="5"/>
  <c r="ER29" i="5"/>
  <c r="EY29" i="5" s="1"/>
  <c r="ER23" i="5"/>
  <c r="ES23" i="5" s="1"/>
  <c r="ER15" i="5"/>
  <c r="ES15" i="5" s="1"/>
  <c r="EM42" i="5"/>
  <c r="EV42" i="5" s="1"/>
  <c r="FB58" i="5" l="1"/>
  <c r="EX58" i="5"/>
  <c r="ES30" i="5"/>
  <c r="EY30" i="5"/>
  <c r="EY15" i="5"/>
  <c r="EY23" i="5"/>
  <c r="EU29" i="5"/>
  <c r="ES29" i="5"/>
  <c r="EU15" i="5"/>
  <c r="ET30" i="5"/>
  <c r="ET23" i="5"/>
  <c r="ET15" i="5"/>
  <c r="EU30" i="5"/>
  <c r="ET29" i="5"/>
  <c r="EU23" i="5"/>
  <c r="ER58" i="5"/>
  <c r="EP42" i="5"/>
  <c r="EM36" i="5"/>
  <c r="EO36" i="5" s="1"/>
  <c r="EQ11" i="5"/>
  <c r="EQ12" i="5"/>
  <c r="EQ13" i="5"/>
  <c r="EQ14" i="5"/>
  <c r="EQ16" i="5"/>
  <c r="EQ17" i="5"/>
  <c r="EQ18" i="5"/>
  <c r="EQ19" i="5"/>
  <c r="EQ22" i="5"/>
  <c r="EQ24" i="5"/>
  <c r="EQ25" i="5"/>
  <c r="EQ26" i="5"/>
  <c r="EQ27" i="5"/>
  <c r="EQ28" i="5"/>
  <c r="EQ31" i="5"/>
  <c r="EQ32" i="5"/>
  <c r="EQ33" i="5"/>
  <c r="EQ34" i="5"/>
  <c r="EQ35" i="5"/>
  <c r="EQ36" i="5"/>
  <c r="EQ37" i="5"/>
  <c r="EQ38" i="5"/>
  <c r="EQ39" i="5"/>
  <c r="EQ40" i="5"/>
  <c r="EQ41" i="5"/>
  <c r="EQ43" i="5"/>
  <c r="EQ44" i="5"/>
  <c r="EQ45" i="5"/>
  <c r="EQ46" i="5"/>
  <c r="EQ48" i="5"/>
  <c r="EQ49" i="5"/>
  <c r="EQ50" i="5"/>
  <c r="EQ51" i="5"/>
  <c r="EQ52" i="5"/>
  <c r="EQ53" i="5"/>
  <c r="EQ54" i="5"/>
  <c r="EQ55" i="5"/>
  <c r="EQ56" i="5"/>
  <c r="EQ57" i="5"/>
  <c r="EM20" i="5"/>
  <c r="EV20" i="5" s="1"/>
  <c r="EM47" i="5"/>
  <c r="EQ47" i="5" s="1"/>
  <c r="EM15" i="5"/>
  <c r="EV15" i="5" s="1"/>
  <c r="EM30" i="5"/>
  <c r="EO30" i="5" s="1"/>
  <c r="EO11" i="5"/>
  <c r="EP11" i="5"/>
  <c r="EO12" i="5"/>
  <c r="EP12" i="5"/>
  <c r="EO13" i="5"/>
  <c r="EP13" i="5"/>
  <c r="EO14" i="5"/>
  <c r="EP14" i="5"/>
  <c r="EO16" i="5"/>
  <c r="EP16" i="5"/>
  <c r="EO17" i="5"/>
  <c r="EP17" i="5"/>
  <c r="EO18" i="5"/>
  <c r="EP18" i="5"/>
  <c r="EO19" i="5"/>
  <c r="EP19" i="5"/>
  <c r="EO20" i="5"/>
  <c r="EO22" i="5"/>
  <c r="EP22" i="5"/>
  <c r="EO24" i="5"/>
  <c r="EP24" i="5"/>
  <c r="EO25" i="5"/>
  <c r="EP25" i="5"/>
  <c r="EO26" i="5"/>
  <c r="EP26" i="5"/>
  <c r="EO27" i="5"/>
  <c r="EP27" i="5"/>
  <c r="EO28" i="5"/>
  <c r="EP28" i="5"/>
  <c r="EO31" i="5"/>
  <c r="EP31" i="5"/>
  <c r="EO32" i="5"/>
  <c r="EP32" i="5"/>
  <c r="EN33" i="5"/>
  <c r="EO33" i="5"/>
  <c r="EP33" i="5"/>
  <c r="EN34" i="5"/>
  <c r="EO34" i="5"/>
  <c r="EP34" i="5"/>
  <c r="EO35" i="5"/>
  <c r="EP35" i="5"/>
  <c r="EO37" i="5"/>
  <c r="EP37" i="5"/>
  <c r="EO38" i="5"/>
  <c r="EP38" i="5"/>
  <c r="EO39" i="5"/>
  <c r="EP39" i="5"/>
  <c r="EO40" i="5"/>
  <c r="EP40" i="5"/>
  <c r="EO41" i="5"/>
  <c r="EP41" i="5"/>
  <c r="EO43" i="5"/>
  <c r="EP43" i="5"/>
  <c r="EO44" i="5"/>
  <c r="EP44" i="5"/>
  <c r="EO45" i="5"/>
  <c r="EP45" i="5"/>
  <c r="EO46" i="5"/>
  <c r="EP46" i="5"/>
  <c r="EO48" i="5"/>
  <c r="EP48" i="5"/>
  <c r="EO49" i="5"/>
  <c r="EP49" i="5"/>
  <c r="EO50" i="5"/>
  <c r="EP50" i="5"/>
  <c r="EO51" i="5"/>
  <c r="EP51" i="5"/>
  <c r="EO52" i="5"/>
  <c r="EP52" i="5"/>
  <c r="EO53" i="5"/>
  <c r="EP53" i="5"/>
  <c r="EO54" i="5"/>
  <c r="EP54" i="5"/>
  <c r="EO55" i="5"/>
  <c r="EP55" i="5"/>
  <c r="EN56" i="5"/>
  <c r="EO56" i="5"/>
  <c r="EP56" i="5"/>
  <c r="EN57" i="5"/>
  <c r="EO57" i="5"/>
  <c r="EP57" i="5"/>
  <c r="EM29" i="5"/>
  <c r="EV29" i="5" s="1"/>
  <c r="EM23" i="5"/>
  <c r="EP23" i="5" s="1"/>
  <c r="EM9" i="5"/>
  <c r="EV9" i="5" s="1"/>
  <c r="EM21" i="5"/>
  <c r="EV21" i="5" s="1"/>
  <c r="EM10" i="5"/>
  <c r="EV10" i="5" s="1"/>
  <c r="EK10" i="5"/>
  <c r="EL10" i="5"/>
  <c r="EK11" i="5"/>
  <c r="EL11" i="5"/>
  <c r="EK12" i="5"/>
  <c r="EL12" i="5"/>
  <c r="EK13" i="5"/>
  <c r="EL13" i="5"/>
  <c r="EK14" i="5"/>
  <c r="EL14" i="5"/>
  <c r="EK15" i="5"/>
  <c r="EL15" i="5"/>
  <c r="EK16" i="5"/>
  <c r="EL16" i="5"/>
  <c r="EK17" i="5"/>
  <c r="EL17" i="5"/>
  <c r="EK18" i="5"/>
  <c r="EL18" i="5"/>
  <c r="EK19" i="5"/>
  <c r="EL19" i="5"/>
  <c r="EK20" i="5"/>
  <c r="EL20" i="5"/>
  <c r="EK21" i="5"/>
  <c r="EL21" i="5"/>
  <c r="EK22" i="5"/>
  <c r="EL22" i="5"/>
  <c r="EK23" i="5"/>
  <c r="EL23" i="5"/>
  <c r="EK24" i="5"/>
  <c r="EL24" i="5"/>
  <c r="EK25" i="5"/>
  <c r="EL25" i="5"/>
  <c r="EK26" i="5"/>
  <c r="EL26" i="5"/>
  <c r="EK27" i="5"/>
  <c r="EL27" i="5"/>
  <c r="EK28" i="5"/>
  <c r="EL28" i="5"/>
  <c r="EK29" i="5"/>
  <c r="EL29" i="5"/>
  <c r="EK30" i="5"/>
  <c r="EL30" i="5"/>
  <c r="EK31" i="5"/>
  <c r="EL31" i="5"/>
  <c r="EK32" i="5"/>
  <c r="EL32" i="5"/>
  <c r="EJ33" i="5"/>
  <c r="EK33" i="5"/>
  <c r="EL33" i="5"/>
  <c r="EJ34" i="5"/>
  <c r="EK34" i="5"/>
  <c r="EL34" i="5"/>
  <c r="EK35" i="5"/>
  <c r="EL35" i="5"/>
  <c r="EK36" i="5"/>
  <c r="EL36" i="5"/>
  <c r="EK37" i="5"/>
  <c r="EL37" i="5"/>
  <c r="EK38" i="5"/>
  <c r="EL38" i="5"/>
  <c r="EK39" i="5"/>
  <c r="EL39" i="5"/>
  <c r="EK40" i="5"/>
  <c r="EL40" i="5"/>
  <c r="EK41" i="5"/>
  <c r="EL41" i="5"/>
  <c r="EK42" i="5"/>
  <c r="EL42" i="5"/>
  <c r="EK43" i="5"/>
  <c r="EL43" i="5"/>
  <c r="EK44" i="5"/>
  <c r="EL44" i="5"/>
  <c r="EK45" i="5"/>
  <c r="EL45" i="5"/>
  <c r="EK46" i="5"/>
  <c r="EL46" i="5"/>
  <c r="EK47" i="5"/>
  <c r="EL47" i="5"/>
  <c r="EK48" i="5"/>
  <c r="EL48" i="5"/>
  <c r="EK49" i="5"/>
  <c r="EL49" i="5"/>
  <c r="EK50" i="5"/>
  <c r="EL50" i="5"/>
  <c r="EK51" i="5"/>
  <c r="EL51" i="5"/>
  <c r="EK52" i="5"/>
  <c r="EL52" i="5"/>
  <c r="EK53" i="5"/>
  <c r="EL53" i="5"/>
  <c r="EK54" i="5"/>
  <c r="EL54" i="5"/>
  <c r="EK55" i="5"/>
  <c r="EL55" i="5"/>
  <c r="EJ57" i="5"/>
  <c r="EK57" i="5"/>
  <c r="EL57" i="5"/>
  <c r="EL9" i="5"/>
  <c r="EK9" i="5"/>
  <c r="EI58" i="5"/>
  <c r="EG10" i="5"/>
  <c r="EH10" i="5"/>
  <c r="EG11" i="5"/>
  <c r="EH11" i="5"/>
  <c r="EG12" i="5"/>
  <c r="EH12" i="5"/>
  <c r="EG13" i="5"/>
  <c r="EH13" i="5"/>
  <c r="EG14" i="5"/>
  <c r="EH14" i="5"/>
  <c r="EG15" i="5"/>
  <c r="EH15" i="5"/>
  <c r="EG16" i="5"/>
  <c r="EH16" i="5"/>
  <c r="EG17" i="5"/>
  <c r="EH17" i="5"/>
  <c r="EG18" i="5"/>
  <c r="EH18" i="5"/>
  <c r="EG19" i="5"/>
  <c r="EH19" i="5"/>
  <c r="EG20" i="5"/>
  <c r="EH20" i="5"/>
  <c r="EG21" i="5"/>
  <c r="EH21" i="5"/>
  <c r="EG22" i="5"/>
  <c r="EH22" i="5"/>
  <c r="EG23" i="5"/>
  <c r="EH23" i="5"/>
  <c r="EG24" i="5"/>
  <c r="EH24" i="5"/>
  <c r="EG25" i="5"/>
  <c r="EH25" i="5"/>
  <c r="EG26" i="5"/>
  <c r="EH26" i="5"/>
  <c r="EG27" i="5"/>
  <c r="EH27" i="5"/>
  <c r="EG28" i="5"/>
  <c r="EH28" i="5"/>
  <c r="EG29" i="5"/>
  <c r="EH29" i="5"/>
  <c r="EG30" i="5"/>
  <c r="EH30" i="5"/>
  <c r="EG31" i="5"/>
  <c r="EH31" i="5"/>
  <c r="EG32" i="5"/>
  <c r="EH32" i="5"/>
  <c r="EF33" i="5"/>
  <c r="EG33" i="5"/>
  <c r="EH33" i="5"/>
  <c r="EF34" i="5"/>
  <c r="EG34" i="5"/>
  <c r="EH34" i="5"/>
  <c r="EG35" i="5"/>
  <c r="EH35" i="5"/>
  <c r="EG36" i="5"/>
  <c r="EH36" i="5"/>
  <c r="EG37" i="5"/>
  <c r="EH37" i="5"/>
  <c r="EG38" i="5"/>
  <c r="EH38" i="5"/>
  <c r="EG39" i="5"/>
  <c r="EH39" i="5"/>
  <c r="EG40" i="5"/>
  <c r="EH40" i="5"/>
  <c r="EG41" i="5"/>
  <c r="EH41" i="5"/>
  <c r="EG42" i="5"/>
  <c r="EH42" i="5"/>
  <c r="EG43" i="5"/>
  <c r="EH43" i="5"/>
  <c r="EG44" i="5"/>
  <c r="EH44" i="5"/>
  <c r="EG45" i="5"/>
  <c r="EH45" i="5"/>
  <c r="EG46" i="5"/>
  <c r="EH46" i="5"/>
  <c r="EG47" i="5"/>
  <c r="EH47" i="5"/>
  <c r="EG48" i="5"/>
  <c r="EH48" i="5"/>
  <c r="EG49" i="5"/>
  <c r="EH49" i="5"/>
  <c r="EG50" i="5"/>
  <c r="EH50" i="5"/>
  <c r="EG51" i="5"/>
  <c r="EH51" i="5"/>
  <c r="EG52" i="5"/>
  <c r="EH52" i="5"/>
  <c r="EG53" i="5"/>
  <c r="EH53" i="5"/>
  <c r="EG54" i="5"/>
  <c r="EH54" i="5"/>
  <c r="EG55" i="5"/>
  <c r="EH55" i="5"/>
  <c r="EF57" i="5"/>
  <c r="EG57" i="5"/>
  <c r="EH57" i="5"/>
  <c r="EH9" i="5"/>
  <c r="EG9" i="5"/>
  <c r="ED58" i="5"/>
  <c r="EE58" i="5"/>
  <c r="EY58" i="5" l="1"/>
  <c r="EP20" i="5"/>
  <c r="EP15" i="5"/>
  <c r="EU58" i="5"/>
  <c r="EO15" i="5"/>
  <c r="EQ23" i="5"/>
  <c r="EV23" i="5"/>
  <c r="EO23" i="5"/>
  <c r="EQ20" i="5"/>
  <c r="EO10" i="5"/>
  <c r="EP10" i="5"/>
  <c r="EO29" i="5"/>
  <c r="EP9" i="5"/>
  <c r="EP29" i="5"/>
  <c r="EP21" i="5"/>
  <c r="EQ30" i="5"/>
  <c r="EQ10" i="5"/>
  <c r="EV30" i="5"/>
  <c r="EP47" i="5"/>
  <c r="EV47" i="5"/>
  <c r="EO9" i="5"/>
  <c r="EQ15" i="5"/>
  <c r="EP36" i="5"/>
  <c r="EV36" i="5"/>
  <c r="EO21" i="5"/>
  <c r="EQ9" i="5"/>
  <c r="EQ29" i="5"/>
  <c r="EQ21" i="5"/>
  <c r="ET58" i="5"/>
  <c r="EO42" i="5"/>
  <c r="EQ42" i="5"/>
  <c r="EO47" i="5"/>
  <c r="EP30" i="5"/>
  <c r="EM58" i="5"/>
  <c r="EK58" i="5"/>
  <c r="EL58" i="5"/>
  <c r="EH58" i="5"/>
  <c r="EG58" i="5"/>
  <c r="EA58" i="5"/>
  <c r="DX58" i="5"/>
  <c r="EC10" i="5"/>
  <c r="EC11" i="5"/>
  <c r="EC12" i="5"/>
  <c r="EC13" i="5"/>
  <c r="EC14" i="5"/>
  <c r="EC15" i="5"/>
  <c r="EC16" i="5"/>
  <c r="EC17" i="5"/>
  <c r="EC18" i="5"/>
  <c r="EC19" i="5"/>
  <c r="EC20" i="5"/>
  <c r="EC21" i="5"/>
  <c r="EC22" i="5"/>
  <c r="EC23" i="5"/>
  <c r="EC24" i="5"/>
  <c r="EC25" i="5"/>
  <c r="EC26" i="5"/>
  <c r="EC27" i="5"/>
  <c r="EC28" i="5"/>
  <c r="EC29" i="5"/>
  <c r="EC30" i="5"/>
  <c r="EC31" i="5"/>
  <c r="EC32" i="5"/>
  <c r="EB33" i="5"/>
  <c r="EC33" i="5"/>
  <c r="EB34" i="5"/>
  <c r="EC34" i="5"/>
  <c r="EC35" i="5"/>
  <c r="EC36" i="5"/>
  <c r="EC37" i="5"/>
  <c r="EC38" i="5"/>
  <c r="EC39" i="5"/>
  <c r="EC40" i="5"/>
  <c r="EC41" i="5"/>
  <c r="EC42" i="5"/>
  <c r="EC43" i="5"/>
  <c r="EC44" i="5"/>
  <c r="EC45" i="5"/>
  <c r="EC46" i="5"/>
  <c r="EC47" i="5"/>
  <c r="EC48" i="5"/>
  <c r="EC49" i="5"/>
  <c r="EC50" i="5"/>
  <c r="EC51" i="5"/>
  <c r="EC52" i="5"/>
  <c r="EC53" i="5"/>
  <c r="EC54" i="5"/>
  <c r="EC55" i="5"/>
  <c r="EB57" i="5"/>
  <c r="EC57" i="5"/>
  <c r="EC9" i="5"/>
  <c r="EV58" i="5" l="1"/>
  <c r="EP58" i="5"/>
  <c r="EQ58" i="5"/>
  <c r="EO58" i="5"/>
  <c r="EC58" i="5"/>
  <c r="DZ57" i="5"/>
  <c r="FA57" i="5" s="1"/>
  <c r="FA58" i="5" s="1"/>
  <c r="DZ33" i="5"/>
  <c r="DZ34" i="5"/>
  <c r="DY58" i="5"/>
  <c r="DR10" i="5" l="1"/>
  <c r="DS10" i="5" s="1"/>
  <c r="DR11" i="5"/>
  <c r="DU11" i="5" s="1"/>
  <c r="DR12" i="5"/>
  <c r="DU12" i="5" s="1"/>
  <c r="DR13" i="5"/>
  <c r="DU13" i="5" s="1"/>
  <c r="DR14" i="5"/>
  <c r="DS14" i="5" s="1"/>
  <c r="DR15" i="5"/>
  <c r="DU15" i="5" s="1"/>
  <c r="DR16" i="5"/>
  <c r="DU16" i="5" s="1"/>
  <c r="DR17" i="5"/>
  <c r="DS17" i="5" s="1"/>
  <c r="DR18" i="5"/>
  <c r="DS18" i="5" s="1"/>
  <c r="DR19" i="5"/>
  <c r="DU19" i="5" s="1"/>
  <c r="DR20" i="5"/>
  <c r="DU20" i="5" s="1"/>
  <c r="DR21" i="5"/>
  <c r="DU21" i="5" s="1"/>
  <c r="DR22" i="5"/>
  <c r="DS22" i="5" s="1"/>
  <c r="DR23" i="5"/>
  <c r="DU23" i="5" s="1"/>
  <c r="DR24" i="5"/>
  <c r="DU24" i="5" s="1"/>
  <c r="DR25" i="5"/>
  <c r="DS25" i="5" s="1"/>
  <c r="DR26" i="5"/>
  <c r="DS26" i="5" s="1"/>
  <c r="DR27" i="5"/>
  <c r="DU27" i="5" s="1"/>
  <c r="DR28" i="5"/>
  <c r="DU28" i="5" s="1"/>
  <c r="DR29" i="5"/>
  <c r="DS29" i="5" s="1"/>
  <c r="DR30" i="5"/>
  <c r="DU30" i="5" s="1"/>
  <c r="DR31" i="5"/>
  <c r="DU31" i="5" s="1"/>
  <c r="DR32" i="5"/>
  <c r="DU32" i="5" s="1"/>
  <c r="DR35" i="5"/>
  <c r="DS35" i="5" s="1"/>
  <c r="DR36" i="5"/>
  <c r="DU36" i="5" s="1"/>
  <c r="DR37" i="5"/>
  <c r="DU37" i="5" s="1"/>
  <c r="DR38" i="5"/>
  <c r="DU38" i="5" s="1"/>
  <c r="DR39" i="5"/>
  <c r="DS39" i="5" s="1"/>
  <c r="DR40" i="5"/>
  <c r="DS40" i="5" s="1"/>
  <c r="DR41" i="5"/>
  <c r="DU41" i="5" s="1"/>
  <c r="DR42" i="5"/>
  <c r="DU42" i="5" s="1"/>
  <c r="DR43" i="5"/>
  <c r="DS43" i="5" s="1"/>
  <c r="DR44" i="5"/>
  <c r="DS44" i="5" s="1"/>
  <c r="DR45" i="5"/>
  <c r="DU45" i="5" s="1"/>
  <c r="DR46" i="5"/>
  <c r="DU46" i="5" s="1"/>
  <c r="DR47" i="5"/>
  <c r="DS47" i="5" s="1"/>
  <c r="DR48" i="5"/>
  <c r="DU48" i="5" s="1"/>
  <c r="DR49" i="5"/>
  <c r="DU49" i="5" s="1"/>
  <c r="DR50" i="5"/>
  <c r="DU50" i="5" s="1"/>
  <c r="DR51" i="5"/>
  <c r="DS51" i="5" s="1"/>
  <c r="DR52" i="5"/>
  <c r="DU52" i="5" s="1"/>
  <c r="DR53" i="5"/>
  <c r="DU53" i="5" s="1"/>
  <c r="DR54" i="5"/>
  <c r="DU54" i="5" s="1"/>
  <c r="DR55" i="5"/>
  <c r="DS55" i="5" s="1"/>
  <c r="DR9" i="5"/>
  <c r="DO10" i="5"/>
  <c r="DO11" i="5"/>
  <c r="DO12" i="5"/>
  <c r="DO13" i="5"/>
  <c r="DO14" i="5"/>
  <c r="DO15" i="5"/>
  <c r="DO17" i="5"/>
  <c r="DO18" i="5"/>
  <c r="DO19" i="5"/>
  <c r="DO20" i="5"/>
  <c r="DO21" i="5"/>
  <c r="DO22" i="5"/>
  <c r="DO23" i="5"/>
  <c r="DO24" i="5"/>
  <c r="DO25" i="5"/>
  <c r="DO26" i="5"/>
  <c r="DO28" i="5"/>
  <c r="DO29" i="5"/>
  <c r="DO30" i="5"/>
  <c r="DO31" i="5"/>
  <c r="DO32" i="5"/>
  <c r="DO35" i="5"/>
  <c r="DO37" i="5"/>
  <c r="DO38" i="5"/>
  <c r="DO39" i="5"/>
  <c r="DO40" i="5"/>
  <c r="DO42" i="5"/>
  <c r="DO43" i="5"/>
  <c r="DO44" i="5"/>
  <c r="DO45" i="5"/>
  <c r="DO46" i="5"/>
  <c r="DO47" i="5"/>
  <c r="DO48" i="5"/>
  <c r="DO49" i="5"/>
  <c r="DO50" i="5"/>
  <c r="DO51" i="5"/>
  <c r="DO52" i="5"/>
  <c r="DO53" i="5"/>
  <c r="DO54" i="5"/>
  <c r="DO55" i="5"/>
  <c r="DM10" i="5"/>
  <c r="DM11" i="5"/>
  <c r="DM12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5" i="5"/>
  <c r="DM36" i="5"/>
  <c r="DM37" i="5"/>
  <c r="DM38" i="5"/>
  <c r="DM39" i="5"/>
  <c r="DM40" i="5"/>
  <c r="DM42" i="5"/>
  <c r="DM43" i="5"/>
  <c r="DM44" i="5"/>
  <c r="DM45" i="5"/>
  <c r="DM46" i="5"/>
  <c r="DM47" i="5"/>
  <c r="DM48" i="5"/>
  <c r="DM49" i="5"/>
  <c r="DM50" i="5"/>
  <c r="DM51" i="5"/>
  <c r="DM52" i="5"/>
  <c r="DM53" i="5"/>
  <c r="DM54" i="5"/>
  <c r="DM55" i="5"/>
  <c r="DL9" i="5"/>
  <c r="DL58" i="5" s="1"/>
  <c r="CK36" i="5"/>
  <c r="DH36" i="5" s="1"/>
  <c r="DK10" i="5"/>
  <c r="DK11" i="5"/>
  <c r="DK12" i="5"/>
  <c r="DK13" i="5"/>
  <c r="DK14" i="5"/>
  <c r="DK15" i="5"/>
  <c r="DK16" i="5"/>
  <c r="DK17" i="5"/>
  <c r="DK18" i="5"/>
  <c r="DK19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5" i="5"/>
  <c r="DK36" i="5"/>
  <c r="DK37" i="5"/>
  <c r="DK38" i="5"/>
  <c r="DK39" i="5"/>
  <c r="DK40" i="5"/>
  <c r="DK42" i="5"/>
  <c r="DK43" i="5"/>
  <c r="DK44" i="5"/>
  <c r="DK45" i="5"/>
  <c r="DK46" i="5"/>
  <c r="DK47" i="5"/>
  <c r="DK48" i="5"/>
  <c r="DK49" i="5"/>
  <c r="DK50" i="5"/>
  <c r="DK51" i="5"/>
  <c r="DK52" i="5"/>
  <c r="DK53" i="5"/>
  <c r="DK54" i="5"/>
  <c r="DK55" i="5"/>
  <c r="DK9" i="5"/>
  <c r="DJ13" i="5"/>
  <c r="DJ14" i="5"/>
  <c r="DI10" i="5"/>
  <c r="DI11" i="5"/>
  <c r="DI13" i="5"/>
  <c r="DI14" i="5"/>
  <c r="DI15" i="5"/>
  <c r="DI16" i="5"/>
  <c r="DI17" i="5"/>
  <c r="DI18" i="5"/>
  <c r="DI19" i="5"/>
  <c r="DI20" i="5"/>
  <c r="DI21" i="5"/>
  <c r="DI22" i="5"/>
  <c r="DI24" i="5"/>
  <c r="DI25" i="5"/>
  <c r="DI26" i="5"/>
  <c r="DI27" i="5"/>
  <c r="DI28" i="5"/>
  <c r="DI29" i="5"/>
  <c r="DI30" i="5"/>
  <c r="DI31" i="5"/>
  <c r="DI32" i="5"/>
  <c r="DI37" i="5"/>
  <c r="DI38" i="5"/>
  <c r="DI39" i="5"/>
  <c r="DI43" i="5"/>
  <c r="DI44" i="5"/>
  <c r="DI45" i="5"/>
  <c r="DI46" i="5"/>
  <c r="DI48" i="5"/>
  <c r="DI49" i="5"/>
  <c r="DI50" i="5"/>
  <c r="DI52" i="5"/>
  <c r="DI53" i="5"/>
  <c r="DI55" i="5"/>
  <c r="DI9" i="5"/>
  <c r="DH10" i="5"/>
  <c r="DH11" i="5"/>
  <c r="DH12" i="5"/>
  <c r="DH13" i="5"/>
  <c r="DH14" i="5"/>
  <c r="DH15" i="5"/>
  <c r="DH17" i="5"/>
  <c r="DH18" i="5"/>
  <c r="DH19" i="5"/>
  <c r="DH20" i="5"/>
  <c r="DH21" i="5"/>
  <c r="DH22" i="5"/>
  <c r="DH23" i="5"/>
  <c r="DH24" i="5"/>
  <c r="DH25" i="5"/>
  <c r="DH26" i="5"/>
  <c r="DH28" i="5"/>
  <c r="DH29" i="5"/>
  <c r="DH30" i="5"/>
  <c r="DH31" i="5"/>
  <c r="DH32" i="5"/>
  <c r="DH35" i="5"/>
  <c r="DH37" i="5"/>
  <c r="DH38" i="5"/>
  <c r="DH39" i="5"/>
  <c r="DH40" i="5"/>
  <c r="DH42" i="5"/>
  <c r="DH43" i="5"/>
  <c r="DH44" i="5"/>
  <c r="DH45" i="5"/>
  <c r="DH46" i="5"/>
  <c r="DH47" i="5"/>
  <c r="DH48" i="5"/>
  <c r="DH49" i="5"/>
  <c r="DH50" i="5"/>
  <c r="DH51" i="5"/>
  <c r="DH52" i="5"/>
  <c r="DH53" i="5"/>
  <c r="DH54" i="5"/>
  <c r="DH55" i="5"/>
  <c r="DB20" i="5"/>
  <c r="DU9" i="5" l="1"/>
  <c r="EJ9" i="5" s="1"/>
  <c r="DR58" i="5"/>
  <c r="DK20" i="5"/>
  <c r="DK58" i="5" s="1"/>
  <c r="DB58" i="5"/>
  <c r="DS21" i="5"/>
  <c r="EJ13" i="5"/>
  <c r="EN13" i="5"/>
  <c r="EJ52" i="5"/>
  <c r="EN52" i="5"/>
  <c r="EJ48" i="5"/>
  <c r="EN48" i="5"/>
  <c r="EJ36" i="5"/>
  <c r="EN36" i="5"/>
  <c r="EJ30" i="5"/>
  <c r="EN30" i="5"/>
  <c r="EJ53" i="5"/>
  <c r="EN53" i="5"/>
  <c r="EJ49" i="5"/>
  <c r="EN49" i="5"/>
  <c r="EJ45" i="5"/>
  <c r="EN45" i="5"/>
  <c r="EJ41" i="5"/>
  <c r="EN41" i="5"/>
  <c r="EJ37" i="5"/>
  <c r="EN37" i="5"/>
  <c r="EJ31" i="5"/>
  <c r="EN31" i="5"/>
  <c r="EN27" i="5"/>
  <c r="EJ23" i="5"/>
  <c r="EN23" i="5"/>
  <c r="EJ19" i="5"/>
  <c r="EN19" i="5"/>
  <c r="EJ15" i="5"/>
  <c r="EN15" i="5"/>
  <c r="EN11" i="5"/>
  <c r="EJ54" i="5"/>
  <c r="EN54" i="5"/>
  <c r="EJ50" i="5"/>
  <c r="EN50" i="5"/>
  <c r="EJ46" i="5"/>
  <c r="EN46" i="5"/>
  <c r="EJ42" i="5"/>
  <c r="EN42" i="5"/>
  <c r="EJ38" i="5"/>
  <c r="EN38" i="5"/>
  <c r="EJ32" i="5"/>
  <c r="EN32" i="5"/>
  <c r="EJ28" i="5"/>
  <c r="EN28" i="5"/>
  <c r="EJ24" i="5"/>
  <c r="EN24" i="5"/>
  <c r="EJ20" i="5"/>
  <c r="EN20" i="5"/>
  <c r="EN16" i="5"/>
  <c r="EJ12" i="5"/>
  <c r="EN12" i="5"/>
  <c r="EF27" i="5"/>
  <c r="EJ27" i="5"/>
  <c r="EF11" i="5"/>
  <c r="EJ11" i="5"/>
  <c r="EF16" i="5"/>
  <c r="EJ16" i="5"/>
  <c r="EB13" i="5"/>
  <c r="EF13" i="5"/>
  <c r="EB52" i="5"/>
  <c r="EF52" i="5"/>
  <c r="EB48" i="5"/>
  <c r="EF48" i="5"/>
  <c r="EB36" i="5"/>
  <c r="EF36" i="5"/>
  <c r="EB30" i="5"/>
  <c r="EF30" i="5"/>
  <c r="EB53" i="5"/>
  <c r="EF53" i="5"/>
  <c r="EB49" i="5"/>
  <c r="EF49" i="5"/>
  <c r="EB45" i="5"/>
  <c r="EF45" i="5"/>
  <c r="EB41" i="5"/>
  <c r="EF41" i="5"/>
  <c r="EB37" i="5"/>
  <c r="EF37" i="5"/>
  <c r="EB31" i="5"/>
  <c r="EF31" i="5"/>
  <c r="EB23" i="5"/>
  <c r="EF23" i="5"/>
  <c r="EB19" i="5"/>
  <c r="EF19" i="5"/>
  <c r="EB15" i="5"/>
  <c r="EF15" i="5"/>
  <c r="EB54" i="5"/>
  <c r="EF54" i="5"/>
  <c r="EB50" i="5"/>
  <c r="EF50" i="5"/>
  <c r="EB46" i="5"/>
  <c r="EF46" i="5"/>
  <c r="EB42" i="5"/>
  <c r="EF42" i="5"/>
  <c r="EB38" i="5"/>
  <c r="EF38" i="5"/>
  <c r="EB32" i="5"/>
  <c r="EF32" i="5"/>
  <c r="EB28" i="5"/>
  <c r="EF28" i="5"/>
  <c r="EB24" i="5"/>
  <c r="EF24" i="5"/>
  <c r="EB20" i="5"/>
  <c r="EF20" i="5"/>
  <c r="EB12" i="5"/>
  <c r="EF12" i="5"/>
  <c r="DZ9" i="5"/>
  <c r="DZ27" i="5"/>
  <c r="EB27" i="5"/>
  <c r="DZ11" i="5"/>
  <c r="EB11" i="5"/>
  <c r="DZ16" i="5"/>
  <c r="EB16" i="5"/>
  <c r="DV30" i="5"/>
  <c r="DZ30" i="5"/>
  <c r="DV48" i="5"/>
  <c r="DZ48" i="5"/>
  <c r="DV52" i="5"/>
  <c r="DZ52" i="5"/>
  <c r="DV36" i="5"/>
  <c r="DZ36" i="5"/>
  <c r="DV54" i="5"/>
  <c r="DZ54" i="5"/>
  <c r="DV50" i="5"/>
  <c r="DZ50" i="5"/>
  <c r="DV46" i="5"/>
  <c r="DZ46" i="5"/>
  <c r="DV42" i="5"/>
  <c r="DZ42" i="5"/>
  <c r="DV38" i="5"/>
  <c r="DZ38" i="5"/>
  <c r="DV32" i="5"/>
  <c r="DZ32" i="5"/>
  <c r="DV28" i="5"/>
  <c r="DZ28" i="5"/>
  <c r="DV24" i="5"/>
  <c r="DZ24" i="5"/>
  <c r="DV20" i="5"/>
  <c r="DZ20" i="5"/>
  <c r="DV12" i="5"/>
  <c r="DZ12" i="5"/>
  <c r="DS48" i="5"/>
  <c r="DS30" i="5"/>
  <c r="DU40" i="5"/>
  <c r="DU22" i="5"/>
  <c r="DV13" i="5"/>
  <c r="DZ13" i="5"/>
  <c r="DS52" i="5"/>
  <c r="DS36" i="5"/>
  <c r="DU44" i="5"/>
  <c r="DU26" i="5"/>
  <c r="DU10" i="5"/>
  <c r="DU14" i="5"/>
  <c r="DV53" i="5"/>
  <c r="DZ53" i="5"/>
  <c r="DV49" i="5"/>
  <c r="DZ49" i="5"/>
  <c r="DV45" i="5"/>
  <c r="DZ45" i="5"/>
  <c r="DV41" i="5"/>
  <c r="DZ41" i="5"/>
  <c r="DV37" i="5"/>
  <c r="DZ37" i="5"/>
  <c r="DV31" i="5"/>
  <c r="DZ31" i="5"/>
  <c r="DV23" i="5"/>
  <c r="DZ23" i="5"/>
  <c r="DV19" i="5"/>
  <c r="DZ19" i="5"/>
  <c r="DV15" i="5"/>
  <c r="DZ15" i="5"/>
  <c r="DU18" i="5"/>
  <c r="DV11" i="5"/>
  <c r="DS13" i="5"/>
  <c r="DS53" i="5"/>
  <c r="DS49" i="5"/>
  <c r="DS45" i="5"/>
  <c r="DS41" i="5"/>
  <c r="DS37" i="5"/>
  <c r="DS31" i="5"/>
  <c r="DS23" i="5"/>
  <c r="DU55" i="5"/>
  <c r="DU51" i="5"/>
  <c r="DU47" i="5"/>
  <c r="DU43" i="5"/>
  <c r="DU39" i="5"/>
  <c r="DU35" i="5"/>
  <c r="DU29" i="5"/>
  <c r="DU25" i="5"/>
  <c r="EJ21" i="5"/>
  <c r="DU17" i="5"/>
  <c r="DS54" i="5"/>
  <c r="DS50" i="5"/>
  <c r="DS46" i="5"/>
  <c r="DS42" i="5"/>
  <c r="DS38" i="5"/>
  <c r="DS32" i="5"/>
  <c r="DS28" i="5"/>
  <c r="DS24" i="5"/>
  <c r="DS19" i="5"/>
  <c r="DS15" i="5"/>
  <c r="DS11" i="5"/>
  <c r="DS20" i="5"/>
  <c r="DS12" i="5"/>
  <c r="DO36" i="5"/>
  <c r="DM9" i="5"/>
  <c r="DM58" i="5" s="1"/>
  <c r="DC10" i="5"/>
  <c r="DD10" i="5"/>
  <c r="DF10" i="5"/>
  <c r="DC11" i="5"/>
  <c r="DD11" i="5"/>
  <c r="DF11" i="5"/>
  <c r="DC12" i="5"/>
  <c r="DF12" i="5"/>
  <c r="DC13" i="5"/>
  <c r="DD13" i="5"/>
  <c r="DE13" i="5"/>
  <c r="DF13" i="5"/>
  <c r="DC14" i="5"/>
  <c r="DD14" i="5"/>
  <c r="DE14" i="5"/>
  <c r="DF14" i="5"/>
  <c r="DC15" i="5"/>
  <c r="DD15" i="5"/>
  <c r="DF15" i="5"/>
  <c r="DD16" i="5"/>
  <c r="DF16" i="5"/>
  <c r="DC17" i="5"/>
  <c r="DD17" i="5"/>
  <c r="DF17" i="5"/>
  <c r="DC18" i="5"/>
  <c r="DD18" i="5"/>
  <c r="DF18" i="5"/>
  <c r="DC19" i="5"/>
  <c r="DD19" i="5"/>
  <c r="DF19" i="5"/>
  <c r="DC20" i="5"/>
  <c r="DD20" i="5"/>
  <c r="DF20" i="5"/>
  <c r="DC21" i="5"/>
  <c r="DD21" i="5"/>
  <c r="DF21" i="5"/>
  <c r="DC22" i="5"/>
  <c r="DD22" i="5"/>
  <c r="DF22" i="5"/>
  <c r="DC23" i="5"/>
  <c r="DF23" i="5"/>
  <c r="DC24" i="5"/>
  <c r="DD24" i="5"/>
  <c r="DF24" i="5"/>
  <c r="DC25" i="5"/>
  <c r="DD25" i="5"/>
  <c r="DF25" i="5"/>
  <c r="DC26" i="5"/>
  <c r="DD26" i="5"/>
  <c r="DF26" i="5"/>
  <c r="DD27" i="5"/>
  <c r="DF27" i="5"/>
  <c r="DC28" i="5"/>
  <c r="DD28" i="5"/>
  <c r="DF28" i="5"/>
  <c r="DC29" i="5"/>
  <c r="DD29" i="5"/>
  <c r="DF29" i="5"/>
  <c r="DC30" i="5"/>
  <c r="DD30" i="5"/>
  <c r="DF30" i="5"/>
  <c r="DC31" i="5"/>
  <c r="DD31" i="5"/>
  <c r="DF31" i="5"/>
  <c r="DC32" i="5"/>
  <c r="DD32" i="5"/>
  <c r="DF32" i="5"/>
  <c r="DC35" i="5"/>
  <c r="DF35" i="5"/>
  <c r="DC36" i="5"/>
  <c r="DF36" i="5"/>
  <c r="DC37" i="5"/>
  <c r="DD37" i="5"/>
  <c r="DF37" i="5"/>
  <c r="DC38" i="5"/>
  <c r="DD38" i="5"/>
  <c r="DF38" i="5"/>
  <c r="DC39" i="5"/>
  <c r="DD39" i="5"/>
  <c r="DF39" i="5"/>
  <c r="DC40" i="5"/>
  <c r="DF40" i="5"/>
  <c r="DC42" i="5"/>
  <c r="DF42" i="5"/>
  <c r="DC43" i="5"/>
  <c r="DD43" i="5"/>
  <c r="DF43" i="5"/>
  <c r="DC44" i="5"/>
  <c r="DD44" i="5"/>
  <c r="DF44" i="5"/>
  <c r="DC45" i="5"/>
  <c r="DD45" i="5"/>
  <c r="DF45" i="5"/>
  <c r="DC46" i="5"/>
  <c r="DD46" i="5"/>
  <c r="DF46" i="5"/>
  <c r="DC47" i="5"/>
  <c r="DF47" i="5"/>
  <c r="DC48" i="5"/>
  <c r="DD48" i="5"/>
  <c r="DF48" i="5"/>
  <c r="DC49" i="5"/>
  <c r="DD49" i="5"/>
  <c r="DF49" i="5"/>
  <c r="DC50" i="5"/>
  <c r="DD50" i="5"/>
  <c r="DF50" i="5"/>
  <c r="DC51" i="5"/>
  <c r="DF51" i="5"/>
  <c r="DC52" i="5"/>
  <c r="DD52" i="5"/>
  <c r="DF52" i="5"/>
  <c r="DC53" i="5"/>
  <c r="DD53" i="5"/>
  <c r="DF53" i="5"/>
  <c r="DC54" i="5"/>
  <c r="DF54" i="5"/>
  <c r="DC55" i="5"/>
  <c r="DD55" i="5"/>
  <c r="DF55" i="5"/>
  <c r="DF9" i="5"/>
  <c r="DD9" i="5"/>
  <c r="CZ9" i="5"/>
  <c r="CY10" i="5"/>
  <c r="CZ10" i="5"/>
  <c r="CY11" i="5"/>
  <c r="CZ11" i="5"/>
  <c r="CY12" i="5"/>
  <c r="CY13" i="5"/>
  <c r="CZ13" i="5"/>
  <c r="DA13" i="5"/>
  <c r="CY14" i="5"/>
  <c r="CZ14" i="5"/>
  <c r="DA14" i="5"/>
  <c r="CY15" i="5"/>
  <c r="CZ15" i="5"/>
  <c r="CZ16" i="5"/>
  <c r="CY17" i="5"/>
  <c r="CZ17" i="5"/>
  <c r="CY18" i="5"/>
  <c r="CZ18" i="5"/>
  <c r="CY19" i="5"/>
  <c r="CZ19" i="5"/>
  <c r="CY20" i="5"/>
  <c r="CZ20" i="5"/>
  <c r="CY21" i="5"/>
  <c r="CZ21" i="5"/>
  <c r="CY22" i="5"/>
  <c r="CZ22" i="5"/>
  <c r="CY23" i="5"/>
  <c r="CY24" i="5"/>
  <c r="CZ24" i="5"/>
  <c r="CY25" i="5"/>
  <c r="CZ25" i="5"/>
  <c r="CY26" i="5"/>
  <c r="CZ26" i="5"/>
  <c r="CZ27" i="5"/>
  <c r="CY28" i="5"/>
  <c r="CZ28" i="5"/>
  <c r="CY29" i="5"/>
  <c r="CZ29" i="5"/>
  <c r="CY30" i="5"/>
  <c r="CZ30" i="5"/>
  <c r="CY31" i="5"/>
  <c r="CZ31" i="5"/>
  <c r="CY32" i="5"/>
  <c r="CZ32" i="5"/>
  <c r="CY35" i="5"/>
  <c r="CY36" i="5"/>
  <c r="CY37" i="5"/>
  <c r="CZ37" i="5"/>
  <c r="CY38" i="5"/>
  <c r="CZ38" i="5"/>
  <c r="CY39" i="5"/>
  <c r="CZ39" i="5"/>
  <c r="CY40" i="5"/>
  <c r="CY42" i="5"/>
  <c r="CY43" i="5"/>
  <c r="CZ43" i="5"/>
  <c r="CY44" i="5"/>
  <c r="CZ44" i="5"/>
  <c r="CY45" i="5"/>
  <c r="CZ45" i="5"/>
  <c r="CY46" i="5"/>
  <c r="CZ46" i="5"/>
  <c r="CY47" i="5"/>
  <c r="CY48" i="5"/>
  <c r="CZ48" i="5"/>
  <c r="CY49" i="5"/>
  <c r="CZ49" i="5"/>
  <c r="CY50" i="5"/>
  <c r="CZ50" i="5"/>
  <c r="CY51" i="5"/>
  <c r="CY52" i="5"/>
  <c r="CZ52" i="5"/>
  <c r="CY53" i="5"/>
  <c r="CZ53" i="5"/>
  <c r="CY54" i="5"/>
  <c r="CY55" i="5"/>
  <c r="CZ55" i="5"/>
  <c r="EB9" i="5" l="1"/>
  <c r="EF9" i="5"/>
  <c r="EN9" i="5"/>
  <c r="DF58" i="5"/>
  <c r="DU58" i="5"/>
  <c r="EJ17" i="5"/>
  <c r="ES58" i="5"/>
  <c r="EN17" i="5"/>
  <c r="EJ51" i="5"/>
  <c r="EN51" i="5"/>
  <c r="EJ26" i="5"/>
  <c r="EN26" i="5"/>
  <c r="EJ29" i="5"/>
  <c r="EN29" i="5"/>
  <c r="EJ47" i="5"/>
  <c r="EN47" i="5"/>
  <c r="EJ18" i="5"/>
  <c r="EN18" i="5"/>
  <c r="EJ10" i="5"/>
  <c r="EN10" i="5"/>
  <c r="EJ40" i="5"/>
  <c r="EN40" i="5"/>
  <c r="EJ25" i="5"/>
  <c r="EN25" i="5"/>
  <c r="EJ43" i="5"/>
  <c r="EN43" i="5"/>
  <c r="EJ14" i="5"/>
  <c r="EN14" i="5"/>
  <c r="EJ22" i="5"/>
  <c r="EN22" i="5"/>
  <c r="EN21" i="5"/>
  <c r="EJ39" i="5"/>
  <c r="EN39" i="5"/>
  <c r="EJ55" i="5"/>
  <c r="EN55" i="5"/>
  <c r="EJ44" i="5"/>
  <c r="EN44" i="5"/>
  <c r="EJ35" i="5"/>
  <c r="EN35" i="5"/>
  <c r="EB29" i="5"/>
  <c r="EF29" i="5"/>
  <c r="EB47" i="5"/>
  <c r="EF47" i="5"/>
  <c r="EB18" i="5"/>
  <c r="EF18" i="5"/>
  <c r="EB10" i="5"/>
  <c r="EF10" i="5"/>
  <c r="EB40" i="5"/>
  <c r="EF40" i="5"/>
  <c r="EB25" i="5"/>
  <c r="EF25" i="5"/>
  <c r="EB43" i="5"/>
  <c r="EF43" i="5"/>
  <c r="EB14" i="5"/>
  <c r="EF14" i="5"/>
  <c r="EB22" i="5"/>
  <c r="EF22" i="5"/>
  <c r="EB21" i="5"/>
  <c r="EF21" i="5"/>
  <c r="EB39" i="5"/>
  <c r="EF39" i="5"/>
  <c r="EB55" i="5"/>
  <c r="EF55" i="5"/>
  <c r="EB44" i="5"/>
  <c r="EF44" i="5"/>
  <c r="EB17" i="5"/>
  <c r="EF17" i="5"/>
  <c r="EB35" i="5"/>
  <c r="EF35" i="5"/>
  <c r="EB51" i="5"/>
  <c r="EF51" i="5"/>
  <c r="EB26" i="5"/>
  <c r="EF26" i="5"/>
  <c r="DV55" i="5"/>
  <c r="DZ55" i="5"/>
  <c r="DV44" i="5"/>
  <c r="DZ44" i="5"/>
  <c r="DV25" i="5"/>
  <c r="DZ25" i="5"/>
  <c r="DV43" i="5"/>
  <c r="DZ43" i="5"/>
  <c r="DV14" i="5"/>
  <c r="DZ14" i="5"/>
  <c r="DV22" i="5"/>
  <c r="DZ22" i="5"/>
  <c r="DV39" i="5"/>
  <c r="DZ39" i="5"/>
  <c r="DV17" i="5"/>
  <c r="DZ17" i="5"/>
  <c r="DV35" i="5"/>
  <c r="DZ35" i="5"/>
  <c r="DV51" i="5"/>
  <c r="DZ51" i="5"/>
  <c r="DV26" i="5"/>
  <c r="DZ26" i="5"/>
  <c r="DV21" i="5"/>
  <c r="DZ21" i="5"/>
  <c r="DV29" i="5"/>
  <c r="DZ29" i="5"/>
  <c r="DV47" i="5"/>
  <c r="DZ47" i="5"/>
  <c r="DV18" i="5"/>
  <c r="DZ18" i="5"/>
  <c r="DV10" i="5"/>
  <c r="DZ10" i="5"/>
  <c r="DV40" i="5"/>
  <c r="DZ40" i="5"/>
  <c r="CT10" i="5"/>
  <c r="CT11" i="5"/>
  <c r="CT12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5" i="5"/>
  <c r="CT36" i="5"/>
  <c r="CT37" i="5"/>
  <c r="CT38" i="5"/>
  <c r="CT39" i="5"/>
  <c r="CT40" i="5"/>
  <c r="CT42" i="5"/>
  <c r="CT43" i="5"/>
  <c r="CT44" i="5"/>
  <c r="CT45" i="5"/>
  <c r="CT46" i="5"/>
  <c r="CT47" i="5"/>
  <c r="CT48" i="5"/>
  <c r="CT49" i="5"/>
  <c r="CT50" i="5"/>
  <c r="CT51" i="5"/>
  <c r="CT52" i="5"/>
  <c r="CT53" i="5"/>
  <c r="CT54" i="5"/>
  <c r="CT55" i="5"/>
  <c r="CT9" i="5"/>
  <c r="CO42" i="5"/>
  <c r="CO40" i="5"/>
  <c r="CO12" i="5"/>
  <c r="CO23" i="5"/>
  <c r="CP43" i="5"/>
  <c r="CP37" i="5"/>
  <c r="CO54" i="5"/>
  <c r="CO51" i="5"/>
  <c r="CO47" i="5"/>
  <c r="CO36" i="5"/>
  <c r="CO35" i="5"/>
  <c r="CP21" i="5"/>
  <c r="CP10" i="5"/>
  <c r="CP11" i="5"/>
  <c r="CP15" i="5"/>
  <c r="CP16" i="5"/>
  <c r="CP17" i="5"/>
  <c r="CP18" i="5"/>
  <c r="CP19" i="5"/>
  <c r="CP22" i="5"/>
  <c r="CP24" i="5"/>
  <c r="CP25" i="5"/>
  <c r="CP26" i="5"/>
  <c r="CP27" i="5"/>
  <c r="CP28" i="5"/>
  <c r="CP29" i="5"/>
  <c r="CP30" i="5"/>
  <c r="CP31" i="5"/>
  <c r="CP32" i="5"/>
  <c r="CP38" i="5"/>
  <c r="CP39" i="5"/>
  <c r="CP44" i="5"/>
  <c r="CP45" i="5"/>
  <c r="CP46" i="5"/>
  <c r="CP48" i="5"/>
  <c r="CP49" i="5"/>
  <c r="CP50" i="5"/>
  <c r="CP52" i="5"/>
  <c r="CP53" i="5"/>
  <c r="CP55" i="5"/>
  <c r="CP9" i="5"/>
  <c r="CQ10" i="5"/>
  <c r="CQ11" i="5"/>
  <c r="CQ15" i="5"/>
  <c r="CQ17" i="5"/>
  <c r="CQ18" i="5"/>
  <c r="CQ19" i="5"/>
  <c r="CQ22" i="5"/>
  <c r="CQ24" i="5"/>
  <c r="CQ25" i="5"/>
  <c r="CQ26" i="5"/>
  <c r="CQ28" i="5"/>
  <c r="CQ29" i="5"/>
  <c r="CQ30" i="5"/>
  <c r="CQ31" i="5"/>
  <c r="CQ32" i="5"/>
  <c r="CQ38" i="5"/>
  <c r="CQ39" i="5"/>
  <c r="CQ44" i="5"/>
  <c r="CQ45" i="5"/>
  <c r="CQ46" i="5"/>
  <c r="CQ48" i="5"/>
  <c r="CQ49" i="5"/>
  <c r="CQ50" i="5"/>
  <c r="CQ52" i="5"/>
  <c r="CQ53" i="5"/>
  <c r="CQ55" i="5"/>
  <c r="EJ58" i="5" l="1"/>
  <c r="CO58" i="5"/>
  <c r="EN58" i="5"/>
  <c r="EB58" i="5"/>
  <c r="EF58" i="5"/>
  <c r="DZ58" i="5"/>
  <c r="DJ55" i="5"/>
  <c r="DE55" i="5"/>
  <c r="DJ51" i="5"/>
  <c r="DE51" i="5"/>
  <c r="DJ43" i="5"/>
  <c r="DE43" i="5"/>
  <c r="DJ38" i="5"/>
  <c r="DE38" i="5"/>
  <c r="DJ28" i="5"/>
  <c r="DE28" i="5"/>
  <c r="DI35" i="5"/>
  <c r="DD35" i="5"/>
  <c r="DI54" i="5"/>
  <c r="DD54" i="5"/>
  <c r="DI12" i="5"/>
  <c r="DD12" i="5"/>
  <c r="DJ9" i="5"/>
  <c r="DA9" i="5"/>
  <c r="DE9" i="5"/>
  <c r="DJ52" i="5"/>
  <c r="DE52" i="5"/>
  <c r="CU48" i="5"/>
  <c r="DJ48" i="5"/>
  <c r="DE48" i="5"/>
  <c r="DJ44" i="5"/>
  <c r="DE44" i="5"/>
  <c r="DJ39" i="5"/>
  <c r="DE39" i="5"/>
  <c r="DJ35" i="5"/>
  <c r="DE35" i="5"/>
  <c r="DJ29" i="5"/>
  <c r="DE29" i="5"/>
  <c r="CU25" i="5"/>
  <c r="DJ25" i="5"/>
  <c r="DE25" i="5"/>
  <c r="DJ21" i="5"/>
  <c r="DE21" i="5"/>
  <c r="DJ17" i="5"/>
  <c r="DE17" i="5"/>
  <c r="DJ11" i="5"/>
  <c r="DE11" i="5"/>
  <c r="DI51" i="5"/>
  <c r="DD51" i="5"/>
  <c r="DI23" i="5"/>
  <c r="DD23" i="5"/>
  <c r="DJ53" i="5"/>
  <c r="DE53" i="5"/>
  <c r="CU49" i="5"/>
  <c r="DJ49" i="5"/>
  <c r="DE49" i="5"/>
  <c r="DJ45" i="5"/>
  <c r="DE45" i="5"/>
  <c r="CU40" i="5"/>
  <c r="DJ40" i="5"/>
  <c r="DE40" i="5"/>
  <c r="DJ36" i="5"/>
  <c r="DE36" i="5"/>
  <c r="CU30" i="5"/>
  <c r="DJ30" i="5"/>
  <c r="DE30" i="5"/>
  <c r="CV26" i="5"/>
  <c r="DJ26" i="5"/>
  <c r="DE26" i="5"/>
  <c r="CU22" i="5"/>
  <c r="DJ22" i="5"/>
  <c r="DE22" i="5"/>
  <c r="CV18" i="5"/>
  <c r="DJ18" i="5"/>
  <c r="DE18" i="5"/>
  <c r="CU12" i="5"/>
  <c r="DJ12" i="5"/>
  <c r="DE12" i="5"/>
  <c r="DI47" i="5"/>
  <c r="DD47" i="5"/>
  <c r="DI42" i="5"/>
  <c r="DD42" i="5"/>
  <c r="DJ54" i="5"/>
  <c r="DE54" i="5"/>
  <c r="CV50" i="5"/>
  <c r="DJ50" i="5"/>
  <c r="DE50" i="5"/>
  <c r="DJ46" i="5"/>
  <c r="DE46" i="5"/>
  <c r="DJ42" i="5"/>
  <c r="DE42" i="5"/>
  <c r="CV37" i="5"/>
  <c r="DJ37" i="5"/>
  <c r="DE37" i="5"/>
  <c r="DJ31" i="5"/>
  <c r="DE31" i="5"/>
  <c r="CV27" i="5"/>
  <c r="DJ27" i="5"/>
  <c r="DE27" i="5"/>
  <c r="DJ23" i="5"/>
  <c r="DE23" i="5"/>
  <c r="CV19" i="5"/>
  <c r="DJ19" i="5"/>
  <c r="DE19" i="5"/>
  <c r="DJ15" i="5"/>
  <c r="DE15" i="5"/>
  <c r="DI40" i="5"/>
  <c r="DD40" i="5"/>
  <c r="DJ47" i="5"/>
  <c r="DE47" i="5"/>
  <c r="DJ32" i="5"/>
  <c r="DE32" i="5"/>
  <c r="DJ24" i="5"/>
  <c r="DE24" i="5"/>
  <c r="DJ20" i="5"/>
  <c r="DE20" i="5"/>
  <c r="DJ16" i="5"/>
  <c r="DE16" i="5"/>
  <c r="DJ10" i="5"/>
  <c r="DE10" i="5"/>
  <c r="DI36" i="5"/>
  <c r="DD36" i="5"/>
  <c r="CV42" i="5"/>
  <c r="CV49" i="5"/>
  <c r="CV55" i="5"/>
  <c r="CW55" i="5"/>
  <c r="DA55" i="5"/>
  <c r="CV32" i="5"/>
  <c r="CW32" i="5"/>
  <c r="DA32" i="5"/>
  <c r="CP54" i="5"/>
  <c r="CZ54" i="5"/>
  <c r="CV9" i="5"/>
  <c r="CW9" i="5"/>
  <c r="CV52" i="5"/>
  <c r="DA52" i="5"/>
  <c r="CW52" i="5"/>
  <c r="CV44" i="5"/>
  <c r="DA44" i="5"/>
  <c r="CW44" i="5"/>
  <c r="CV39" i="5"/>
  <c r="DA39" i="5"/>
  <c r="CW39" i="5"/>
  <c r="CV35" i="5"/>
  <c r="DA35" i="5"/>
  <c r="CW35" i="5"/>
  <c r="CV29" i="5"/>
  <c r="DA29" i="5"/>
  <c r="CW29" i="5"/>
  <c r="CV21" i="5"/>
  <c r="DA21" i="5"/>
  <c r="CW21" i="5"/>
  <c r="CV17" i="5"/>
  <c r="DA17" i="5"/>
  <c r="CW17" i="5"/>
  <c r="CV11" i="5"/>
  <c r="DA11" i="5"/>
  <c r="CW11" i="5"/>
  <c r="CP51" i="5"/>
  <c r="CZ51" i="5"/>
  <c r="CQ23" i="5"/>
  <c r="CZ23" i="5"/>
  <c r="DA53" i="5"/>
  <c r="CW53" i="5"/>
  <c r="CW49" i="5"/>
  <c r="DA49" i="5"/>
  <c r="CW45" i="5"/>
  <c r="DA45" i="5"/>
  <c r="CW40" i="5"/>
  <c r="DA40" i="5"/>
  <c r="CW36" i="5"/>
  <c r="DA36" i="5"/>
  <c r="CW30" i="5"/>
  <c r="DA30" i="5"/>
  <c r="CW26" i="5"/>
  <c r="DA26" i="5"/>
  <c r="CW22" i="5"/>
  <c r="DA22" i="5"/>
  <c r="CW18" i="5"/>
  <c r="DA18" i="5"/>
  <c r="DA12" i="5"/>
  <c r="CW12" i="5"/>
  <c r="CP47" i="5"/>
  <c r="CZ47" i="5"/>
  <c r="CP42" i="5"/>
  <c r="CZ42" i="5"/>
  <c r="CU54" i="5"/>
  <c r="DA54" i="5"/>
  <c r="CW54" i="5"/>
  <c r="CU50" i="5"/>
  <c r="DA50" i="5"/>
  <c r="CW50" i="5"/>
  <c r="CU46" i="5"/>
  <c r="DA46" i="5"/>
  <c r="CW46" i="5"/>
  <c r="CU42" i="5"/>
  <c r="DA42" i="5"/>
  <c r="CW42" i="5"/>
  <c r="CU37" i="5"/>
  <c r="DA37" i="5"/>
  <c r="CW37" i="5"/>
  <c r="CU31" i="5"/>
  <c r="DA31" i="5"/>
  <c r="CW31" i="5"/>
  <c r="DA27" i="5"/>
  <c r="CW27" i="5"/>
  <c r="CU23" i="5"/>
  <c r="DA23" i="5"/>
  <c r="CW23" i="5"/>
  <c r="CU19" i="5"/>
  <c r="DA19" i="5"/>
  <c r="CW19" i="5"/>
  <c r="CU15" i="5"/>
  <c r="DA15" i="5"/>
  <c r="CW15" i="5"/>
  <c r="CU52" i="5"/>
  <c r="CV53" i="5"/>
  <c r="CV45" i="5"/>
  <c r="CV30" i="5"/>
  <c r="CV22" i="5"/>
  <c r="CU53" i="5"/>
  <c r="CU45" i="5"/>
  <c r="CU36" i="5"/>
  <c r="CU26" i="5"/>
  <c r="CU18" i="5"/>
  <c r="CV54" i="5"/>
  <c r="CV46" i="5"/>
  <c r="CV31" i="5"/>
  <c r="CV23" i="5"/>
  <c r="CV15" i="5"/>
  <c r="CU39" i="5"/>
  <c r="CU29" i="5"/>
  <c r="CU21" i="5"/>
  <c r="CQ36" i="5"/>
  <c r="CZ36" i="5"/>
  <c r="CV51" i="5"/>
  <c r="CW51" i="5"/>
  <c r="DA51" i="5"/>
  <c r="CV43" i="5"/>
  <c r="CW43" i="5"/>
  <c r="DA43" i="5"/>
  <c r="CV28" i="5"/>
  <c r="CW28" i="5"/>
  <c r="DA28" i="5"/>
  <c r="CV24" i="5"/>
  <c r="CW24" i="5"/>
  <c r="DA24" i="5"/>
  <c r="CV20" i="5"/>
  <c r="CW20" i="5"/>
  <c r="DA20" i="5"/>
  <c r="CV16" i="5"/>
  <c r="CW16" i="5"/>
  <c r="DA16" i="5"/>
  <c r="CV10" i="5"/>
  <c r="CW10" i="5"/>
  <c r="DA10" i="5"/>
  <c r="CP40" i="5"/>
  <c r="CZ40" i="5"/>
  <c r="CV47" i="5"/>
  <c r="CW47" i="5"/>
  <c r="DA47" i="5"/>
  <c r="CP12" i="5"/>
  <c r="CZ12" i="5"/>
  <c r="CV48" i="5"/>
  <c r="DA48" i="5"/>
  <c r="CW48" i="5"/>
  <c r="CV25" i="5"/>
  <c r="DA25" i="5"/>
  <c r="CW25" i="5"/>
  <c r="CU44" i="5"/>
  <c r="CU35" i="5"/>
  <c r="CU17" i="5"/>
  <c r="CV38" i="5"/>
  <c r="CW38" i="5"/>
  <c r="DA38" i="5"/>
  <c r="CP35" i="5"/>
  <c r="CZ35" i="5"/>
  <c r="CV40" i="5"/>
  <c r="CV36" i="5"/>
  <c r="CV12" i="5"/>
  <c r="CU55" i="5"/>
  <c r="CU51" i="5"/>
  <c r="CU47" i="5"/>
  <c r="CU43" i="5"/>
  <c r="CU38" i="5"/>
  <c r="CU32" i="5"/>
  <c r="CU28" i="5"/>
  <c r="CU24" i="5"/>
  <c r="CU20" i="5"/>
  <c r="CU10" i="5"/>
  <c r="CU11" i="5"/>
  <c r="CQ54" i="5"/>
  <c r="CP36" i="5"/>
  <c r="CQ35" i="5"/>
  <c r="CQ51" i="5"/>
  <c r="CP23" i="5"/>
  <c r="CQ42" i="5"/>
  <c r="CQ12" i="5"/>
  <c r="CQ40" i="5"/>
  <c r="CP20" i="5"/>
  <c r="CQ20" i="5"/>
  <c r="CQ37" i="5"/>
  <c r="CQ47" i="5"/>
  <c r="CQ43" i="5"/>
  <c r="CQ21" i="5"/>
  <c r="CP58" i="5" l="1"/>
  <c r="DD58" i="5"/>
  <c r="CZ58" i="5"/>
  <c r="DJ58" i="5"/>
  <c r="DA58" i="5"/>
  <c r="DE58" i="5"/>
  <c r="DI58" i="5"/>
  <c r="CK16" i="5"/>
  <c r="CK9" i="5"/>
  <c r="CK27" i="5"/>
  <c r="BM36" i="5"/>
  <c r="CM10" i="5"/>
  <c r="CM11" i="5"/>
  <c r="CM12" i="5"/>
  <c r="CM15" i="5"/>
  <c r="CM17" i="5"/>
  <c r="CM18" i="5"/>
  <c r="CM19" i="5"/>
  <c r="CM20" i="5"/>
  <c r="CM23" i="5"/>
  <c r="CM21" i="5"/>
  <c r="CM22" i="5"/>
  <c r="CM24" i="5"/>
  <c r="CM25" i="5"/>
  <c r="CM26" i="5"/>
  <c r="CM28" i="5"/>
  <c r="CM29" i="5"/>
  <c r="CM30" i="5"/>
  <c r="CM31" i="5"/>
  <c r="CM32" i="5"/>
  <c r="CM35" i="5"/>
  <c r="CM36" i="5"/>
  <c r="CM37" i="5"/>
  <c r="CM38" i="5"/>
  <c r="CM39" i="5"/>
  <c r="CM40" i="5"/>
  <c r="CM42" i="5"/>
  <c r="CM43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N10" i="5"/>
  <c r="CN11" i="5"/>
  <c r="CN12" i="5"/>
  <c r="CN15" i="5"/>
  <c r="CN17" i="5"/>
  <c r="CN18" i="5"/>
  <c r="CN19" i="5"/>
  <c r="CN20" i="5"/>
  <c r="CN23" i="5"/>
  <c r="CN21" i="5"/>
  <c r="CN22" i="5"/>
  <c r="CN24" i="5"/>
  <c r="CN25" i="5"/>
  <c r="CN26" i="5"/>
  <c r="CN28" i="5"/>
  <c r="CN29" i="5"/>
  <c r="CN30" i="5"/>
  <c r="CN31" i="5"/>
  <c r="CN32" i="5"/>
  <c r="CN35" i="5"/>
  <c r="CN36" i="5"/>
  <c r="CN37" i="5"/>
  <c r="CN38" i="5"/>
  <c r="CN39" i="5"/>
  <c r="CN40" i="5"/>
  <c r="CN42" i="5"/>
  <c r="CN43" i="5"/>
  <c r="CN44" i="5"/>
  <c r="CN45" i="5"/>
  <c r="CN46" i="5"/>
  <c r="CN47" i="5"/>
  <c r="CN48" i="5"/>
  <c r="CN49" i="5"/>
  <c r="CN50" i="5"/>
  <c r="CN51" i="5"/>
  <c r="CN52" i="5"/>
  <c r="CN53" i="5"/>
  <c r="CN54" i="5"/>
  <c r="CN55" i="5"/>
  <c r="CL37" i="5"/>
  <c r="CL48" i="5"/>
  <c r="CL55" i="5"/>
  <c r="CJ11" i="5"/>
  <c r="CJ12" i="5"/>
  <c r="CJ17" i="5"/>
  <c r="CJ18" i="5"/>
  <c r="CJ19" i="5"/>
  <c r="CJ22" i="5"/>
  <c r="CJ24" i="5"/>
  <c r="CJ25" i="5"/>
  <c r="CJ26" i="5"/>
  <c r="CJ27" i="5"/>
  <c r="CJ28" i="5"/>
  <c r="CJ30" i="5"/>
  <c r="CJ31" i="5"/>
  <c r="CJ35" i="5"/>
  <c r="CJ36" i="5"/>
  <c r="CJ37" i="5"/>
  <c r="CJ38" i="5"/>
  <c r="CJ39" i="5"/>
  <c r="CJ40" i="5"/>
  <c r="CJ43" i="5"/>
  <c r="CJ44" i="5"/>
  <c r="CJ45" i="5"/>
  <c r="CJ46" i="5"/>
  <c r="CJ48" i="5"/>
  <c r="CJ49" i="5"/>
  <c r="CJ50" i="5"/>
  <c r="CJ52" i="5"/>
  <c r="CJ53" i="5"/>
  <c r="CJ54" i="5"/>
  <c r="CJ55" i="5"/>
  <c r="CI10" i="5"/>
  <c r="CI11" i="5"/>
  <c r="CI12" i="5"/>
  <c r="CI15" i="5"/>
  <c r="CI20" i="5"/>
  <c r="CI21" i="5"/>
  <c r="CI24" i="5"/>
  <c r="CI25" i="5"/>
  <c r="CI28" i="5"/>
  <c r="CI29" i="5"/>
  <c r="CI30" i="5"/>
  <c r="CI32" i="5"/>
  <c r="CI43" i="5"/>
  <c r="CI44" i="5"/>
  <c r="CI46" i="5"/>
  <c r="CI47" i="5"/>
  <c r="CI48" i="5"/>
  <c r="CI49" i="5"/>
  <c r="CI51" i="5"/>
  <c r="CI52" i="5"/>
  <c r="CI55" i="5"/>
  <c r="CI9" i="5"/>
  <c r="CH10" i="5"/>
  <c r="CH11" i="5"/>
  <c r="CH12" i="5"/>
  <c r="CH15" i="5"/>
  <c r="CH16" i="5"/>
  <c r="CH17" i="5"/>
  <c r="CH18" i="5"/>
  <c r="CH19" i="5"/>
  <c r="CH20" i="5"/>
  <c r="CH23" i="5"/>
  <c r="CH21" i="5"/>
  <c r="CH22" i="5"/>
  <c r="CH24" i="5"/>
  <c r="CH25" i="5"/>
  <c r="CH26" i="5"/>
  <c r="CH27" i="5"/>
  <c r="CH28" i="5"/>
  <c r="CH29" i="5"/>
  <c r="CH30" i="5"/>
  <c r="CH31" i="5"/>
  <c r="CH32" i="5"/>
  <c r="CH35" i="5"/>
  <c r="CH36" i="5"/>
  <c r="CH37" i="5"/>
  <c r="CH38" i="5"/>
  <c r="CH39" i="5"/>
  <c r="CH40" i="5"/>
  <c r="CH42" i="5"/>
  <c r="CH43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9" i="5"/>
  <c r="CG37" i="5"/>
  <c r="CG48" i="5"/>
  <c r="CG55" i="5"/>
  <c r="CF58" i="5"/>
  <c r="BM23" i="5"/>
  <c r="CG23" i="5" s="1"/>
  <c r="CB55" i="5"/>
  <c r="CC55" i="5"/>
  <c r="CD55" i="5"/>
  <c r="CE55" i="5"/>
  <c r="AV58" i="5"/>
  <c r="AX58" i="5"/>
  <c r="BA58" i="5"/>
  <c r="BN58" i="5"/>
  <c r="BP58" i="5"/>
  <c r="BW58" i="5"/>
  <c r="CA9" i="5"/>
  <c r="CJ9" i="5" s="1"/>
  <c r="CA47" i="5"/>
  <c r="CJ47" i="5" s="1"/>
  <c r="CA15" i="5"/>
  <c r="CE15" i="5" s="1"/>
  <c r="CA10" i="5"/>
  <c r="CJ10" i="5" s="1"/>
  <c r="CE11" i="5"/>
  <c r="CE12" i="5"/>
  <c r="CE17" i="5"/>
  <c r="CE18" i="5"/>
  <c r="CE19" i="5"/>
  <c r="CE22" i="5"/>
  <c r="CE24" i="5"/>
  <c r="CE25" i="5"/>
  <c r="CE26" i="5"/>
  <c r="CE27" i="5"/>
  <c r="CE28" i="5"/>
  <c r="CE30" i="5"/>
  <c r="CE31" i="5"/>
  <c r="CE35" i="5"/>
  <c r="CE36" i="5"/>
  <c r="CE37" i="5"/>
  <c r="CE38" i="5"/>
  <c r="CE39" i="5"/>
  <c r="CE40" i="5"/>
  <c r="CE43" i="5"/>
  <c r="CE44" i="5"/>
  <c r="CE45" i="5"/>
  <c r="CE46" i="5"/>
  <c r="CE48" i="5"/>
  <c r="CE49" i="5"/>
  <c r="CE50" i="5"/>
  <c r="CE52" i="5"/>
  <c r="CE53" i="5"/>
  <c r="CE54" i="5"/>
  <c r="CA23" i="5"/>
  <c r="CJ23" i="5" s="1"/>
  <c r="CA21" i="5"/>
  <c r="CE21" i="5" s="1"/>
  <c r="CA29" i="5"/>
  <c r="CJ29" i="5" s="1"/>
  <c r="CA32" i="5"/>
  <c r="CE32" i="5" s="1"/>
  <c r="CA16" i="5"/>
  <c r="CE16" i="5" s="1"/>
  <c r="CA20" i="5"/>
  <c r="CE20" i="5" s="1"/>
  <c r="CA51" i="5"/>
  <c r="CE51" i="5" s="1"/>
  <c r="CA42" i="5"/>
  <c r="CJ42" i="5" s="1"/>
  <c r="DS9" i="5" l="1"/>
  <c r="DV9" i="5"/>
  <c r="DO27" i="5"/>
  <c r="DV27" i="5"/>
  <c r="DS27" i="5"/>
  <c r="DO16" i="5"/>
  <c r="DS16" i="5"/>
  <c r="DV16" i="5"/>
  <c r="DO9" i="5"/>
  <c r="DH27" i="5"/>
  <c r="DC27" i="5"/>
  <c r="DH16" i="5"/>
  <c r="DC16" i="5"/>
  <c r="DH9" i="5"/>
  <c r="CY9" i="5"/>
  <c r="DC9" i="5"/>
  <c r="CU27" i="5"/>
  <c r="CY27" i="5"/>
  <c r="CU9" i="5"/>
  <c r="CU16" i="5"/>
  <c r="CY16" i="5"/>
  <c r="CN16" i="5"/>
  <c r="CQ16" i="5"/>
  <c r="CN9" i="5"/>
  <c r="CQ9" i="5"/>
  <c r="CK58" i="5"/>
  <c r="CQ58" i="5" s="1"/>
  <c r="CM27" i="5"/>
  <c r="CQ27" i="5"/>
  <c r="CM16" i="5"/>
  <c r="CE9" i="5"/>
  <c r="CN27" i="5"/>
  <c r="CE47" i="5"/>
  <c r="CH58" i="5"/>
  <c r="CM9" i="5"/>
  <c r="CL23" i="5"/>
  <c r="CE10" i="5"/>
  <c r="CE42" i="5"/>
  <c r="CE29" i="5"/>
  <c r="CE23" i="5"/>
  <c r="CJ51" i="5"/>
  <c r="CJ32" i="5"/>
  <c r="CJ21" i="5"/>
  <c r="CJ20" i="5"/>
  <c r="CJ16" i="5"/>
  <c r="CA58" i="5"/>
  <c r="CJ15" i="5"/>
  <c r="CB23" i="5"/>
  <c r="CB37" i="5"/>
  <c r="CB48" i="5"/>
  <c r="CM58" i="5" l="1"/>
  <c r="DH58" i="5"/>
  <c r="DV58" i="5"/>
  <c r="DO58" i="5"/>
  <c r="DS58" i="5"/>
  <c r="CY58" i="5"/>
  <c r="CN58" i="5"/>
  <c r="DC58" i="5"/>
  <c r="CE58" i="5"/>
  <c r="CJ58" i="5"/>
  <c r="CD9" i="5"/>
  <c r="BZ9" i="5"/>
  <c r="CD10" i="5"/>
  <c r="CD11" i="5"/>
  <c r="CD12" i="5"/>
  <c r="CD15" i="5"/>
  <c r="CD20" i="5"/>
  <c r="CD21" i="5"/>
  <c r="CD24" i="5"/>
  <c r="CD25" i="5"/>
  <c r="CD28" i="5"/>
  <c r="CD29" i="5"/>
  <c r="CD30" i="5"/>
  <c r="CD32" i="5"/>
  <c r="CD43" i="5"/>
  <c r="CD44" i="5"/>
  <c r="CD46" i="5"/>
  <c r="CD47" i="5"/>
  <c r="CD48" i="5"/>
  <c r="CD49" i="5"/>
  <c r="CD51" i="5"/>
  <c r="CD52" i="5"/>
  <c r="CC10" i="5"/>
  <c r="CC11" i="5"/>
  <c r="CC12" i="5"/>
  <c r="CC15" i="5"/>
  <c r="CC16" i="5"/>
  <c r="CC17" i="5"/>
  <c r="CC18" i="5"/>
  <c r="CC19" i="5"/>
  <c r="CC20" i="5"/>
  <c r="CC23" i="5"/>
  <c r="CC21" i="5"/>
  <c r="CC22" i="5"/>
  <c r="CC24" i="5"/>
  <c r="CC25" i="5"/>
  <c r="CC26" i="5"/>
  <c r="CC27" i="5"/>
  <c r="CC28" i="5"/>
  <c r="CC29" i="5"/>
  <c r="CC30" i="5"/>
  <c r="CC31" i="5"/>
  <c r="CC32" i="5"/>
  <c r="CC35" i="5"/>
  <c r="CC36" i="5"/>
  <c r="CC37" i="5"/>
  <c r="CC38" i="5"/>
  <c r="CC39" i="5"/>
  <c r="CC40" i="5"/>
  <c r="CC42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9" i="5"/>
  <c r="BZ10" i="5"/>
  <c r="BZ11" i="5"/>
  <c r="BZ12" i="5"/>
  <c r="BZ15" i="5"/>
  <c r="BZ20" i="5"/>
  <c r="BZ21" i="5"/>
  <c r="BZ24" i="5"/>
  <c r="BZ25" i="5"/>
  <c r="BZ28" i="5"/>
  <c r="BZ29" i="5"/>
  <c r="BZ30" i="5"/>
  <c r="BZ32" i="5"/>
  <c r="BZ43" i="5"/>
  <c r="BZ44" i="5"/>
  <c r="BZ46" i="5"/>
  <c r="BZ47" i="5"/>
  <c r="BZ48" i="5"/>
  <c r="BZ49" i="5"/>
  <c r="BZ51" i="5"/>
  <c r="BZ52" i="5"/>
  <c r="BY10" i="5"/>
  <c r="BY11" i="5"/>
  <c r="BY12" i="5"/>
  <c r="BY15" i="5"/>
  <c r="BY16" i="5"/>
  <c r="BY17" i="5"/>
  <c r="BY18" i="5"/>
  <c r="BY19" i="5"/>
  <c r="BY20" i="5"/>
  <c r="BY23" i="5"/>
  <c r="BY21" i="5"/>
  <c r="BY22" i="5"/>
  <c r="BY24" i="5"/>
  <c r="BY25" i="5"/>
  <c r="BY26" i="5"/>
  <c r="BY27" i="5"/>
  <c r="BY28" i="5"/>
  <c r="BY29" i="5"/>
  <c r="BY30" i="5"/>
  <c r="BY31" i="5"/>
  <c r="BY32" i="5"/>
  <c r="BY35" i="5"/>
  <c r="BY36" i="5"/>
  <c r="BY37" i="5"/>
  <c r="BY38" i="5"/>
  <c r="BY39" i="5"/>
  <c r="BY40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9" i="5"/>
  <c r="BX23" i="5"/>
  <c r="BX37" i="5"/>
  <c r="BX48" i="5"/>
  <c r="BV10" i="5"/>
  <c r="BV11" i="5"/>
  <c r="BV12" i="5"/>
  <c r="BV15" i="5"/>
  <c r="BV20" i="5"/>
  <c r="BV21" i="5"/>
  <c r="BV24" i="5"/>
  <c r="BV25" i="5"/>
  <c r="BV28" i="5"/>
  <c r="BV29" i="5"/>
  <c r="BV30" i="5"/>
  <c r="BV32" i="5"/>
  <c r="BV43" i="5"/>
  <c r="BV44" i="5"/>
  <c r="BV46" i="5"/>
  <c r="BV47" i="5"/>
  <c r="BV48" i="5"/>
  <c r="BV49" i="5"/>
  <c r="BV51" i="5"/>
  <c r="BV52" i="5"/>
  <c r="BV9" i="5"/>
  <c r="BS54" i="5"/>
  <c r="CI54" i="5" s="1"/>
  <c r="BS53" i="5"/>
  <c r="CI53" i="5" s="1"/>
  <c r="BS50" i="5"/>
  <c r="CI50" i="5" s="1"/>
  <c r="BS45" i="5"/>
  <c r="CI45" i="5" s="1"/>
  <c r="BS36" i="5"/>
  <c r="CI36" i="5" s="1"/>
  <c r="BS37" i="5"/>
  <c r="CI37" i="5" s="1"/>
  <c r="BS38" i="5"/>
  <c r="CI38" i="5" s="1"/>
  <c r="BS39" i="5"/>
  <c r="CI39" i="5" s="1"/>
  <c r="BS40" i="5"/>
  <c r="CI40" i="5" s="1"/>
  <c r="BS42" i="5"/>
  <c r="CI42" i="5" s="1"/>
  <c r="BS35" i="5"/>
  <c r="CI35" i="5" s="1"/>
  <c r="BS31" i="5"/>
  <c r="CI31" i="5" s="1"/>
  <c r="BS27" i="5"/>
  <c r="CI27" i="5" s="1"/>
  <c r="BS26" i="5"/>
  <c r="CI26" i="5" s="1"/>
  <c r="BS22" i="5"/>
  <c r="CI22" i="5" s="1"/>
  <c r="BS23" i="5"/>
  <c r="CI23" i="5" s="1"/>
  <c r="BS17" i="5"/>
  <c r="CI17" i="5" s="1"/>
  <c r="BS18" i="5"/>
  <c r="CI18" i="5" s="1"/>
  <c r="BS19" i="5"/>
  <c r="CI19" i="5" s="1"/>
  <c r="BS16" i="5"/>
  <c r="BT48" i="5"/>
  <c r="BU48" i="5"/>
  <c r="BU10" i="5"/>
  <c r="BU11" i="5"/>
  <c r="BU12" i="5"/>
  <c r="BU15" i="5"/>
  <c r="BU20" i="5"/>
  <c r="BU21" i="5"/>
  <c r="BU24" i="5"/>
  <c r="BU25" i="5"/>
  <c r="BU28" i="5"/>
  <c r="BU29" i="5"/>
  <c r="BU30" i="5"/>
  <c r="BU32" i="5"/>
  <c r="BU38" i="5"/>
  <c r="BU39" i="5"/>
  <c r="BU43" i="5"/>
  <c r="BU44" i="5"/>
  <c r="BU46" i="5"/>
  <c r="BU47" i="5"/>
  <c r="BU49" i="5"/>
  <c r="BU51" i="5"/>
  <c r="BU52" i="5"/>
  <c r="BU9" i="5"/>
  <c r="BR10" i="5"/>
  <c r="BR11" i="5"/>
  <c r="BR12" i="5"/>
  <c r="BR15" i="5"/>
  <c r="BR16" i="5"/>
  <c r="BR17" i="5"/>
  <c r="BR18" i="5"/>
  <c r="BR19" i="5"/>
  <c r="BR20" i="5"/>
  <c r="BR23" i="5"/>
  <c r="BR21" i="5"/>
  <c r="BR22" i="5"/>
  <c r="BR24" i="5"/>
  <c r="BR25" i="5"/>
  <c r="BR26" i="5"/>
  <c r="BR27" i="5"/>
  <c r="BR28" i="5"/>
  <c r="BR29" i="5"/>
  <c r="BR30" i="5"/>
  <c r="BR31" i="5"/>
  <c r="BR32" i="5"/>
  <c r="BR35" i="5"/>
  <c r="BR36" i="5"/>
  <c r="BR37" i="5"/>
  <c r="BR38" i="5"/>
  <c r="BR39" i="5"/>
  <c r="BR40" i="5"/>
  <c r="BR42" i="5"/>
  <c r="BR43" i="5"/>
  <c r="BR44" i="5"/>
  <c r="BR45" i="5"/>
  <c r="BR46" i="5"/>
  <c r="BR47" i="5"/>
  <c r="BR49" i="5"/>
  <c r="BR50" i="5"/>
  <c r="BR51" i="5"/>
  <c r="BR52" i="5"/>
  <c r="BR53" i="5"/>
  <c r="BR54" i="5"/>
  <c r="BR9" i="5"/>
  <c r="BQ37" i="5"/>
  <c r="BO37" i="5"/>
  <c r="Y10" i="5"/>
  <c r="Y11" i="5"/>
  <c r="Y12" i="5"/>
  <c r="Y15" i="5"/>
  <c r="Y16" i="5"/>
  <c r="Y17" i="5"/>
  <c r="Y18" i="5"/>
  <c r="Y19" i="5"/>
  <c r="Y20" i="5"/>
  <c r="Y23" i="5"/>
  <c r="Y21" i="5"/>
  <c r="Y22" i="5"/>
  <c r="Y24" i="5"/>
  <c r="Y25" i="5"/>
  <c r="Y26" i="5"/>
  <c r="Y27" i="5"/>
  <c r="Y28" i="5"/>
  <c r="Y29" i="5"/>
  <c r="Y30" i="5"/>
  <c r="Y31" i="5"/>
  <c r="Y32" i="5"/>
  <c r="Y35" i="5"/>
  <c r="Y36" i="5"/>
  <c r="Y38" i="5"/>
  <c r="Y39" i="5"/>
  <c r="Y40" i="5"/>
  <c r="Y42" i="5"/>
  <c r="Y43" i="5"/>
  <c r="Y44" i="5"/>
  <c r="Y45" i="5"/>
  <c r="Y46" i="5"/>
  <c r="Y47" i="5"/>
  <c r="Y49" i="5"/>
  <c r="Y50" i="5"/>
  <c r="Y51" i="5"/>
  <c r="Y52" i="5"/>
  <c r="Y54" i="5"/>
  <c r="Y9" i="5"/>
  <c r="BL39" i="5"/>
  <c r="BM39" i="5" s="1"/>
  <c r="BL30" i="5"/>
  <c r="BM30" i="5" s="1"/>
  <c r="CL30" i="5" s="1"/>
  <c r="BL17" i="5"/>
  <c r="BM10" i="5"/>
  <c r="CL10" i="5" s="1"/>
  <c r="BM11" i="5"/>
  <c r="CL11" i="5" s="1"/>
  <c r="BM12" i="5"/>
  <c r="CL12" i="5" s="1"/>
  <c r="BM15" i="5"/>
  <c r="CL15" i="5" s="1"/>
  <c r="BM18" i="5"/>
  <c r="CL18" i="5" s="1"/>
  <c r="BM19" i="5"/>
  <c r="CL19" i="5" s="1"/>
  <c r="BM20" i="5"/>
  <c r="CL20" i="5" s="1"/>
  <c r="BO23" i="5"/>
  <c r="BM22" i="5"/>
  <c r="CL22" i="5" s="1"/>
  <c r="BM24" i="5"/>
  <c r="BM25" i="5"/>
  <c r="CL25" i="5" s="1"/>
  <c r="BM26" i="5"/>
  <c r="CL26" i="5" s="1"/>
  <c r="BM27" i="5"/>
  <c r="CL27" i="5" s="1"/>
  <c r="BM28" i="5"/>
  <c r="CL28" i="5" s="1"/>
  <c r="BM29" i="5"/>
  <c r="CL29" i="5" s="1"/>
  <c r="BM31" i="5"/>
  <c r="CL31" i="5" s="1"/>
  <c r="BM32" i="5"/>
  <c r="CL32" i="5" s="1"/>
  <c r="BM35" i="5"/>
  <c r="CL35" i="5" s="1"/>
  <c r="CL36" i="5"/>
  <c r="BM38" i="5"/>
  <c r="CL38" i="5" s="1"/>
  <c r="BM40" i="5"/>
  <c r="CL40" i="5" s="1"/>
  <c r="BM42" i="5"/>
  <c r="BM43" i="5"/>
  <c r="CL43" i="5" s="1"/>
  <c r="BM44" i="5"/>
  <c r="BM45" i="5"/>
  <c r="CL45" i="5" s="1"/>
  <c r="BM46" i="5"/>
  <c r="BM47" i="5"/>
  <c r="CL47" i="5" s="1"/>
  <c r="BM49" i="5"/>
  <c r="CL49" i="5" s="1"/>
  <c r="BM50" i="5"/>
  <c r="CL50" i="5" s="1"/>
  <c r="BM51" i="5"/>
  <c r="CL51" i="5" s="1"/>
  <c r="BM52" i="5"/>
  <c r="CL52" i="5" s="1"/>
  <c r="BM53" i="5"/>
  <c r="CL53" i="5" s="1"/>
  <c r="BM54" i="5"/>
  <c r="CL54" i="5" s="1"/>
  <c r="BM9" i="5"/>
  <c r="CL9" i="5" s="1"/>
  <c r="BK29" i="5"/>
  <c r="BJ29" i="5"/>
  <c r="BI29" i="5"/>
  <c r="BG21" i="5"/>
  <c r="BG16" i="5"/>
  <c r="BK54" i="5"/>
  <c r="BK53" i="5"/>
  <c r="BK52" i="5"/>
  <c r="BK51" i="5"/>
  <c r="BK50" i="5"/>
  <c r="BK49" i="5"/>
  <c r="BK47" i="5"/>
  <c r="BK46" i="5"/>
  <c r="BK45" i="5"/>
  <c r="BK43" i="5"/>
  <c r="BK42" i="5"/>
  <c r="BK40" i="5"/>
  <c r="BK39" i="5"/>
  <c r="BK38" i="5"/>
  <c r="BK36" i="5"/>
  <c r="BK35" i="5"/>
  <c r="BK32" i="5"/>
  <c r="BK31" i="5"/>
  <c r="BK30" i="5"/>
  <c r="BK28" i="5"/>
  <c r="BK27" i="5"/>
  <c r="BK26" i="5"/>
  <c r="BK25" i="5"/>
  <c r="BK24" i="5"/>
  <c r="BK22" i="5"/>
  <c r="BK23" i="5"/>
  <c r="BK20" i="5"/>
  <c r="BK19" i="5"/>
  <c r="BK18" i="5"/>
  <c r="BK17" i="5"/>
  <c r="BK12" i="5"/>
  <c r="BK11" i="5"/>
  <c r="BK9" i="5"/>
  <c r="BJ54" i="5"/>
  <c r="BJ53" i="5"/>
  <c r="BJ52" i="5"/>
  <c r="BJ51" i="5"/>
  <c r="BJ50" i="5"/>
  <c r="BJ49" i="5"/>
  <c r="BJ47" i="5"/>
  <c r="BJ46" i="5"/>
  <c r="BJ45" i="5"/>
  <c r="BJ44" i="5"/>
  <c r="BJ43" i="5"/>
  <c r="BJ42" i="5"/>
  <c r="BJ40" i="5"/>
  <c r="BJ39" i="5"/>
  <c r="BJ38" i="5"/>
  <c r="BJ36" i="5"/>
  <c r="BJ35" i="5"/>
  <c r="BJ32" i="5"/>
  <c r="BJ31" i="5"/>
  <c r="BJ30" i="5"/>
  <c r="BJ28" i="5"/>
  <c r="BJ27" i="5"/>
  <c r="BJ26" i="5"/>
  <c r="BJ25" i="5"/>
  <c r="BJ24" i="5"/>
  <c r="BJ22" i="5"/>
  <c r="BJ23" i="5"/>
  <c r="BJ20" i="5"/>
  <c r="BJ19" i="5"/>
  <c r="BJ18" i="5"/>
  <c r="BJ17" i="5"/>
  <c r="BJ15" i="5"/>
  <c r="BJ12" i="5"/>
  <c r="BJ11" i="5"/>
  <c r="BJ10" i="5"/>
  <c r="BJ9" i="5"/>
  <c r="BI54" i="5"/>
  <c r="BI53" i="5"/>
  <c r="BI52" i="5"/>
  <c r="BI51" i="5"/>
  <c r="BI50" i="5"/>
  <c r="BI49" i="5"/>
  <c r="BI47" i="5"/>
  <c r="BI46" i="5"/>
  <c r="BI45" i="5"/>
  <c r="BI44" i="5"/>
  <c r="BI43" i="5"/>
  <c r="BI42" i="5"/>
  <c r="BI40" i="5"/>
  <c r="BI39" i="5"/>
  <c r="BI38" i="5"/>
  <c r="BI36" i="5"/>
  <c r="BI35" i="5"/>
  <c r="BI32" i="5"/>
  <c r="BI31" i="5"/>
  <c r="BI30" i="5"/>
  <c r="BI28" i="5"/>
  <c r="BI27" i="5"/>
  <c r="BI26" i="5"/>
  <c r="BI25" i="5"/>
  <c r="BI24" i="5"/>
  <c r="BI22" i="5"/>
  <c r="BI23" i="5"/>
  <c r="BI20" i="5"/>
  <c r="BI19" i="5"/>
  <c r="BI18" i="5"/>
  <c r="BI17" i="5"/>
  <c r="BI15" i="5"/>
  <c r="BI12" i="5"/>
  <c r="BI11" i="5"/>
  <c r="BI10" i="5"/>
  <c r="BI9" i="5"/>
  <c r="BF21" i="5"/>
  <c r="BJ21" i="5" s="1"/>
  <c r="BF16" i="5"/>
  <c r="BI16" i="5" s="1"/>
  <c r="BE10" i="5"/>
  <c r="BE44" i="5"/>
  <c r="BK44" i="5" s="1"/>
  <c r="BE15" i="5"/>
  <c r="BK15" i="5" s="1"/>
  <c r="BE16" i="5"/>
  <c r="BE21" i="5"/>
  <c r="AT58" i="5"/>
  <c r="AU10" i="5"/>
  <c r="BH10" i="5" s="1"/>
  <c r="AU11" i="5"/>
  <c r="BH11" i="5" s="1"/>
  <c r="AU12" i="5"/>
  <c r="BH12" i="5" s="1"/>
  <c r="AU15" i="5"/>
  <c r="BH15" i="5" s="1"/>
  <c r="AU16" i="5"/>
  <c r="AU17" i="5"/>
  <c r="BH17" i="5" s="1"/>
  <c r="AU18" i="5"/>
  <c r="BH18" i="5" s="1"/>
  <c r="AU19" i="5"/>
  <c r="BH19" i="5" s="1"/>
  <c r="AU20" i="5"/>
  <c r="BH20" i="5" s="1"/>
  <c r="AU23" i="5"/>
  <c r="BH23" i="5" s="1"/>
  <c r="AU21" i="5"/>
  <c r="AU22" i="5"/>
  <c r="BH22" i="5" s="1"/>
  <c r="AU24" i="5"/>
  <c r="BH24" i="5" s="1"/>
  <c r="AU25" i="5"/>
  <c r="AU26" i="5"/>
  <c r="BH26" i="5" s="1"/>
  <c r="AU27" i="5"/>
  <c r="BH27" i="5" s="1"/>
  <c r="AU28" i="5"/>
  <c r="BH28" i="5" s="1"/>
  <c r="AU29" i="5"/>
  <c r="BH29" i="5" s="1"/>
  <c r="AU30" i="5"/>
  <c r="BH30" i="5" s="1"/>
  <c r="AU31" i="5"/>
  <c r="BH31" i="5" s="1"/>
  <c r="AU32" i="5"/>
  <c r="BH32" i="5" s="1"/>
  <c r="AU35" i="5"/>
  <c r="BH35" i="5" s="1"/>
  <c r="AU36" i="5"/>
  <c r="BH36" i="5" s="1"/>
  <c r="AU38" i="5"/>
  <c r="BH38" i="5" s="1"/>
  <c r="AU39" i="5"/>
  <c r="BH39" i="5" s="1"/>
  <c r="AU40" i="5"/>
  <c r="BH40" i="5" s="1"/>
  <c r="AU42" i="5"/>
  <c r="BH42" i="5" s="1"/>
  <c r="AU43" i="5"/>
  <c r="BH43" i="5" s="1"/>
  <c r="AU44" i="5"/>
  <c r="BH44" i="5" s="1"/>
  <c r="AU45" i="5"/>
  <c r="BH45" i="5" s="1"/>
  <c r="AU46" i="5"/>
  <c r="BH46" i="5" s="1"/>
  <c r="AU47" i="5"/>
  <c r="BH47" i="5" s="1"/>
  <c r="AU49" i="5"/>
  <c r="BH49" i="5" s="1"/>
  <c r="AU50" i="5"/>
  <c r="BH50" i="5" s="1"/>
  <c r="AU51" i="5"/>
  <c r="BH51" i="5" s="1"/>
  <c r="AU52" i="5"/>
  <c r="BH52" i="5" s="1"/>
  <c r="AU53" i="5"/>
  <c r="BH53" i="5" s="1"/>
  <c r="AU54" i="5"/>
  <c r="BH54" i="5" s="1"/>
  <c r="AU9" i="5"/>
  <c r="BD10" i="5"/>
  <c r="BD11" i="5"/>
  <c r="BD12" i="5"/>
  <c r="BD15" i="5"/>
  <c r="BD16" i="5"/>
  <c r="BD17" i="5"/>
  <c r="BD18" i="5"/>
  <c r="BD19" i="5"/>
  <c r="BD20" i="5"/>
  <c r="BD23" i="5"/>
  <c r="BD21" i="5"/>
  <c r="BD22" i="5"/>
  <c r="BD24" i="5"/>
  <c r="BD25" i="5"/>
  <c r="BD26" i="5"/>
  <c r="BD27" i="5"/>
  <c r="BD28" i="5"/>
  <c r="BD29" i="5"/>
  <c r="BD30" i="5"/>
  <c r="BD31" i="5"/>
  <c r="BD32" i="5"/>
  <c r="BD35" i="5"/>
  <c r="BD36" i="5"/>
  <c r="BD38" i="5"/>
  <c r="BD39" i="5"/>
  <c r="BD40" i="5"/>
  <c r="BD42" i="5"/>
  <c r="BD43" i="5"/>
  <c r="BD44" i="5"/>
  <c r="BD45" i="5"/>
  <c r="BD46" i="5"/>
  <c r="BD47" i="5"/>
  <c r="BD49" i="5"/>
  <c r="BD50" i="5"/>
  <c r="BD51" i="5"/>
  <c r="BD52" i="5"/>
  <c r="BD53" i="5"/>
  <c r="BD54" i="5"/>
  <c r="BD9" i="5"/>
  <c r="BC10" i="5"/>
  <c r="BC11" i="5"/>
  <c r="BC12" i="5"/>
  <c r="BC15" i="5"/>
  <c r="BC16" i="5"/>
  <c r="BC17" i="5"/>
  <c r="BC18" i="5"/>
  <c r="BC19" i="5"/>
  <c r="BC20" i="5"/>
  <c r="BC23" i="5"/>
  <c r="BC21" i="5"/>
  <c r="BC22" i="5"/>
  <c r="BC24" i="5"/>
  <c r="BC25" i="5"/>
  <c r="BC26" i="5"/>
  <c r="BC27" i="5"/>
  <c r="BC28" i="5"/>
  <c r="BC29" i="5"/>
  <c r="BC30" i="5"/>
  <c r="BC31" i="5"/>
  <c r="BC32" i="5"/>
  <c r="BC35" i="5"/>
  <c r="BC36" i="5"/>
  <c r="BC38" i="5"/>
  <c r="BC39" i="5"/>
  <c r="BC40" i="5"/>
  <c r="BC42" i="5"/>
  <c r="BC43" i="5"/>
  <c r="BC44" i="5"/>
  <c r="BC45" i="5"/>
  <c r="BC46" i="5"/>
  <c r="BC47" i="5"/>
  <c r="BC49" i="5"/>
  <c r="BC50" i="5"/>
  <c r="BC51" i="5"/>
  <c r="BC52" i="5"/>
  <c r="BC53" i="5"/>
  <c r="BC54" i="5"/>
  <c r="BC9" i="5"/>
  <c r="BB10" i="5"/>
  <c r="BB11" i="5"/>
  <c r="BB12" i="5"/>
  <c r="BB15" i="5"/>
  <c r="BB16" i="5"/>
  <c r="BB17" i="5"/>
  <c r="BB18" i="5"/>
  <c r="BB19" i="5"/>
  <c r="BB20" i="5"/>
  <c r="BB23" i="5"/>
  <c r="BB21" i="5"/>
  <c r="BB22" i="5"/>
  <c r="BB24" i="5"/>
  <c r="BB25" i="5"/>
  <c r="BB26" i="5"/>
  <c r="BB27" i="5"/>
  <c r="BB28" i="5"/>
  <c r="BB29" i="5"/>
  <c r="BB30" i="5"/>
  <c r="BB31" i="5"/>
  <c r="BB32" i="5"/>
  <c r="BB35" i="5"/>
  <c r="BB36" i="5"/>
  <c r="BB38" i="5"/>
  <c r="BB39" i="5"/>
  <c r="BB40" i="5"/>
  <c r="BB42" i="5"/>
  <c r="BB43" i="5"/>
  <c r="BB44" i="5"/>
  <c r="BB45" i="5"/>
  <c r="BB46" i="5"/>
  <c r="BB47" i="5"/>
  <c r="BB49" i="5"/>
  <c r="BB50" i="5"/>
  <c r="BB51" i="5"/>
  <c r="BB52" i="5"/>
  <c r="BB53" i="5"/>
  <c r="BB54" i="5"/>
  <c r="BB9" i="5"/>
  <c r="AY11" i="5"/>
  <c r="AZ11" i="5"/>
  <c r="AY12" i="5"/>
  <c r="AZ12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3" i="5"/>
  <c r="AZ23" i="5"/>
  <c r="AY21" i="5"/>
  <c r="AZ21" i="5"/>
  <c r="AY22" i="5"/>
  <c r="AZ22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5" i="5"/>
  <c r="AZ35" i="5"/>
  <c r="AY36" i="5"/>
  <c r="AZ36" i="5"/>
  <c r="AY38" i="5"/>
  <c r="AZ38" i="5"/>
  <c r="AY39" i="5"/>
  <c r="AZ39" i="5"/>
  <c r="AY40" i="5"/>
  <c r="AZ40" i="5"/>
  <c r="AY42" i="5"/>
  <c r="AZ42" i="5"/>
  <c r="AY43" i="5"/>
  <c r="AZ43" i="5"/>
  <c r="AY44" i="5"/>
  <c r="AZ44" i="5"/>
  <c r="AY45" i="5"/>
  <c r="AZ45" i="5"/>
  <c r="AY46" i="5"/>
  <c r="AZ46" i="5"/>
  <c r="AY47" i="5"/>
  <c r="AZ47" i="5"/>
  <c r="AY49" i="5"/>
  <c r="AZ49" i="5"/>
  <c r="AY50" i="5"/>
  <c r="AZ50" i="5"/>
  <c r="AY51" i="5"/>
  <c r="AZ51" i="5"/>
  <c r="AY52" i="5"/>
  <c r="AZ52" i="5"/>
  <c r="AY53" i="5"/>
  <c r="AZ53" i="5"/>
  <c r="AY9" i="5"/>
  <c r="AZ10" i="5"/>
  <c r="AZ54" i="5"/>
  <c r="AZ9" i="5"/>
  <c r="AY10" i="5"/>
  <c r="AY54" i="5"/>
  <c r="AW24" i="5"/>
  <c r="AS24" i="5"/>
  <c r="AA24" i="5"/>
  <c r="AW10" i="5"/>
  <c r="AW11" i="5"/>
  <c r="AW12" i="5"/>
  <c r="AW15" i="5"/>
  <c r="AW16" i="5"/>
  <c r="AW17" i="5"/>
  <c r="AW18" i="5"/>
  <c r="AW19" i="5"/>
  <c r="AW20" i="5"/>
  <c r="AW21" i="5"/>
  <c r="AW22" i="5"/>
  <c r="AW25" i="5"/>
  <c r="AW26" i="5"/>
  <c r="AW27" i="5"/>
  <c r="AW28" i="5"/>
  <c r="AW29" i="5"/>
  <c r="AW30" i="5"/>
  <c r="AW31" i="5"/>
  <c r="AW32" i="5"/>
  <c r="AW36" i="5"/>
  <c r="AW38" i="5"/>
  <c r="AW39" i="5"/>
  <c r="AW40" i="5"/>
  <c r="AW42" i="5"/>
  <c r="AW43" i="5"/>
  <c r="AW44" i="5"/>
  <c r="AW45" i="5"/>
  <c r="AW46" i="5"/>
  <c r="AW47" i="5"/>
  <c r="AW49" i="5"/>
  <c r="AW50" i="5"/>
  <c r="AW51" i="5"/>
  <c r="AW52" i="5"/>
  <c r="AW53" i="5"/>
  <c r="AW54" i="5"/>
  <c r="AW9" i="5"/>
  <c r="X58" i="5"/>
  <c r="AP58" i="5"/>
  <c r="AS54" i="5"/>
  <c r="AS52" i="5"/>
  <c r="AS51" i="5"/>
  <c r="AS50" i="5"/>
  <c r="AS49" i="5"/>
  <c r="AS47" i="5"/>
  <c r="AS46" i="5"/>
  <c r="AS45" i="5"/>
  <c r="AS44" i="5"/>
  <c r="AS43" i="5"/>
  <c r="AS42" i="5"/>
  <c r="AS40" i="5"/>
  <c r="AS39" i="5"/>
  <c r="AS38" i="5"/>
  <c r="AS36" i="5"/>
  <c r="AS32" i="5"/>
  <c r="AS31" i="5"/>
  <c r="AS30" i="5"/>
  <c r="AS29" i="5"/>
  <c r="AS28" i="5"/>
  <c r="AS27" i="5"/>
  <c r="AS26" i="5"/>
  <c r="AS25" i="5"/>
  <c r="AS22" i="5"/>
  <c r="AS21" i="5"/>
  <c r="AS20" i="5"/>
  <c r="AS19" i="5"/>
  <c r="AS18" i="5"/>
  <c r="AS17" i="5"/>
  <c r="AS16" i="5"/>
  <c r="AS15" i="5"/>
  <c r="AS12" i="5"/>
  <c r="AS11" i="5"/>
  <c r="AS10" i="5"/>
  <c r="AS9" i="5"/>
  <c r="AR54" i="5"/>
  <c r="AR53" i="5"/>
  <c r="AR52" i="5"/>
  <c r="AR51" i="5"/>
  <c r="AR50" i="5"/>
  <c r="AR49" i="5"/>
  <c r="AR47" i="5"/>
  <c r="AR46" i="5"/>
  <c r="AR45" i="5"/>
  <c r="AR44" i="5"/>
  <c r="AR43" i="5"/>
  <c r="AR42" i="5"/>
  <c r="AR40" i="5"/>
  <c r="AR39" i="5"/>
  <c r="AR38" i="5"/>
  <c r="AR36" i="5"/>
  <c r="AR32" i="5"/>
  <c r="AR31" i="5"/>
  <c r="AR30" i="5"/>
  <c r="AR29" i="5"/>
  <c r="AR28" i="5"/>
  <c r="AR27" i="5"/>
  <c r="AR26" i="5"/>
  <c r="AR25" i="5"/>
  <c r="AR22" i="5"/>
  <c r="AR21" i="5"/>
  <c r="AR20" i="5"/>
  <c r="AR19" i="5"/>
  <c r="AR18" i="5"/>
  <c r="AR17" i="5"/>
  <c r="AR16" i="5"/>
  <c r="AR15" i="5"/>
  <c r="AR12" i="5"/>
  <c r="AR11" i="5"/>
  <c r="AR10" i="5"/>
  <c r="AR9" i="5"/>
  <c r="AQ54" i="5"/>
  <c r="AQ52" i="5"/>
  <c r="AQ51" i="5"/>
  <c r="AQ50" i="5"/>
  <c r="AQ49" i="5"/>
  <c r="AQ47" i="5"/>
  <c r="AQ46" i="5"/>
  <c r="AQ45" i="5"/>
  <c r="AQ44" i="5"/>
  <c r="AQ43" i="5"/>
  <c r="AQ42" i="5"/>
  <c r="AQ40" i="5"/>
  <c r="AQ39" i="5"/>
  <c r="AQ38" i="5"/>
  <c r="AQ36" i="5"/>
  <c r="AQ32" i="5"/>
  <c r="AQ31" i="5"/>
  <c r="AQ30" i="5"/>
  <c r="AQ29" i="5"/>
  <c r="AQ28" i="5"/>
  <c r="AQ27" i="5"/>
  <c r="AQ26" i="5"/>
  <c r="AQ25" i="5"/>
  <c r="AQ22" i="5"/>
  <c r="AQ21" i="5"/>
  <c r="AQ20" i="5"/>
  <c r="AQ19" i="5"/>
  <c r="AQ18" i="5"/>
  <c r="AQ17" i="5"/>
  <c r="AQ16" i="5"/>
  <c r="AQ15" i="5"/>
  <c r="AQ12" i="5"/>
  <c r="AQ11" i="5"/>
  <c r="AQ10" i="5"/>
  <c r="AQ9" i="5"/>
  <c r="AI58" i="5"/>
  <c r="AH58" i="5"/>
  <c r="AO10" i="5"/>
  <c r="AO11" i="5"/>
  <c r="AO12" i="5"/>
  <c r="AO15" i="5"/>
  <c r="AO16" i="5"/>
  <c r="AO17" i="5"/>
  <c r="AO18" i="5"/>
  <c r="AO19" i="5"/>
  <c r="AO20" i="5"/>
  <c r="AO21" i="5"/>
  <c r="AO22" i="5"/>
  <c r="AO25" i="5"/>
  <c r="AO26" i="5"/>
  <c r="AO27" i="5"/>
  <c r="AO28" i="5"/>
  <c r="AO29" i="5"/>
  <c r="AO30" i="5"/>
  <c r="AO31" i="5"/>
  <c r="AO32" i="5"/>
  <c r="AO36" i="5"/>
  <c r="AO38" i="5"/>
  <c r="AO39" i="5"/>
  <c r="AO40" i="5"/>
  <c r="AO42" i="5"/>
  <c r="AO43" i="5"/>
  <c r="AO44" i="5"/>
  <c r="AO45" i="5"/>
  <c r="AO46" i="5"/>
  <c r="AO47" i="5"/>
  <c r="AO49" i="5"/>
  <c r="AO50" i="5"/>
  <c r="AO51" i="5"/>
  <c r="AO52" i="5"/>
  <c r="AO53" i="5"/>
  <c r="AO54" i="5"/>
  <c r="AO9" i="5"/>
  <c r="AN10" i="5"/>
  <c r="AN11" i="5"/>
  <c r="AN12" i="5"/>
  <c r="AN15" i="5"/>
  <c r="AN16" i="5"/>
  <c r="AN17" i="5"/>
  <c r="AN18" i="5"/>
  <c r="AN19" i="5"/>
  <c r="AN20" i="5"/>
  <c r="AN21" i="5"/>
  <c r="AN22" i="5"/>
  <c r="AN25" i="5"/>
  <c r="AN26" i="5"/>
  <c r="AN27" i="5"/>
  <c r="AN28" i="5"/>
  <c r="AN29" i="5"/>
  <c r="AN30" i="5"/>
  <c r="AN31" i="5"/>
  <c r="AN32" i="5"/>
  <c r="AN36" i="5"/>
  <c r="AN38" i="5"/>
  <c r="AN39" i="5"/>
  <c r="AN40" i="5"/>
  <c r="AN42" i="5"/>
  <c r="AN43" i="5"/>
  <c r="AN44" i="5"/>
  <c r="AN45" i="5"/>
  <c r="AN46" i="5"/>
  <c r="AN47" i="5"/>
  <c r="AN49" i="5"/>
  <c r="AN50" i="5"/>
  <c r="AN51" i="5"/>
  <c r="AN52" i="5"/>
  <c r="AN53" i="5"/>
  <c r="AN54" i="5"/>
  <c r="AN9" i="5"/>
  <c r="AM15" i="5"/>
  <c r="AM10" i="5"/>
  <c r="AM11" i="5"/>
  <c r="AM12" i="5"/>
  <c r="AM16" i="5"/>
  <c r="AM17" i="5"/>
  <c r="AM18" i="5"/>
  <c r="AM19" i="5"/>
  <c r="AM20" i="5"/>
  <c r="AM21" i="5"/>
  <c r="AM22" i="5"/>
  <c r="AM25" i="5"/>
  <c r="AM26" i="5"/>
  <c r="AM27" i="5"/>
  <c r="AM28" i="5"/>
  <c r="AM29" i="5"/>
  <c r="AM30" i="5"/>
  <c r="AM31" i="5"/>
  <c r="AM32" i="5"/>
  <c r="AM36" i="5"/>
  <c r="AM38" i="5"/>
  <c r="AM39" i="5"/>
  <c r="AM40" i="5"/>
  <c r="AM42" i="5"/>
  <c r="AM43" i="5"/>
  <c r="AM44" i="5"/>
  <c r="AM45" i="5"/>
  <c r="AM46" i="5"/>
  <c r="AM47" i="5"/>
  <c r="AM49" i="5"/>
  <c r="AM50" i="5"/>
  <c r="AM51" i="5"/>
  <c r="AM52" i="5"/>
  <c r="AM54" i="5"/>
  <c r="AM9" i="5"/>
  <c r="AJ15" i="5"/>
  <c r="AK12" i="5"/>
  <c r="AL15" i="5"/>
  <c r="AK15" i="5"/>
  <c r="AK10" i="5"/>
  <c r="AK11" i="5"/>
  <c r="AK16" i="5"/>
  <c r="AK17" i="5"/>
  <c r="AK18" i="5"/>
  <c r="AK19" i="5"/>
  <c r="AK20" i="5"/>
  <c r="AK21" i="5"/>
  <c r="AK22" i="5"/>
  <c r="AK25" i="5"/>
  <c r="AK26" i="5"/>
  <c r="AK27" i="5"/>
  <c r="AK28" i="5"/>
  <c r="AK29" i="5"/>
  <c r="AK30" i="5"/>
  <c r="AK31" i="5"/>
  <c r="AK32" i="5"/>
  <c r="AK36" i="5"/>
  <c r="AK38" i="5"/>
  <c r="AK39" i="5"/>
  <c r="AK40" i="5"/>
  <c r="AK42" i="5"/>
  <c r="AK43" i="5"/>
  <c r="AK44" i="5"/>
  <c r="AK45" i="5"/>
  <c r="AK46" i="5"/>
  <c r="AK47" i="5"/>
  <c r="AK49" i="5"/>
  <c r="AK50" i="5"/>
  <c r="AK51" i="5"/>
  <c r="AK52" i="5"/>
  <c r="AK53" i="5"/>
  <c r="AK54" i="5"/>
  <c r="AK9" i="5"/>
  <c r="AJ10" i="5"/>
  <c r="AJ11" i="5"/>
  <c r="AJ12" i="5"/>
  <c r="AJ16" i="5"/>
  <c r="AJ17" i="5"/>
  <c r="AJ18" i="5"/>
  <c r="AJ19" i="5"/>
  <c r="AJ20" i="5"/>
  <c r="AJ21" i="5"/>
  <c r="AJ22" i="5"/>
  <c r="AJ25" i="5"/>
  <c r="AJ26" i="5"/>
  <c r="AJ27" i="5"/>
  <c r="AJ28" i="5"/>
  <c r="AJ29" i="5"/>
  <c r="AJ30" i="5"/>
  <c r="AJ31" i="5"/>
  <c r="AJ32" i="5"/>
  <c r="AJ36" i="5"/>
  <c r="AJ38" i="5"/>
  <c r="AJ39" i="5"/>
  <c r="AJ40" i="5"/>
  <c r="AJ42" i="5"/>
  <c r="AJ43" i="5"/>
  <c r="AJ44" i="5"/>
  <c r="AJ45" i="5"/>
  <c r="AJ46" i="5"/>
  <c r="AJ47" i="5"/>
  <c r="AJ49" i="5"/>
  <c r="AJ50" i="5"/>
  <c r="AJ51" i="5"/>
  <c r="AJ52" i="5"/>
  <c r="AJ54" i="5"/>
  <c r="AJ9" i="5"/>
  <c r="AD58" i="5"/>
  <c r="AL10" i="5"/>
  <c r="AL11" i="5"/>
  <c r="AL12" i="5"/>
  <c r="AL16" i="5"/>
  <c r="AL17" i="5"/>
  <c r="AL18" i="5"/>
  <c r="AL19" i="5"/>
  <c r="AL20" i="5"/>
  <c r="AL21" i="5"/>
  <c r="AL22" i="5"/>
  <c r="AL25" i="5"/>
  <c r="AL26" i="5"/>
  <c r="AL27" i="5"/>
  <c r="AL28" i="5"/>
  <c r="AL29" i="5"/>
  <c r="AL30" i="5"/>
  <c r="AL31" i="5"/>
  <c r="AL32" i="5"/>
  <c r="AL36" i="5"/>
  <c r="AL38" i="5"/>
  <c r="AL39" i="5"/>
  <c r="AL40" i="5"/>
  <c r="AL42" i="5"/>
  <c r="AL43" i="5"/>
  <c r="AL44" i="5"/>
  <c r="AL45" i="5"/>
  <c r="AL46" i="5"/>
  <c r="AL47" i="5"/>
  <c r="AL49" i="5"/>
  <c r="AL50" i="5"/>
  <c r="AL51" i="5"/>
  <c r="AL52" i="5"/>
  <c r="AL53" i="5"/>
  <c r="AL54" i="5"/>
  <c r="AL9" i="5"/>
  <c r="AF17" i="5"/>
  <c r="AF28" i="5"/>
  <c r="AF29" i="5"/>
  <c r="AF30" i="5"/>
  <c r="AF36" i="5"/>
  <c r="AF38" i="5"/>
  <c r="AF40" i="5"/>
  <c r="AF42" i="5"/>
  <c r="AF45" i="5"/>
  <c r="AF46" i="5"/>
  <c r="AF52" i="5"/>
  <c r="AF15" i="5"/>
  <c r="AF54" i="5"/>
  <c r="AG40" i="5"/>
  <c r="AG52" i="5"/>
  <c r="AG53" i="5"/>
  <c r="AG54" i="5"/>
  <c r="AG11" i="5"/>
  <c r="AG12" i="5"/>
  <c r="AG15" i="5"/>
  <c r="AG17" i="5"/>
  <c r="AG19" i="5"/>
  <c r="AG20" i="5"/>
  <c r="AG27" i="5"/>
  <c r="AG28" i="5"/>
  <c r="AG29" i="5"/>
  <c r="AG31" i="5"/>
  <c r="AG32" i="5"/>
  <c r="AG36" i="5"/>
  <c r="AG38" i="5"/>
  <c r="AE10" i="5"/>
  <c r="AE54" i="5"/>
  <c r="O58" i="5"/>
  <c r="P58" i="5"/>
  <c r="Q58" i="5"/>
  <c r="R58" i="5"/>
  <c r="S58" i="5"/>
  <c r="Z58" i="5"/>
  <c r="AB58" i="5"/>
  <c r="AC58" i="5"/>
  <c r="AE40" i="5"/>
  <c r="AE42" i="5"/>
  <c r="AE45" i="5"/>
  <c r="AE49" i="5"/>
  <c r="AE51" i="5"/>
  <c r="AE52" i="5"/>
  <c r="AE53" i="5"/>
  <c r="L9" i="5"/>
  <c r="I9" i="5"/>
  <c r="W53" i="5"/>
  <c r="AS53" i="5" s="1"/>
  <c r="AA52" i="5"/>
  <c r="AA51" i="5"/>
  <c r="AA50" i="5"/>
  <c r="AA49" i="5"/>
  <c r="AA47" i="5"/>
  <c r="AA46" i="5"/>
  <c r="AA45" i="5"/>
  <c r="AA44" i="5"/>
  <c r="AA43" i="5"/>
  <c r="AA42" i="5"/>
  <c r="AA40" i="5"/>
  <c r="AA39" i="5"/>
  <c r="AA38" i="5"/>
  <c r="AA36" i="5"/>
  <c r="AA32" i="5"/>
  <c r="AA31" i="5"/>
  <c r="AA30" i="5"/>
  <c r="AA29" i="5"/>
  <c r="AA28" i="5"/>
  <c r="AA27" i="5"/>
  <c r="AA26" i="5"/>
  <c r="AA25" i="5"/>
  <c r="AA22" i="5"/>
  <c r="AA21" i="5"/>
  <c r="AA20" i="5"/>
  <c r="AA19" i="5"/>
  <c r="AA18" i="5"/>
  <c r="AA17" i="5"/>
  <c r="AA16" i="5"/>
  <c r="AA15" i="5"/>
  <c r="AA12" i="5"/>
  <c r="AA11" i="5"/>
  <c r="AA10" i="5"/>
  <c r="AA9" i="5"/>
  <c r="D58" i="5"/>
  <c r="T53" i="5"/>
  <c r="U53" i="5" s="1"/>
  <c r="L53" i="5"/>
  <c r="I53" i="5"/>
  <c r="T52" i="5"/>
  <c r="U52" i="5" s="1"/>
  <c r="L52" i="5"/>
  <c r="I52" i="5"/>
  <c r="T51" i="5"/>
  <c r="U51" i="5" s="1"/>
  <c r="L51" i="5"/>
  <c r="I51" i="5"/>
  <c r="T50" i="5"/>
  <c r="U50" i="5" s="1"/>
  <c r="L50" i="5"/>
  <c r="I50" i="5"/>
  <c r="T49" i="5"/>
  <c r="U49" i="5" s="1"/>
  <c r="L49" i="5"/>
  <c r="I49" i="5"/>
  <c r="T47" i="5"/>
  <c r="U47" i="5" s="1"/>
  <c r="L47" i="5"/>
  <c r="I47" i="5"/>
  <c r="T46" i="5"/>
  <c r="U46" i="5" s="1"/>
  <c r="L46" i="5"/>
  <c r="G46" i="5"/>
  <c r="I46" i="5" s="1"/>
  <c r="T44" i="5"/>
  <c r="U44" i="5" s="1"/>
  <c r="L44" i="5"/>
  <c r="I44" i="5"/>
  <c r="T43" i="5"/>
  <c r="U43" i="5" s="1"/>
  <c r="L43" i="5"/>
  <c r="I43" i="5"/>
  <c r="T42" i="5"/>
  <c r="U42" i="5" s="1"/>
  <c r="L42" i="5"/>
  <c r="I42" i="5"/>
  <c r="T40" i="5"/>
  <c r="U40" i="5" s="1"/>
  <c r="L40" i="5"/>
  <c r="I40" i="5"/>
  <c r="T39" i="5"/>
  <c r="U39" i="5" s="1"/>
  <c r="L39" i="5"/>
  <c r="I39" i="5"/>
  <c r="T38" i="5"/>
  <c r="U38" i="5" s="1"/>
  <c r="L38" i="5"/>
  <c r="I38" i="5"/>
  <c r="T36" i="5"/>
  <c r="U36" i="5" s="1"/>
  <c r="L36" i="5"/>
  <c r="I36" i="5"/>
  <c r="T32" i="5"/>
  <c r="U32" i="5" s="1"/>
  <c r="V32" i="5" s="1"/>
  <c r="T31" i="5"/>
  <c r="U31" i="5" s="1"/>
  <c r="L31" i="5"/>
  <c r="I31" i="5"/>
  <c r="T30" i="5"/>
  <c r="U30" i="5" s="1"/>
  <c r="L30" i="5"/>
  <c r="G30" i="5"/>
  <c r="I30" i="5" s="1"/>
  <c r="T29" i="5"/>
  <c r="U29" i="5" s="1"/>
  <c r="L29" i="5"/>
  <c r="I29" i="5"/>
  <c r="T28" i="5"/>
  <c r="U28" i="5" s="1"/>
  <c r="L28" i="5"/>
  <c r="I28" i="5"/>
  <c r="T27" i="5"/>
  <c r="U27" i="5" s="1"/>
  <c r="L27" i="5"/>
  <c r="I27" i="5"/>
  <c r="T26" i="5"/>
  <c r="U26" i="5" s="1"/>
  <c r="L26" i="5"/>
  <c r="I26" i="5"/>
  <c r="T25" i="5"/>
  <c r="U25" i="5" s="1"/>
  <c r="L25" i="5"/>
  <c r="I25" i="5"/>
  <c r="T22" i="5"/>
  <c r="U22" i="5" s="1"/>
  <c r="L22" i="5"/>
  <c r="I22" i="5"/>
  <c r="T21" i="5"/>
  <c r="U21" i="5" s="1"/>
  <c r="L21" i="5"/>
  <c r="I21" i="5"/>
  <c r="T20" i="5"/>
  <c r="U20" i="5" s="1"/>
  <c r="L20" i="5"/>
  <c r="I20" i="5"/>
  <c r="T19" i="5"/>
  <c r="U19" i="5" s="1"/>
  <c r="L19" i="5"/>
  <c r="I19" i="5"/>
  <c r="T18" i="5"/>
  <c r="U18" i="5" s="1"/>
  <c r="L18" i="5"/>
  <c r="G18" i="5"/>
  <c r="I18" i="5" s="1"/>
  <c r="T17" i="5"/>
  <c r="U17" i="5" s="1"/>
  <c r="L17" i="5"/>
  <c r="I17" i="5"/>
  <c r="T16" i="5"/>
  <c r="U16" i="5" s="1"/>
  <c r="L16" i="5"/>
  <c r="I16" i="5"/>
  <c r="U15" i="5"/>
  <c r="L15" i="5"/>
  <c r="I15" i="5"/>
  <c r="T12" i="5"/>
  <c r="U12" i="5" s="1"/>
  <c r="L12" i="5"/>
  <c r="I12" i="5"/>
  <c r="T11" i="5"/>
  <c r="U11" i="5" s="1"/>
  <c r="L11" i="5"/>
  <c r="I11" i="5"/>
  <c r="T10" i="5"/>
  <c r="U10" i="5" s="1"/>
  <c r="L10" i="5"/>
  <c r="I10" i="5"/>
  <c r="T9" i="5"/>
  <c r="U9" i="5" s="1"/>
  <c r="K58" i="5"/>
  <c r="F58" i="5"/>
  <c r="J58" i="5"/>
  <c r="E58" i="5"/>
  <c r="H58" i="5"/>
  <c r="BH9" i="5"/>
  <c r="BI21" i="5"/>
  <c r="BU50" i="5" l="1"/>
  <c r="BJ16" i="5"/>
  <c r="BJ58" i="5" s="1"/>
  <c r="BU53" i="5"/>
  <c r="AO58" i="5"/>
  <c r="BH16" i="5"/>
  <c r="BT37" i="5"/>
  <c r="AS58" i="5"/>
  <c r="BU45" i="5"/>
  <c r="BU26" i="5"/>
  <c r="AR58" i="5"/>
  <c r="BU18" i="5"/>
  <c r="AN58" i="5"/>
  <c r="BH21" i="5"/>
  <c r="BU19" i="5"/>
  <c r="BU35" i="5"/>
  <c r="AF53" i="5"/>
  <c r="AF58" i="5" s="1"/>
  <c r="BU42" i="5"/>
  <c r="BU37" i="5"/>
  <c r="BU31" i="5"/>
  <c r="BU27" i="5"/>
  <c r="BU17" i="5"/>
  <c r="BU54" i="5"/>
  <c r="BU40" i="5"/>
  <c r="BU36" i="5"/>
  <c r="BX24" i="5"/>
  <c r="CL24" i="5"/>
  <c r="AE58" i="5"/>
  <c r="BX46" i="5"/>
  <c r="CL46" i="5"/>
  <c r="BX44" i="5"/>
  <c r="CL44" i="5"/>
  <c r="BX42" i="5"/>
  <c r="CL42" i="5"/>
  <c r="BX39" i="5"/>
  <c r="CL39" i="5"/>
  <c r="BU22" i="5"/>
  <c r="M9" i="5"/>
  <c r="V9" i="5" s="1"/>
  <c r="AJ53" i="5"/>
  <c r="AJ58" i="5" s="1"/>
  <c r="BK10" i="5"/>
  <c r="BE58" i="5"/>
  <c r="BM16" i="5"/>
  <c r="CL16" i="5" s="1"/>
  <c r="BG58" i="5"/>
  <c r="BO54" i="5"/>
  <c r="CG54" i="5"/>
  <c r="CB54" i="5"/>
  <c r="BO52" i="5"/>
  <c r="CG52" i="5"/>
  <c r="CB52" i="5"/>
  <c r="BO50" i="5"/>
  <c r="CG50" i="5"/>
  <c r="CB50" i="5"/>
  <c r="BO47" i="5"/>
  <c r="CG47" i="5"/>
  <c r="CB47" i="5"/>
  <c r="BO45" i="5"/>
  <c r="CG45" i="5"/>
  <c r="CB45" i="5"/>
  <c r="BO43" i="5"/>
  <c r="CG43" i="5"/>
  <c r="CB43" i="5"/>
  <c r="BO40" i="5"/>
  <c r="CG40" i="5"/>
  <c r="CB40" i="5"/>
  <c r="BO38" i="5"/>
  <c r="CG38" i="5"/>
  <c r="CB38" i="5"/>
  <c r="BO35" i="5"/>
  <c r="CG35" i="5"/>
  <c r="CB35" i="5"/>
  <c r="BO31" i="5"/>
  <c r="CG31" i="5"/>
  <c r="CB31" i="5"/>
  <c r="BO29" i="5"/>
  <c r="CG29" i="5"/>
  <c r="CB29" i="5"/>
  <c r="BO27" i="5"/>
  <c r="CG27" i="5"/>
  <c r="CB27" i="5"/>
  <c r="BO22" i="5"/>
  <c r="CG22" i="5"/>
  <c r="CB22" i="5"/>
  <c r="BO20" i="5"/>
  <c r="CG20" i="5"/>
  <c r="CB20" i="5"/>
  <c r="BO18" i="5"/>
  <c r="CG18" i="5"/>
  <c r="CB18" i="5"/>
  <c r="BO12" i="5"/>
  <c r="CG12" i="5"/>
  <c r="CB12" i="5"/>
  <c r="BO10" i="5"/>
  <c r="CG10" i="5"/>
  <c r="CB10" i="5"/>
  <c r="CG30" i="5"/>
  <c r="CB30" i="5"/>
  <c r="BU16" i="5"/>
  <c r="BS58" i="5"/>
  <c r="CI16" i="5"/>
  <c r="CI58" i="5" s="1"/>
  <c r="AW58" i="5"/>
  <c r="AY58" i="5"/>
  <c r="BB58" i="5"/>
  <c r="BD58" i="5"/>
  <c r="BR58" i="5"/>
  <c r="BV53" i="5"/>
  <c r="BV45" i="5"/>
  <c r="BV40" i="5"/>
  <c r="BV38" i="5"/>
  <c r="BV36" i="5"/>
  <c r="BV26" i="5"/>
  <c r="BV18" i="5"/>
  <c r="BV16" i="5"/>
  <c r="BX54" i="5"/>
  <c r="BX52" i="5"/>
  <c r="BX50" i="5"/>
  <c r="BX35" i="5"/>
  <c r="BX31" i="5"/>
  <c r="BX29" i="5"/>
  <c r="BX27" i="5"/>
  <c r="BX20" i="5"/>
  <c r="BX18" i="5"/>
  <c r="BX12" i="5"/>
  <c r="BX10" i="5"/>
  <c r="BY58" i="5"/>
  <c r="BZ54" i="5"/>
  <c r="BZ50" i="5"/>
  <c r="BZ42" i="5"/>
  <c r="BZ39" i="5"/>
  <c r="BZ37" i="5"/>
  <c r="BZ35" i="5"/>
  <c r="BZ31" i="5"/>
  <c r="BZ27" i="5"/>
  <c r="BZ22" i="5"/>
  <c r="BZ23" i="5"/>
  <c r="BZ19" i="5"/>
  <c r="BZ17" i="5"/>
  <c r="CD53" i="5"/>
  <c r="CD45" i="5"/>
  <c r="CD40" i="5"/>
  <c r="CD38" i="5"/>
  <c r="CD36" i="5"/>
  <c r="CD26" i="5"/>
  <c r="CD18" i="5"/>
  <c r="CD16" i="5"/>
  <c r="BM21" i="5"/>
  <c r="BT21" i="5" s="1"/>
  <c r="BO9" i="5"/>
  <c r="CG9" i="5"/>
  <c r="CB9" i="5"/>
  <c r="BO53" i="5"/>
  <c r="CG53" i="5"/>
  <c r="CB53" i="5"/>
  <c r="BO51" i="5"/>
  <c r="CG51" i="5"/>
  <c r="CB51" i="5"/>
  <c r="BO49" i="5"/>
  <c r="CG49" i="5"/>
  <c r="CB49" i="5"/>
  <c r="BO46" i="5"/>
  <c r="CG46" i="5"/>
  <c r="CB46" i="5"/>
  <c r="BO44" i="5"/>
  <c r="CG44" i="5"/>
  <c r="CB44" i="5"/>
  <c r="BO42" i="5"/>
  <c r="CG42" i="5"/>
  <c r="CB42" i="5"/>
  <c r="BO39" i="5"/>
  <c r="CG39" i="5"/>
  <c r="CB39" i="5"/>
  <c r="BO36" i="5"/>
  <c r="CG36" i="5"/>
  <c r="CB36" i="5"/>
  <c r="BO32" i="5"/>
  <c r="CG32" i="5"/>
  <c r="CB32" i="5"/>
  <c r="BO28" i="5"/>
  <c r="CG28" i="5"/>
  <c r="CB28" i="5"/>
  <c r="BO26" i="5"/>
  <c r="CG26" i="5"/>
  <c r="CB26" i="5"/>
  <c r="BO24" i="5"/>
  <c r="CG24" i="5"/>
  <c r="CB24" i="5"/>
  <c r="BO19" i="5"/>
  <c r="CG19" i="5"/>
  <c r="CB19" i="5"/>
  <c r="BO15" i="5"/>
  <c r="CG15" i="5"/>
  <c r="CB15" i="5"/>
  <c r="BO11" i="5"/>
  <c r="CG11" i="5"/>
  <c r="CB11" i="5"/>
  <c r="BM17" i="5"/>
  <c r="CL17" i="5" s="1"/>
  <c r="BL58" i="5"/>
  <c r="AZ58" i="5"/>
  <c r="BC58" i="5"/>
  <c r="BF58" i="5"/>
  <c r="BI58" i="5"/>
  <c r="BO30" i="5"/>
  <c r="BU23" i="5"/>
  <c r="BV54" i="5"/>
  <c r="BV50" i="5"/>
  <c r="BV42" i="5"/>
  <c r="BV39" i="5"/>
  <c r="BV37" i="5"/>
  <c r="BV35" i="5"/>
  <c r="BV31" i="5"/>
  <c r="BV27" i="5"/>
  <c r="BV22" i="5"/>
  <c r="BV23" i="5"/>
  <c r="BV19" i="5"/>
  <c r="BV17" i="5"/>
  <c r="BX9" i="5"/>
  <c r="BX53" i="5"/>
  <c r="BX51" i="5"/>
  <c r="BX49" i="5"/>
  <c r="BX47" i="5"/>
  <c r="BX45" i="5"/>
  <c r="BX43" i="5"/>
  <c r="BX40" i="5"/>
  <c r="BX38" i="5"/>
  <c r="BX36" i="5"/>
  <c r="BX32" i="5"/>
  <c r="BX30" i="5"/>
  <c r="BX28" i="5"/>
  <c r="BX26" i="5"/>
  <c r="BX22" i="5"/>
  <c r="BX19" i="5"/>
  <c r="BX15" i="5"/>
  <c r="BX11" i="5"/>
  <c r="BZ53" i="5"/>
  <c r="BZ45" i="5"/>
  <c r="BZ40" i="5"/>
  <c r="BZ38" i="5"/>
  <c r="BZ36" i="5"/>
  <c r="BZ26" i="5"/>
  <c r="BZ18" i="5"/>
  <c r="BZ16" i="5"/>
  <c r="CC58" i="5"/>
  <c r="CD54" i="5"/>
  <c r="CD50" i="5"/>
  <c r="CD42" i="5"/>
  <c r="CD39" i="5"/>
  <c r="CD37" i="5"/>
  <c r="CD35" i="5"/>
  <c r="CD31" i="5"/>
  <c r="CD27" i="5"/>
  <c r="CD22" i="5"/>
  <c r="CD23" i="5"/>
  <c r="CD19" i="5"/>
  <c r="CD17" i="5"/>
  <c r="BO25" i="5"/>
  <c r="CG25" i="5"/>
  <c r="CB25" i="5"/>
  <c r="BX25" i="5"/>
  <c r="BH25" i="5"/>
  <c r="BH58" i="5" s="1"/>
  <c r="AU58" i="5"/>
  <c r="BQ53" i="5"/>
  <c r="BQ51" i="5"/>
  <c r="BQ49" i="5"/>
  <c r="BQ45" i="5"/>
  <c r="BQ43" i="5"/>
  <c r="BQ40" i="5"/>
  <c r="BQ38" i="5"/>
  <c r="BQ36" i="5"/>
  <c r="BQ32" i="5"/>
  <c r="BQ30" i="5"/>
  <c r="BQ28" i="5"/>
  <c r="BQ26" i="5"/>
  <c r="BQ24" i="5"/>
  <c r="BQ20" i="5"/>
  <c r="BQ18" i="5"/>
  <c r="BQ12" i="5"/>
  <c r="BQ10" i="5"/>
  <c r="BQ9" i="5"/>
  <c r="BT54" i="5"/>
  <c r="BT52" i="5"/>
  <c r="BT50" i="5"/>
  <c r="BT47" i="5"/>
  <c r="BT45" i="5"/>
  <c r="BT43" i="5"/>
  <c r="BT40" i="5"/>
  <c r="BT38" i="5"/>
  <c r="BT36" i="5"/>
  <c r="BT32" i="5"/>
  <c r="BT30" i="5"/>
  <c r="BT28" i="5"/>
  <c r="BT26" i="5"/>
  <c r="BT24" i="5"/>
  <c r="BT20" i="5"/>
  <c r="BT18" i="5"/>
  <c r="BT16" i="5"/>
  <c r="BT12" i="5"/>
  <c r="BT10" i="5"/>
  <c r="BQ54" i="5"/>
  <c r="BQ52" i="5"/>
  <c r="BQ50" i="5"/>
  <c r="BQ47" i="5"/>
  <c r="BQ44" i="5"/>
  <c r="BQ42" i="5"/>
  <c r="BQ39" i="5"/>
  <c r="BQ35" i="5"/>
  <c r="BQ31" i="5"/>
  <c r="BQ29" i="5"/>
  <c r="BQ27" i="5"/>
  <c r="BQ25" i="5"/>
  <c r="BQ22" i="5"/>
  <c r="BQ23" i="5"/>
  <c r="BQ19" i="5"/>
  <c r="BQ15" i="5"/>
  <c r="BQ11" i="5"/>
  <c r="BT9" i="5"/>
  <c r="BT53" i="5"/>
  <c r="BT51" i="5"/>
  <c r="BT49" i="5"/>
  <c r="BT46" i="5"/>
  <c r="BT44" i="5"/>
  <c r="BT42" i="5"/>
  <c r="BT39" i="5"/>
  <c r="BT35" i="5"/>
  <c r="BT31" i="5"/>
  <c r="BT29" i="5"/>
  <c r="BT27" i="5"/>
  <c r="BT25" i="5"/>
  <c r="BT22" i="5"/>
  <c r="BT23" i="5"/>
  <c r="BT19" i="5"/>
  <c r="BT15" i="5"/>
  <c r="BT11" i="5"/>
  <c r="BQ46" i="5"/>
  <c r="M39" i="5"/>
  <c r="V39" i="5" s="1"/>
  <c r="T58" i="5"/>
  <c r="M36" i="5"/>
  <c r="V36" i="5" s="1"/>
  <c r="M22" i="5"/>
  <c r="V22" i="5" s="1"/>
  <c r="M26" i="5"/>
  <c r="N26" i="5" s="1"/>
  <c r="M51" i="5"/>
  <c r="V51" i="5" s="1"/>
  <c r="BK21" i="5"/>
  <c r="M20" i="5"/>
  <c r="V20" i="5" s="1"/>
  <c r="M27" i="5"/>
  <c r="V27" i="5" s="1"/>
  <c r="M28" i="5"/>
  <c r="V28" i="5" s="1"/>
  <c r="M29" i="5"/>
  <c r="V29" i="5" s="1"/>
  <c r="M31" i="5"/>
  <c r="V31" i="5" s="1"/>
  <c r="M38" i="5"/>
  <c r="V38" i="5" s="1"/>
  <c r="M40" i="5"/>
  <c r="V40" i="5" s="1"/>
  <c r="M42" i="5"/>
  <c r="V42" i="5" s="1"/>
  <c r="M43" i="5"/>
  <c r="V43" i="5" s="1"/>
  <c r="M44" i="5"/>
  <c r="V44" i="5" s="1"/>
  <c r="M46" i="5"/>
  <c r="V46" i="5" s="1"/>
  <c r="M47" i="5"/>
  <c r="V47" i="5" s="1"/>
  <c r="M49" i="5"/>
  <c r="V49" i="5" s="1"/>
  <c r="M50" i="5"/>
  <c r="V50" i="5" s="1"/>
  <c r="AL58" i="5"/>
  <c r="AK58" i="5"/>
  <c r="G58" i="5"/>
  <c r="M52" i="5"/>
  <c r="V52" i="5" s="1"/>
  <c r="M53" i="5"/>
  <c r="V53" i="5" s="1"/>
  <c r="L58" i="5"/>
  <c r="AG58" i="5"/>
  <c r="M15" i="5"/>
  <c r="N15" i="5" s="1"/>
  <c r="M16" i="5"/>
  <c r="V16" i="5" s="1"/>
  <c r="M19" i="5"/>
  <c r="V19" i="5" s="1"/>
  <c r="M21" i="5"/>
  <c r="N21" i="5" s="1"/>
  <c r="AQ53" i="5"/>
  <c r="AQ58" i="5" s="1"/>
  <c r="AM53" i="5"/>
  <c r="AM58" i="5" s="1"/>
  <c r="W58" i="5"/>
  <c r="AA53" i="5"/>
  <c r="AA58" i="5" s="1"/>
  <c r="M10" i="5"/>
  <c r="N10" i="5" s="1"/>
  <c r="M25" i="5"/>
  <c r="N25" i="5" s="1"/>
  <c r="BK16" i="5"/>
  <c r="M12" i="5"/>
  <c r="N12" i="5" s="1"/>
  <c r="M30" i="5"/>
  <c r="V30" i="5" s="1"/>
  <c r="M11" i="5"/>
  <c r="V11" i="5" s="1"/>
  <c r="M17" i="5"/>
  <c r="V17" i="5" s="1"/>
  <c r="M18" i="5"/>
  <c r="I58" i="5"/>
  <c r="U58" i="5"/>
  <c r="Y53" i="5"/>
  <c r="Y58" i="5" s="1"/>
  <c r="V15" i="5" l="1"/>
  <c r="BQ17" i="5"/>
  <c r="BQ16" i="5"/>
  <c r="BK58" i="5"/>
  <c r="BT17" i="5"/>
  <c r="BT58" i="5" s="1"/>
  <c r="BO21" i="5"/>
  <c r="CL21" i="5"/>
  <c r="CL58" i="5" s="1"/>
  <c r="BQ21" i="5"/>
  <c r="BM58" i="5"/>
  <c r="BU58" i="5"/>
  <c r="BZ58" i="5"/>
  <c r="BV58" i="5"/>
  <c r="CD58" i="5"/>
  <c r="BO17" i="5"/>
  <c r="CG17" i="5"/>
  <c r="CB17" i="5"/>
  <c r="BX17" i="5"/>
  <c r="BO16" i="5"/>
  <c r="BO58" i="5" s="1"/>
  <c r="CG16" i="5"/>
  <c r="CB16" i="5"/>
  <c r="BX16" i="5"/>
  <c r="CG21" i="5"/>
  <c r="CB21" i="5"/>
  <c r="BX21" i="5"/>
  <c r="V25" i="5"/>
  <c r="N16" i="5"/>
  <c r="V10" i="5"/>
  <c r="V26" i="5"/>
  <c r="M58" i="5"/>
  <c r="N11" i="5"/>
  <c r="V12" i="5"/>
  <c r="V21" i="5"/>
  <c r="V18" i="5"/>
  <c r="N18" i="5"/>
  <c r="N58" i="5" s="1"/>
  <c r="CG58" i="5" l="1"/>
  <c r="BQ58" i="5"/>
  <c r="CB58" i="5"/>
  <c r="BX58" i="5"/>
  <c r="V58" i="5"/>
</calcChain>
</file>

<file path=xl/comments1.xml><?xml version="1.0" encoding="utf-8"?>
<comments xmlns="http://schemas.openxmlformats.org/spreadsheetml/2006/main">
  <authors>
    <author>Julia Jou</author>
  </authors>
  <commentList>
    <comment ref="DW21" author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<sst xmlns="http://schemas.openxmlformats.org/spreadsheetml/2006/main" count="622" uniqueCount="300">
  <si>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</si>
  <si>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</si>
  <si>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</si>
  <si>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</si>
  <si>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</si>
  <si>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</si>
  <si>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</si>
  <si>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</si>
  <si>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</si>
  <si>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</si>
  <si>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</si>
  <si>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</si>
  <si>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</si>
  <si>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</si>
  <si>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</si>
  <si>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</si>
  <si>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</si>
  <si>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</si>
  <si>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</si>
  <si>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</si>
  <si>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</si>
  <si>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</si>
  <si>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</si>
  <si>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</si>
  <si>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</si>
  <si>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</si>
  <si>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</si>
  <si>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</si>
  <si>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</si>
  <si>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</si>
  <si>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</si>
  <si>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</si>
  <si>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</si>
  <si>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</si>
  <si>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</si>
  <si>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</si>
  <si>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</si>
  <si>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</si>
  <si>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</si>
  <si>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</si>
  <si>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</si>
  <si>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</si>
  <si>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</si>
  <si>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</si>
  <si>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</si>
  <si>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</si>
  <si>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</si>
  <si>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</si>
  <si>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</si>
  <si>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</si>
  <si>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</si>
  <si>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</si>
  <si>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</si>
  <si>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</si>
  <si>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</si>
  <si>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</si>
  <si>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</si>
  <si>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</si>
  <si>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</si>
  <si>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</si>
  <si>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</si>
  <si>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</si>
  <si>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</si>
  <si>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</si>
  <si>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</si>
  <si>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</si>
  <si>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</si>
  <si>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</si>
  <si>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</si>
  <si>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</si>
  <si>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</si>
  <si>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</si>
  <si>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</si>
  <si>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</si>
  <si>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</si>
  <si>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</si>
  <si>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</si>
  <si>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</si>
  <si>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</si>
  <si>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</si>
  <si>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</si>
  <si>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</si>
  <si>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</si>
  <si>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</si>
  <si>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</si>
  <si>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</si>
  <si>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</si>
  <si>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</si>
  <si>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</si>
  <si>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</si>
  <si>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</si>
  <si>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</si>
  <si>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</si>
  <si>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</si>
  <si>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</si>
  <si>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</si>
  <si>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</si>
  <si>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</si>
  <si>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</si>
  <si>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</si>
  <si>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</si>
  <si>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</si>
  <si>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</si>
  <si>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</si>
  <si>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</si>
  <si>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</si>
  <si>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</si>
  <si>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</si>
  <si>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</si>
  <si>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</si>
  <si>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</si>
  <si>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</si>
  <si>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</si>
  <si>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</si>
  <si>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</si>
  <si>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</si>
  <si>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</si>
  <si>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</si>
  <si>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</si>
  <si>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</si>
  <si>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</si>
  <si>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</si>
  <si>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</si>
  <si>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</si>
  <si>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</si>
  <si>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</si>
  <si>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</si>
  <si>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</si>
  <si>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</si>
  <si>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</si>
  <si>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</si>
  <si>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</si>
  <si>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</si>
  <si>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</si>
  <si>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</si>
  <si>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</si>
  <si>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</si>
  <si>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</si>
  <si>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</si>
  <si>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</si>
  <si>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</si>
  <si>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</si>
  <si>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</si>
  <si>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</si>
  <si>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</si>
  <si>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</si>
  <si>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</si>
  <si>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</si>
  <si>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</si>
  <si>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</si>
  <si>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</si>
  <si>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</si>
  <si>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</si>
  <si>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</si>
  <si>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</si>
  <si>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</si>
  <si>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</si>
  <si>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</si>
  <si>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</si>
  <si>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</si>
  <si>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</si>
  <si>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</si>
  <si>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</si>
  <si>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</si>
  <si>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</si>
  <si>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</si>
  <si>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</si>
  <si>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</si>
  <si>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</si>
  <si>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</si>
  <si>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</si>
  <si>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</si>
  <si>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</si>
  <si>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</si>
  <si>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</si>
  <si>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</si>
  <si>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</si>
  <si>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</si>
  <si>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</si>
  <si>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</si>
  <si>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</si>
  <si>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English. Language Acquisition</t>
  </si>
  <si>
    <t>Kindergarten Expansion Grants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</si>
  <si>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</si>
  <si>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</si>
  <si>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</si>
  <si>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</si>
  <si>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</si>
  <si>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</si>
  <si>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</si>
  <si>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</si>
  <si>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</si>
  <si>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</si>
  <si>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</si>
  <si>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</si>
  <si>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</si>
  <si>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</si>
  <si>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</si>
  <si>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</si>
  <si>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</si>
  <si>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</si>
  <si>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</si>
  <si>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</si>
  <si>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</si>
  <si>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</si>
  <si>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</si>
  <si>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</si>
  <si>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</si>
  <si>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</si>
  <si>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</si>
  <si>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</si>
  <si>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</si>
  <si>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</si>
  <si>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</si>
  <si>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</si>
  <si>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</si>
  <si>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</si>
  <si>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</si>
  <si>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</si>
  <si>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</si>
  <si>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</si>
  <si>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</si>
  <si>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</si>
  <si>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</si>
  <si>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</si>
  <si>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</si>
  <si>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</si>
  <si>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</si>
  <si>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</si>
  <si>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</si>
  <si>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</si>
  <si>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</si>
  <si>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</si>
  <si>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</si>
  <si>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</si>
  <si>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PAC thru 6/30/16</t>
  </si>
  <si>
    <t>PAC thru 6/30/17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</si>
  <si>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</si>
  <si>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</si>
  <si>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</si>
  <si>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</si>
  <si>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</si>
  <si>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</si>
  <si>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</si>
  <si>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</si>
  <si>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</si>
  <si>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</si>
  <si>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</si>
  <si>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</si>
  <si>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</si>
  <si>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</si>
  <si>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</si>
  <si>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</si>
  <si>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</si>
  <si>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</si>
  <si>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</si>
  <si>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</si>
  <si>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</si>
  <si>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</si>
  <si>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</si>
  <si>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</si>
  <si>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</si>
  <si>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</si>
  <si>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Partnership Schools Network (Targeted Assistance to Schools &amp; Districts)</t>
  </si>
  <si>
    <t>Note:</t>
  </si>
  <si>
    <t>7066-0024</t>
  </si>
  <si>
    <t>Schools of Excellence</t>
  </si>
  <si>
    <t>FY2016</t>
  </si>
  <si>
    <t>FY16 HWM and</t>
  </si>
  <si>
    <t>FY16 House 1</t>
  </si>
  <si>
    <t xml:space="preserve">House 1 Consolidated with 7061-9408 </t>
  </si>
  <si>
    <t>House 1 Transfer in from DHE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</si>
  <si>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</si>
  <si>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</si>
  <si>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</si>
  <si>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</si>
  <si>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</si>
  <si>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</si>
  <si>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PAC thru FY17</t>
  </si>
  <si>
    <t>PAC thru FY18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</si>
  <si>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</si>
  <si>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</si>
  <si>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</si>
  <si>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</si>
  <si>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</si>
  <si>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</si>
  <si>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 xml:space="preserve">FY16 Conference </t>
  </si>
  <si>
    <t>and FY16 Senate</t>
  </si>
  <si>
    <t>and FY16 House</t>
  </si>
  <si>
    <t>FY16 Conference</t>
  </si>
  <si>
    <t>and FY16 House 1</t>
  </si>
  <si>
    <t>Post 9C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</si>
  <si>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</si>
  <si>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</si>
  <si>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</si>
  <si>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</si>
  <si>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</si>
  <si>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</si>
  <si>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</si>
  <si>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FY08 to FY16 State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</si>
</sst>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</cellStyleXfs>
  <cellXfs count="88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Fill="1" applyBorder="1" applyAlignment="1"/>
    <xf numFmtId="3" fontId="8" fillId="0" borderId="1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164" fontId="6" fillId="0" borderId="1" xfId="1" applyNumberFormat="1" applyFont="1" applyBorder="1" applyAlignment="1"/>
    <xf numFmtId="164" fontId="11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/>
    <xf numFmtId="0" fontId="15" fillId="0" borderId="1" xfId="0" applyFont="1" applyBorder="1"/>
    <xf numFmtId="3" fontId="7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164" fontId="17" fillId="0" borderId="1" xfId="1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8">
    <cellStyle name="Comma" xfId="1" builtinId="3"/>
    <cellStyle name="Normal" xfId="0" builtinId="0"/>
    <cellStyle name="Normal 2" xfId="3"/>
    <cellStyle name="Normal 2 2" xfId="7"/>
    <cellStyle name="Normal 3" xfId="4"/>
    <cellStyle name="Normal 4" xfId="6"/>
    <cellStyle name="Percent" xfId="2" builtinId="5"/>
    <cellStyle name="Percent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F58"/>
  <sheetViews>
    <sheetView tabSelected="1" zoomScale="90" zoomScaleNormal="90" workbookViewId="0">
      <pane xSplit="3" ySplit="8" topLeftCell="D9" activePane="bottomRight" state="frozenSplit"/>
      <selection pane="topRight" activeCell="C1" sqref="C1"/>
      <selection pane="bottomLeft" activeCell="A8" sqref="A8"/>
      <selection pane="bottomRight" activeCell="CK22" sqref="CK22"/>
    </sheetView>
  </sheetViews>
  <sheetFormatPr defaultColWidth="9.140625" defaultRowHeight="14.25" x14ac:dyDescent="0.2"/>
  <cols>
    <col min="1" max="1" width="10.7109375" style="5" customWidth="1"/>
    <col min="2" max="2" width="0.42578125" style="5" customWidth="1"/>
    <col min="3" max="3" width="36" style="83" customWidth="1"/>
    <col min="4" max="4" width="13.5703125" style="6" bestFit="1" customWidth="1"/>
    <col min="5" max="5" width="15.85546875" style="1" hidden="1" customWidth="1"/>
    <col min="6" max="6" width="16.7109375" style="1" customWidth="1"/>
    <col min="7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5" width="15" style="1" customWidth="1"/>
    <col min="26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5703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5" style="1" bestFit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5703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5703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5703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6" width="17.7109375" style="2" hidden="1" customWidth="1"/>
    <col min="127" max="127" width="15" style="2" bestFit="1" customWidth="1"/>
    <col min="128" max="128" width="15" style="2" hidden="1" customWidth="1"/>
    <col min="129" max="129" width="0" style="1" hidden="1" customWidth="1"/>
    <col min="130" max="133" width="18.5703125" style="1" hidden="1" customWidth="1"/>
    <col min="134" max="134" width="34.28515625" style="72" hidden="1" customWidth="1"/>
    <col min="135" max="135" width="15" style="2" hidden="1" customWidth="1"/>
    <col min="136" max="136" width="18.5703125" style="2" hidden="1" customWidth="1"/>
    <col min="137" max="138" width="15.85546875" style="2" hidden="1" customWidth="1"/>
    <col min="139" max="139" width="15" style="2" hidden="1" customWidth="1"/>
    <col min="140" max="140" width="18.5703125" style="2" hidden="1" customWidth="1"/>
    <col min="141" max="142" width="15.85546875" style="2" hidden="1" customWidth="1"/>
    <col min="143" max="143" width="15" style="2" hidden="1" customWidth="1"/>
    <col min="144" max="144" width="17.85546875" style="2" hidden="1" customWidth="1"/>
    <col min="145" max="145" width="15.85546875" style="2" hidden="1" customWidth="1"/>
    <col min="146" max="147" width="16.7109375" style="2" hidden="1" customWidth="1"/>
    <col min="148" max="148" width="15" style="2" hidden="1" customWidth="1"/>
    <col min="149" max="149" width="17.85546875" style="2" hidden="1" customWidth="1"/>
    <col min="150" max="150" width="17.5703125" style="2" hidden="1" customWidth="1"/>
    <col min="151" max="151" width="17.28515625" style="2" hidden="1" customWidth="1"/>
    <col min="152" max="152" width="17.7109375" style="2" hidden="1" customWidth="1"/>
    <col min="153" max="153" width="15" style="2" hidden="1" customWidth="1"/>
    <col min="154" max="154" width="20.140625" style="2" hidden="1" customWidth="1"/>
    <col min="155" max="155" width="21.28515625" style="2" hidden="1" customWidth="1"/>
    <col min="156" max="156" width="15" style="2" bestFit="1" customWidth="1"/>
    <col min="157" max="157" width="17.85546875" style="2" hidden="1" customWidth="1"/>
    <col min="158" max="158" width="16.42578125" style="2" hidden="1" customWidth="1"/>
    <col min="159" max="159" width="13.7109375" style="1" hidden="1" customWidth="1"/>
    <col min="160" max="162" width="20" style="1" customWidth="1"/>
    <col min="163" max="163" width="12.140625" style="1" customWidth="1"/>
    <col min="164" max="16384" width="9.140625" style="1"/>
  </cols>
  <sheetData>
    <row r="1" spans="1:162" ht="17.25" customHeight="1" x14ac:dyDescent="0.25">
      <c r="A1" s="87" t="s">
        <v>51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</row>
    <row r="2" spans="1:162" ht="18" customHeight="1" x14ac:dyDescent="0.25">
      <c r="A2" s="87" t="s">
        <v>299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</row>
    <row r="3" spans="1:162" ht="5.25" hidden="1" customHeight="1" x14ac:dyDescent="0.25">
      <c r="A3" s="54"/>
      <c r="B3" s="54"/>
      <c r="C3" s="78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5"/>
      <c r="CY3" s="55"/>
      <c r="CZ3" s="55"/>
      <c r="DA3" s="55"/>
      <c r="DB3" s="56"/>
      <c r="DC3" s="56"/>
      <c r="DD3" s="56"/>
      <c r="DE3" s="56"/>
      <c r="DF3" s="56"/>
      <c r="DG3" s="59"/>
      <c r="DH3" s="59"/>
      <c r="DI3" s="59"/>
      <c r="DJ3" s="59"/>
      <c r="DK3" s="59"/>
      <c r="DL3" s="62"/>
      <c r="DM3" s="62"/>
      <c r="DN3" s="63"/>
      <c r="DO3" s="62"/>
      <c r="DP3" s="65"/>
      <c r="DQ3" s="65"/>
      <c r="DR3" s="65"/>
      <c r="DS3" s="65"/>
      <c r="DT3" s="66"/>
      <c r="DU3" s="66"/>
      <c r="DV3" s="66"/>
      <c r="DW3" s="77"/>
      <c r="DX3" s="66"/>
    </row>
    <row r="4" spans="1:162" ht="3.75" customHeight="1" x14ac:dyDescent="0.25">
      <c r="A4" s="39"/>
      <c r="B4" s="39"/>
      <c r="C4" s="7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40"/>
      <c r="AH4" s="40"/>
      <c r="AI4" s="40"/>
      <c r="AJ4" s="40"/>
      <c r="AK4" s="40"/>
      <c r="AL4" s="40"/>
      <c r="AM4" s="39"/>
      <c r="AN4" s="39"/>
      <c r="AO4" s="39"/>
      <c r="AP4" s="41"/>
      <c r="AQ4" s="41"/>
      <c r="AR4" s="41"/>
      <c r="AS4" s="41"/>
      <c r="AT4" s="41"/>
      <c r="AU4" s="41"/>
      <c r="AV4" s="39"/>
      <c r="AW4" s="41"/>
      <c r="AX4" s="40"/>
      <c r="AY4" s="39"/>
      <c r="AZ4" s="39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</row>
    <row r="5" spans="1:162" ht="12.75" x14ac:dyDescent="0.2">
      <c r="A5" s="10"/>
      <c r="B5" s="10"/>
      <c r="C5" s="80"/>
      <c r="D5" s="11"/>
      <c r="E5" s="9"/>
      <c r="F5" s="9"/>
      <c r="G5" s="12" t="s">
        <v>52</v>
      </c>
      <c r="H5" s="12"/>
      <c r="I5" s="12" t="s">
        <v>58</v>
      </c>
      <c r="J5" s="86"/>
      <c r="K5" s="86"/>
      <c r="L5" s="86"/>
      <c r="M5" s="13"/>
      <c r="N5" s="14"/>
      <c r="O5" s="14"/>
      <c r="P5" s="14"/>
      <c r="Q5" s="14"/>
      <c r="R5" s="14" t="s">
        <v>79</v>
      </c>
      <c r="S5" s="14" t="s">
        <v>81</v>
      </c>
      <c r="T5" s="14" t="s">
        <v>89</v>
      </c>
      <c r="U5" s="15" t="s">
        <v>86</v>
      </c>
      <c r="V5" s="14" t="s">
        <v>74</v>
      </c>
      <c r="W5" s="16"/>
      <c r="X5" s="16"/>
      <c r="Y5" s="16"/>
      <c r="Z5" s="16"/>
      <c r="AA5" s="64" t="s">
        <v>103</v>
      </c>
      <c r="AB5" s="17"/>
      <c r="AC5" s="17"/>
      <c r="AD5" s="17"/>
      <c r="AE5" s="14" t="s">
        <v>110</v>
      </c>
      <c r="AF5" s="14" t="s">
        <v>110</v>
      </c>
      <c r="AG5" s="14" t="s">
        <v>103</v>
      </c>
      <c r="AH5" s="14"/>
      <c r="AI5" s="14"/>
      <c r="AJ5" s="14" t="s">
        <v>120</v>
      </c>
      <c r="AK5" s="14" t="s">
        <v>120</v>
      </c>
      <c r="AL5" s="14" t="s">
        <v>120</v>
      </c>
      <c r="AM5" s="12" t="s">
        <v>120</v>
      </c>
      <c r="AN5" s="12" t="s">
        <v>120</v>
      </c>
      <c r="AO5" s="12" t="s">
        <v>120</v>
      </c>
      <c r="AP5" s="12"/>
      <c r="AQ5" s="12" t="s">
        <v>120</v>
      </c>
      <c r="AR5" s="12" t="s">
        <v>134</v>
      </c>
      <c r="AS5" s="12" t="s">
        <v>120</v>
      </c>
      <c r="AT5" s="12"/>
      <c r="AU5" s="12"/>
      <c r="AV5" s="12"/>
      <c r="AW5" s="12"/>
      <c r="AX5" s="17"/>
      <c r="AY5" s="12" t="s">
        <v>103</v>
      </c>
      <c r="AZ5" s="12" t="s">
        <v>103</v>
      </c>
      <c r="BA5" s="17"/>
      <c r="BB5" s="12" t="s">
        <v>103</v>
      </c>
      <c r="BC5" s="12" t="s">
        <v>103</v>
      </c>
      <c r="BD5" s="12" t="s">
        <v>103</v>
      </c>
      <c r="BE5" s="17"/>
      <c r="BF5" s="17"/>
      <c r="BG5" s="17"/>
      <c r="BH5" s="12" t="s">
        <v>103</v>
      </c>
      <c r="BI5" s="12" t="s">
        <v>103</v>
      </c>
      <c r="BJ5" s="12" t="s">
        <v>103</v>
      </c>
      <c r="BK5" s="12" t="s">
        <v>103</v>
      </c>
      <c r="BL5" s="17"/>
      <c r="BM5" s="17"/>
      <c r="BN5" s="30"/>
      <c r="BO5" s="30"/>
      <c r="BP5" s="31"/>
      <c r="BQ5" s="12" t="s">
        <v>103</v>
      </c>
      <c r="BR5" s="12" t="s">
        <v>103</v>
      </c>
      <c r="BS5" s="31"/>
      <c r="BT5" s="12" t="s">
        <v>103</v>
      </c>
      <c r="BU5" s="12" t="s">
        <v>103</v>
      </c>
      <c r="BV5" s="12" t="s">
        <v>103</v>
      </c>
      <c r="BW5" s="31"/>
      <c r="BX5" s="12" t="s">
        <v>103</v>
      </c>
      <c r="BY5" s="12" t="s">
        <v>103</v>
      </c>
      <c r="BZ5" s="12" t="s">
        <v>103</v>
      </c>
      <c r="CA5" s="31"/>
      <c r="CB5" s="12" t="s">
        <v>103</v>
      </c>
      <c r="CC5" s="12" t="s">
        <v>103</v>
      </c>
      <c r="CD5" s="12" t="s">
        <v>103</v>
      </c>
      <c r="CE5" s="12" t="s">
        <v>103</v>
      </c>
      <c r="CF5" s="31"/>
      <c r="CG5" s="12" t="s">
        <v>103</v>
      </c>
      <c r="CH5" s="12" t="s">
        <v>103</v>
      </c>
      <c r="CI5" s="12" t="s">
        <v>103</v>
      </c>
      <c r="CJ5" s="12" t="s">
        <v>103</v>
      </c>
      <c r="CK5" s="31"/>
      <c r="CL5" s="12" t="s">
        <v>103</v>
      </c>
      <c r="CM5" s="12" t="s">
        <v>103</v>
      </c>
      <c r="CN5" s="50" t="s">
        <v>120</v>
      </c>
      <c r="CO5" s="31"/>
      <c r="CP5" s="31"/>
      <c r="CQ5" s="9"/>
      <c r="CR5" s="31"/>
      <c r="CS5" s="31"/>
      <c r="CT5" s="31"/>
      <c r="CU5" s="9"/>
      <c r="CV5" s="31"/>
      <c r="CW5" s="31"/>
      <c r="CX5" s="31"/>
      <c r="CY5" s="9"/>
      <c r="CZ5" s="31"/>
      <c r="DA5" s="31"/>
      <c r="DB5" s="31"/>
      <c r="DC5" s="9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9"/>
      <c r="DZ5" s="9"/>
      <c r="EA5" s="9"/>
      <c r="EB5" s="9"/>
      <c r="EC5" s="9"/>
      <c r="ED5" s="73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</row>
    <row r="6" spans="1:162" ht="12.75" x14ac:dyDescent="0.2">
      <c r="A6" s="18"/>
      <c r="B6" s="85"/>
      <c r="C6" s="80"/>
      <c r="D6" s="19" t="s">
        <v>95</v>
      </c>
      <c r="E6" s="12" t="s">
        <v>44</v>
      </c>
      <c r="F6" s="14" t="s">
        <v>41</v>
      </c>
      <c r="G6" s="12" t="s">
        <v>53</v>
      </c>
      <c r="H6" s="12" t="s">
        <v>54</v>
      </c>
      <c r="I6" s="12" t="s">
        <v>56</v>
      </c>
      <c r="J6" s="12" t="s">
        <v>54</v>
      </c>
      <c r="K6" s="76"/>
      <c r="L6" s="76" t="s">
        <v>65</v>
      </c>
      <c r="M6" s="13" t="s">
        <v>56</v>
      </c>
      <c r="N6" s="14" t="s">
        <v>54</v>
      </c>
      <c r="O6" s="14" t="s">
        <v>68</v>
      </c>
      <c r="P6" s="14" t="s">
        <v>72</v>
      </c>
      <c r="Q6" s="14" t="s">
        <v>76</v>
      </c>
      <c r="R6" s="14" t="s">
        <v>80</v>
      </c>
      <c r="S6" s="14" t="s">
        <v>84</v>
      </c>
      <c r="T6" s="14" t="s">
        <v>90</v>
      </c>
      <c r="U6" s="15" t="s">
        <v>85</v>
      </c>
      <c r="V6" s="14" t="s">
        <v>75</v>
      </c>
      <c r="W6" s="14" t="s">
        <v>67</v>
      </c>
      <c r="X6" s="14" t="s">
        <v>67</v>
      </c>
      <c r="Y6" s="14" t="s">
        <v>67</v>
      </c>
      <c r="Z6" s="14" t="s">
        <v>54</v>
      </c>
      <c r="AA6" s="64" t="s">
        <v>104</v>
      </c>
      <c r="AB6" s="14" t="s">
        <v>96</v>
      </c>
      <c r="AC6" s="14" t="s">
        <v>96</v>
      </c>
      <c r="AD6" s="14" t="s">
        <v>96</v>
      </c>
      <c r="AE6" s="14" t="s">
        <v>111</v>
      </c>
      <c r="AF6" s="14" t="s">
        <v>112</v>
      </c>
      <c r="AG6" s="14" t="s">
        <v>113</v>
      </c>
      <c r="AH6" s="14" t="s">
        <v>96</v>
      </c>
      <c r="AI6" s="14" t="s">
        <v>96</v>
      </c>
      <c r="AJ6" s="14" t="s">
        <v>125</v>
      </c>
      <c r="AK6" s="14" t="s">
        <v>121</v>
      </c>
      <c r="AL6" s="14" t="s">
        <v>121</v>
      </c>
      <c r="AM6" s="14" t="s">
        <v>125</v>
      </c>
      <c r="AN6" s="14" t="s">
        <v>121</v>
      </c>
      <c r="AO6" s="14" t="s">
        <v>121</v>
      </c>
      <c r="AP6" s="14" t="s">
        <v>96</v>
      </c>
      <c r="AQ6" s="14" t="s">
        <v>125</v>
      </c>
      <c r="AR6" s="14" t="s">
        <v>135</v>
      </c>
      <c r="AS6" s="14" t="s">
        <v>125</v>
      </c>
      <c r="AT6" s="14" t="s">
        <v>96</v>
      </c>
      <c r="AU6" s="14" t="s">
        <v>96</v>
      </c>
      <c r="AV6" s="14" t="s">
        <v>54</v>
      </c>
      <c r="AW6" s="14" t="s">
        <v>120</v>
      </c>
      <c r="AX6" s="14" t="s">
        <v>143</v>
      </c>
      <c r="AY6" s="14" t="s">
        <v>104</v>
      </c>
      <c r="AZ6" s="14" t="s">
        <v>104</v>
      </c>
      <c r="BA6" s="14" t="s">
        <v>143</v>
      </c>
      <c r="BB6" s="14" t="s">
        <v>104</v>
      </c>
      <c r="BC6" s="14" t="s">
        <v>104</v>
      </c>
      <c r="BD6" s="14" t="s">
        <v>104</v>
      </c>
      <c r="BE6" s="14" t="s">
        <v>143</v>
      </c>
      <c r="BF6" s="14" t="s">
        <v>143</v>
      </c>
      <c r="BG6" s="14" t="s">
        <v>143</v>
      </c>
      <c r="BH6" s="14" t="s">
        <v>104</v>
      </c>
      <c r="BI6" s="14" t="s">
        <v>104</v>
      </c>
      <c r="BJ6" s="14" t="s">
        <v>104</v>
      </c>
      <c r="BK6" s="14" t="s">
        <v>104</v>
      </c>
      <c r="BL6" s="14" t="s">
        <v>143</v>
      </c>
      <c r="BM6" s="14" t="s">
        <v>143</v>
      </c>
      <c r="BN6" s="64" t="s">
        <v>54</v>
      </c>
      <c r="BO6" s="64" t="s">
        <v>120</v>
      </c>
      <c r="BP6" s="64" t="s">
        <v>176</v>
      </c>
      <c r="BQ6" s="14" t="s">
        <v>104</v>
      </c>
      <c r="BR6" s="14" t="s">
        <v>104</v>
      </c>
      <c r="BS6" s="64" t="s">
        <v>176</v>
      </c>
      <c r="BT6" s="14" t="s">
        <v>104</v>
      </c>
      <c r="BU6" s="14" t="s">
        <v>104</v>
      </c>
      <c r="BV6" s="14" t="s">
        <v>104</v>
      </c>
      <c r="BW6" s="64" t="s">
        <v>176</v>
      </c>
      <c r="BX6" s="14" t="s">
        <v>104</v>
      </c>
      <c r="BY6" s="14" t="s">
        <v>104</v>
      </c>
      <c r="BZ6" s="14" t="s">
        <v>104</v>
      </c>
      <c r="CA6" s="64" t="s">
        <v>176</v>
      </c>
      <c r="CB6" s="14" t="s">
        <v>104</v>
      </c>
      <c r="CC6" s="14" t="s">
        <v>104</v>
      </c>
      <c r="CD6" s="14" t="s">
        <v>104</v>
      </c>
      <c r="CE6" s="14" t="s">
        <v>104</v>
      </c>
      <c r="CF6" s="64" t="s">
        <v>176</v>
      </c>
      <c r="CG6" s="14" t="s">
        <v>104</v>
      </c>
      <c r="CH6" s="14" t="s">
        <v>104</v>
      </c>
      <c r="CI6" s="14" t="s">
        <v>104</v>
      </c>
      <c r="CJ6" s="14" t="s">
        <v>104</v>
      </c>
      <c r="CK6" s="64" t="s">
        <v>176</v>
      </c>
      <c r="CL6" s="14" t="s">
        <v>104</v>
      </c>
      <c r="CM6" s="14" t="s">
        <v>104</v>
      </c>
      <c r="CN6" s="51" t="s">
        <v>206</v>
      </c>
      <c r="CO6" s="64" t="s">
        <v>54</v>
      </c>
      <c r="CP6" s="64" t="s">
        <v>120</v>
      </c>
      <c r="CQ6" s="64" t="s">
        <v>120</v>
      </c>
      <c r="CR6" s="64" t="s">
        <v>208</v>
      </c>
      <c r="CS6" s="64" t="s">
        <v>208</v>
      </c>
      <c r="CT6" s="64" t="s">
        <v>208</v>
      </c>
      <c r="CU6" s="64" t="s">
        <v>120</v>
      </c>
      <c r="CV6" s="64" t="s">
        <v>120</v>
      </c>
      <c r="CW6" s="64" t="s">
        <v>120</v>
      </c>
      <c r="CX6" s="64" t="s">
        <v>208</v>
      </c>
      <c r="CY6" s="64" t="s">
        <v>120</v>
      </c>
      <c r="CZ6" s="64" t="s">
        <v>120</v>
      </c>
      <c r="DA6" s="64" t="s">
        <v>120</v>
      </c>
      <c r="DB6" s="64" t="s">
        <v>208</v>
      </c>
      <c r="DC6" s="52" t="s">
        <v>120</v>
      </c>
      <c r="DD6" s="52" t="s">
        <v>120</v>
      </c>
      <c r="DE6" s="52" t="s">
        <v>120</v>
      </c>
      <c r="DF6" s="52" t="s">
        <v>120</v>
      </c>
      <c r="DG6" s="64" t="s">
        <v>208</v>
      </c>
      <c r="DH6" s="52" t="s">
        <v>120</v>
      </c>
      <c r="DI6" s="52" t="s">
        <v>120</v>
      </c>
      <c r="DJ6" s="52" t="s">
        <v>120</v>
      </c>
      <c r="DK6" s="52" t="s">
        <v>120</v>
      </c>
      <c r="DL6" s="64" t="s">
        <v>208</v>
      </c>
      <c r="DM6" s="64" t="s">
        <v>208</v>
      </c>
      <c r="DN6" s="64" t="s">
        <v>208</v>
      </c>
      <c r="DO6" s="64" t="s">
        <v>241</v>
      </c>
      <c r="DP6" s="64" t="s">
        <v>208</v>
      </c>
      <c r="DQ6" s="64" t="s">
        <v>254</v>
      </c>
      <c r="DR6" s="64" t="s">
        <v>208</v>
      </c>
      <c r="DS6" s="64" t="s">
        <v>251</v>
      </c>
      <c r="DT6" s="64" t="s">
        <v>253</v>
      </c>
      <c r="DU6" s="64" t="s">
        <v>208</v>
      </c>
      <c r="DV6" s="64" t="s">
        <v>251</v>
      </c>
      <c r="DW6" s="64" t="s">
        <v>208</v>
      </c>
      <c r="DX6" s="64" t="s">
        <v>256</v>
      </c>
      <c r="DY6" s="9"/>
      <c r="DZ6" s="64" t="s">
        <v>251</v>
      </c>
      <c r="EA6" s="64" t="s">
        <v>267</v>
      </c>
      <c r="EB6" s="64" t="s">
        <v>251</v>
      </c>
      <c r="EC6" s="64" t="s">
        <v>251</v>
      </c>
      <c r="ED6" s="73"/>
      <c r="EE6" s="64" t="s">
        <v>267</v>
      </c>
      <c r="EF6" s="64" t="s">
        <v>251</v>
      </c>
      <c r="EG6" s="64" t="s">
        <v>251</v>
      </c>
      <c r="EH6" s="64" t="s">
        <v>251</v>
      </c>
      <c r="EI6" s="64" t="s">
        <v>267</v>
      </c>
      <c r="EJ6" s="64" t="s">
        <v>251</v>
      </c>
      <c r="EK6" s="64" t="s">
        <v>251</v>
      </c>
      <c r="EL6" s="64" t="s">
        <v>251</v>
      </c>
      <c r="EM6" s="64" t="s">
        <v>267</v>
      </c>
      <c r="EN6" s="52" t="s">
        <v>251</v>
      </c>
      <c r="EO6" s="52" t="s">
        <v>251</v>
      </c>
      <c r="EP6" s="52" t="s">
        <v>251</v>
      </c>
      <c r="EQ6" s="52" t="s">
        <v>251</v>
      </c>
      <c r="ER6" s="64" t="s">
        <v>267</v>
      </c>
      <c r="ES6" s="52" t="s">
        <v>251</v>
      </c>
      <c r="ET6" s="52" t="s">
        <v>251</v>
      </c>
      <c r="EU6" s="52" t="s">
        <v>251</v>
      </c>
      <c r="EV6" s="52" t="s">
        <v>251</v>
      </c>
      <c r="EW6" s="64" t="s">
        <v>267</v>
      </c>
      <c r="EX6" s="52" t="s">
        <v>251</v>
      </c>
      <c r="EY6" s="52" t="s">
        <v>251</v>
      </c>
      <c r="EZ6" s="64" t="s">
        <v>267</v>
      </c>
      <c r="FA6" s="52" t="s">
        <v>251</v>
      </c>
      <c r="FB6" s="52"/>
    </row>
    <row r="7" spans="1:162" ht="12.75" x14ac:dyDescent="0.2">
      <c r="A7" s="20" t="s">
        <v>0</v>
      </c>
      <c r="B7" s="85"/>
      <c r="C7" s="80" t="s">
        <v>47</v>
      </c>
      <c r="D7" s="19" t="s">
        <v>70</v>
      </c>
      <c r="E7" s="12" t="s">
        <v>45</v>
      </c>
      <c r="F7" s="13" t="s">
        <v>61</v>
      </c>
      <c r="G7" s="12" t="s">
        <v>48</v>
      </c>
      <c r="H7" s="12" t="s">
        <v>55</v>
      </c>
      <c r="I7" s="12" t="s">
        <v>57</v>
      </c>
      <c r="J7" s="12" t="s">
        <v>62</v>
      </c>
      <c r="K7" s="76" t="s">
        <v>64</v>
      </c>
      <c r="L7" s="76" t="s">
        <v>66</v>
      </c>
      <c r="M7" s="13" t="s">
        <v>61</v>
      </c>
      <c r="N7" s="14" t="s">
        <v>67</v>
      </c>
      <c r="O7" s="14" t="s">
        <v>69</v>
      </c>
      <c r="P7" s="14" t="s">
        <v>67</v>
      </c>
      <c r="Q7" s="14" t="s">
        <v>77</v>
      </c>
      <c r="R7" s="14" t="s">
        <v>67</v>
      </c>
      <c r="S7" s="14" t="s">
        <v>82</v>
      </c>
      <c r="T7" s="14" t="s">
        <v>91</v>
      </c>
      <c r="U7" s="15" t="s">
        <v>87</v>
      </c>
      <c r="V7" s="14" t="s">
        <v>93</v>
      </c>
      <c r="W7" s="14" t="s">
        <v>99</v>
      </c>
      <c r="X7" s="14" t="s">
        <v>107</v>
      </c>
      <c r="Y7" s="14" t="s">
        <v>72</v>
      </c>
      <c r="Z7" s="14" t="s">
        <v>96</v>
      </c>
      <c r="AA7" s="64" t="s">
        <v>105</v>
      </c>
      <c r="AB7" s="14" t="s">
        <v>102</v>
      </c>
      <c r="AC7" s="14" t="s">
        <v>136</v>
      </c>
      <c r="AD7" s="14" t="s">
        <v>119</v>
      </c>
      <c r="AE7" s="12" t="s">
        <v>114</v>
      </c>
      <c r="AF7" s="14" t="s">
        <v>116</v>
      </c>
      <c r="AG7" s="14" t="s">
        <v>117</v>
      </c>
      <c r="AH7" s="14" t="s">
        <v>127</v>
      </c>
      <c r="AI7" s="14" t="s">
        <v>79</v>
      </c>
      <c r="AJ7" s="14" t="s">
        <v>126</v>
      </c>
      <c r="AK7" s="14" t="s">
        <v>122</v>
      </c>
      <c r="AL7" s="14" t="s">
        <v>118</v>
      </c>
      <c r="AM7" s="14" t="s">
        <v>126</v>
      </c>
      <c r="AN7" s="14" t="s">
        <v>122</v>
      </c>
      <c r="AO7" s="14" t="s">
        <v>118</v>
      </c>
      <c r="AP7" s="14" t="s">
        <v>140</v>
      </c>
      <c r="AQ7" s="14" t="s">
        <v>132</v>
      </c>
      <c r="AR7" s="14" t="s">
        <v>130</v>
      </c>
      <c r="AS7" s="14" t="s">
        <v>141</v>
      </c>
      <c r="AT7" s="14" t="s">
        <v>107</v>
      </c>
      <c r="AU7" s="14" t="s">
        <v>72</v>
      </c>
      <c r="AV7" s="14" t="s">
        <v>143</v>
      </c>
      <c r="AW7" s="14" t="s">
        <v>147</v>
      </c>
      <c r="AX7" s="14" t="s">
        <v>102</v>
      </c>
      <c r="AY7" s="14" t="s">
        <v>150</v>
      </c>
      <c r="AZ7" s="14" t="s">
        <v>152</v>
      </c>
      <c r="BA7" s="14" t="s">
        <v>136</v>
      </c>
      <c r="BB7" s="14" t="s">
        <v>150</v>
      </c>
      <c r="BC7" s="14" t="s">
        <v>164</v>
      </c>
      <c r="BD7" s="14" t="s">
        <v>166</v>
      </c>
      <c r="BE7" s="14" t="s">
        <v>127</v>
      </c>
      <c r="BF7" s="14" t="s">
        <v>79</v>
      </c>
      <c r="BG7" s="14" t="s">
        <v>173</v>
      </c>
      <c r="BH7" s="64" t="s">
        <v>174</v>
      </c>
      <c r="BI7" s="43" t="s">
        <v>169</v>
      </c>
      <c r="BJ7" s="64" t="s">
        <v>169</v>
      </c>
      <c r="BK7" s="64" t="s">
        <v>169</v>
      </c>
      <c r="BL7" s="14" t="s">
        <v>175</v>
      </c>
      <c r="BM7" s="64" t="s">
        <v>245</v>
      </c>
      <c r="BN7" s="64" t="s">
        <v>176</v>
      </c>
      <c r="BO7" s="64" t="s">
        <v>177</v>
      </c>
      <c r="BP7" s="64" t="s">
        <v>102</v>
      </c>
      <c r="BQ7" s="14" t="s">
        <v>187</v>
      </c>
      <c r="BR7" s="14" t="s">
        <v>189</v>
      </c>
      <c r="BS7" s="64" t="s">
        <v>136</v>
      </c>
      <c r="BT7" s="14" t="s">
        <v>187</v>
      </c>
      <c r="BU7" s="14" t="s">
        <v>189</v>
      </c>
      <c r="BV7" s="14" t="s">
        <v>193</v>
      </c>
      <c r="BW7" s="64" t="s">
        <v>119</v>
      </c>
      <c r="BX7" s="14" t="s">
        <v>187</v>
      </c>
      <c r="BY7" s="14" t="s">
        <v>189</v>
      </c>
      <c r="BZ7" s="14" t="s">
        <v>195</v>
      </c>
      <c r="CA7" s="64" t="s">
        <v>127</v>
      </c>
      <c r="CB7" s="14" t="s">
        <v>187</v>
      </c>
      <c r="CC7" s="14" t="s">
        <v>189</v>
      </c>
      <c r="CD7" s="14" t="s">
        <v>195</v>
      </c>
      <c r="CE7" s="14" t="s">
        <v>197</v>
      </c>
      <c r="CF7" s="64" t="s">
        <v>199</v>
      </c>
      <c r="CG7" s="14" t="s">
        <v>187</v>
      </c>
      <c r="CH7" s="14" t="s">
        <v>189</v>
      </c>
      <c r="CI7" s="14" t="s">
        <v>195</v>
      </c>
      <c r="CJ7" s="14" t="s">
        <v>198</v>
      </c>
      <c r="CK7" s="64" t="s">
        <v>140</v>
      </c>
      <c r="CL7" s="14" t="s">
        <v>187</v>
      </c>
      <c r="CM7" s="14" t="s">
        <v>204</v>
      </c>
      <c r="CN7" s="51" t="s">
        <v>131</v>
      </c>
      <c r="CO7" s="64" t="s">
        <v>208</v>
      </c>
      <c r="CP7" s="64" t="s">
        <v>211</v>
      </c>
      <c r="CQ7" s="64" t="s">
        <v>211</v>
      </c>
      <c r="CR7" s="64" t="s">
        <v>102</v>
      </c>
      <c r="CS7" s="64" t="s">
        <v>216</v>
      </c>
      <c r="CT7" s="64" t="s">
        <v>218</v>
      </c>
      <c r="CU7" s="64" t="s">
        <v>219</v>
      </c>
      <c r="CV7" s="64" t="s">
        <v>221</v>
      </c>
      <c r="CW7" s="64" t="s">
        <v>219</v>
      </c>
      <c r="CX7" s="64" t="s">
        <v>119</v>
      </c>
      <c r="CY7" s="64" t="s">
        <v>224</v>
      </c>
      <c r="CZ7" s="64" t="s">
        <v>225</v>
      </c>
      <c r="DA7" s="64" t="s">
        <v>224</v>
      </c>
      <c r="DB7" s="64" t="s">
        <v>127</v>
      </c>
      <c r="DC7" s="52" t="s">
        <v>231</v>
      </c>
      <c r="DD7" s="52" t="s">
        <v>232</v>
      </c>
      <c r="DE7" s="52" t="s">
        <v>231</v>
      </c>
      <c r="DF7" s="52" t="s">
        <v>231</v>
      </c>
      <c r="DG7" s="64" t="s">
        <v>234</v>
      </c>
      <c r="DH7" s="52" t="s">
        <v>239</v>
      </c>
      <c r="DI7" s="52" t="s">
        <v>239</v>
      </c>
      <c r="DJ7" s="52" t="s">
        <v>239</v>
      </c>
      <c r="DK7" s="52" t="s">
        <v>239</v>
      </c>
      <c r="DL7" s="64" t="s">
        <v>243</v>
      </c>
      <c r="DM7" s="64" t="s">
        <v>70</v>
      </c>
      <c r="DN7" s="64" t="s">
        <v>245</v>
      </c>
      <c r="DO7" s="64" t="s">
        <v>242</v>
      </c>
      <c r="DP7" s="64" t="s">
        <v>249</v>
      </c>
      <c r="DQ7" s="64" t="s">
        <v>175</v>
      </c>
      <c r="DR7" s="64" t="s">
        <v>245</v>
      </c>
      <c r="DS7" s="64" t="s">
        <v>242</v>
      </c>
      <c r="DT7" s="64" t="s">
        <v>175</v>
      </c>
      <c r="DU7" s="64" t="s">
        <v>245</v>
      </c>
      <c r="DV7" s="64" t="s">
        <v>242</v>
      </c>
      <c r="DW7" s="64" t="s">
        <v>245</v>
      </c>
      <c r="DX7" s="64" t="s">
        <v>100</v>
      </c>
      <c r="DY7" s="9"/>
      <c r="DZ7" s="64" t="s">
        <v>257</v>
      </c>
      <c r="EA7" s="64" t="s">
        <v>102</v>
      </c>
      <c r="EB7" s="64" t="s">
        <v>268</v>
      </c>
      <c r="EC7" s="64" t="s">
        <v>268</v>
      </c>
      <c r="ED7" s="74" t="s">
        <v>264</v>
      </c>
      <c r="EE7" s="64" t="s">
        <v>218</v>
      </c>
      <c r="EF7" s="64" t="s">
        <v>274</v>
      </c>
      <c r="EG7" s="64" t="s">
        <v>274</v>
      </c>
      <c r="EH7" s="64" t="s">
        <v>274</v>
      </c>
      <c r="EI7" s="64" t="s">
        <v>119</v>
      </c>
      <c r="EJ7" s="64" t="s">
        <v>276</v>
      </c>
      <c r="EK7" s="64" t="s">
        <v>276</v>
      </c>
      <c r="EL7" s="64" t="s">
        <v>276</v>
      </c>
      <c r="EM7" s="64" t="s">
        <v>127</v>
      </c>
      <c r="EN7" s="52" t="s">
        <v>283</v>
      </c>
      <c r="EO7" s="52" t="s">
        <v>283</v>
      </c>
      <c r="EP7" s="52" t="s">
        <v>283</v>
      </c>
      <c r="EQ7" s="52" t="s">
        <v>283</v>
      </c>
      <c r="ER7" s="64" t="s">
        <v>199</v>
      </c>
      <c r="ES7" s="52" t="s">
        <v>285</v>
      </c>
      <c r="ET7" s="52" t="s">
        <v>289</v>
      </c>
      <c r="EU7" s="52" t="s">
        <v>289</v>
      </c>
      <c r="EV7" s="52" t="s">
        <v>286</v>
      </c>
      <c r="EW7" s="64" t="s">
        <v>245</v>
      </c>
      <c r="EX7" s="52" t="s">
        <v>293</v>
      </c>
      <c r="EY7" s="52" t="s">
        <v>293</v>
      </c>
      <c r="EZ7" s="64" t="s">
        <v>245</v>
      </c>
      <c r="FA7" s="84" t="s">
        <v>298</v>
      </c>
      <c r="FB7" s="52" t="s">
        <v>296</v>
      </c>
    </row>
    <row r="8" spans="1:162" ht="12.75" x14ac:dyDescent="0.2">
      <c r="A8" s="20" t="s">
        <v>1</v>
      </c>
      <c r="B8" s="85"/>
      <c r="C8" s="81" t="s">
        <v>34</v>
      </c>
      <c r="D8" s="19"/>
      <c r="E8" s="12" t="s">
        <v>43</v>
      </c>
      <c r="F8" s="13" t="s">
        <v>98</v>
      </c>
      <c r="G8" s="12" t="s">
        <v>49</v>
      </c>
      <c r="H8" s="21">
        <v>40032</v>
      </c>
      <c r="I8" s="12" t="s">
        <v>60</v>
      </c>
      <c r="J8" s="12" t="s">
        <v>63</v>
      </c>
      <c r="K8" s="76" t="s">
        <v>63</v>
      </c>
      <c r="L8" s="76" t="s">
        <v>63</v>
      </c>
      <c r="M8" s="13" t="s">
        <v>98</v>
      </c>
      <c r="N8" s="14" t="s">
        <v>100</v>
      </c>
      <c r="O8" s="14" t="s">
        <v>70</v>
      </c>
      <c r="P8" s="14" t="s">
        <v>73</v>
      </c>
      <c r="Q8" s="14" t="s">
        <v>78</v>
      </c>
      <c r="R8" s="14" t="s">
        <v>70</v>
      </c>
      <c r="S8" s="14" t="s">
        <v>83</v>
      </c>
      <c r="T8" s="14" t="s">
        <v>92</v>
      </c>
      <c r="U8" s="15" t="s">
        <v>88</v>
      </c>
      <c r="V8" s="14" t="s">
        <v>94</v>
      </c>
      <c r="W8" s="14" t="s">
        <v>70</v>
      </c>
      <c r="X8" s="14" t="s">
        <v>70</v>
      </c>
      <c r="Y8" s="14" t="s">
        <v>70</v>
      </c>
      <c r="Z8" s="14" t="s">
        <v>100</v>
      </c>
      <c r="AA8" s="64" t="s">
        <v>101</v>
      </c>
      <c r="AB8" s="64" t="s">
        <v>70</v>
      </c>
      <c r="AC8" s="64" t="s">
        <v>70</v>
      </c>
      <c r="AD8" s="64" t="s">
        <v>70</v>
      </c>
      <c r="AE8" s="12" t="s">
        <v>115</v>
      </c>
      <c r="AF8" s="12" t="s">
        <v>109</v>
      </c>
      <c r="AG8" s="12" t="s">
        <v>109</v>
      </c>
      <c r="AH8" s="12" t="s">
        <v>70</v>
      </c>
      <c r="AI8" s="12" t="s">
        <v>131</v>
      </c>
      <c r="AJ8" s="64" t="s">
        <v>123</v>
      </c>
      <c r="AK8" s="64" t="s">
        <v>124</v>
      </c>
      <c r="AL8" s="64" t="s">
        <v>124</v>
      </c>
      <c r="AM8" s="64" t="s">
        <v>128</v>
      </c>
      <c r="AN8" s="64" t="s">
        <v>129</v>
      </c>
      <c r="AO8" s="64" t="s">
        <v>129</v>
      </c>
      <c r="AP8" s="64" t="s">
        <v>70</v>
      </c>
      <c r="AQ8" s="64" t="s">
        <v>133</v>
      </c>
      <c r="AR8" s="64" t="s">
        <v>131</v>
      </c>
      <c r="AS8" s="64" t="s">
        <v>142</v>
      </c>
      <c r="AT8" s="64" t="s">
        <v>70</v>
      </c>
      <c r="AU8" s="64" t="s">
        <v>70</v>
      </c>
      <c r="AV8" s="64" t="s">
        <v>165</v>
      </c>
      <c r="AW8" s="64" t="s">
        <v>149</v>
      </c>
      <c r="AX8" s="64" t="s">
        <v>70</v>
      </c>
      <c r="AY8" s="64" t="s">
        <v>151</v>
      </c>
      <c r="AZ8" s="64" t="s">
        <v>153</v>
      </c>
      <c r="BA8" s="64" t="s">
        <v>70</v>
      </c>
      <c r="BB8" s="64" t="s">
        <v>163</v>
      </c>
      <c r="BC8" s="64" t="s">
        <v>163</v>
      </c>
      <c r="BD8" s="64" t="s">
        <v>167</v>
      </c>
      <c r="BE8" s="64" t="s">
        <v>70</v>
      </c>
      <c r="BF8" s="64" t="s">
        <v>70</v>
      </c>
      <c r="BG8" s="64" t="s">
        <v>57</v>
      </c>
      <c r="BH8" s="14" t="s">
        <v>142</v>
      </c>
      <c r="BI8" s="14" t="s">
        <v>170</v>
      </c>
      <c r="BJ8" s="14" t="s">
        <v>171</v>
      </c>
      <c r="BK8" s="14" t="s">
        <v>172</v>
      </c>
      <c r="BL8" s="64" t="s">
        <v>89</v>
      </c>
      <c r="BM8" s="64" t="s">
        <v>250</v>
      </c>
      <c r="BN8" s="64" t="s">
        <v>100</v>
      </c>
      <c r="BO8" s="64" t="s">
        <v>178</v>
      </c>
      <c r="BP8" s="64" t="s">
        <v>70</v>
      </c>
      <c r="BQ8" s="64" t="s">
        <v>188</v>
      </c>
      <c r="BR8" s="64" t="s">
        <v>188</v>
      </c>
      <c r="BS8" s="64" t="s">
        <v>70</v>
      </c>
      <c r="BT8" s="64" t="s">
        <v>190</v>
      </c>
      <c r="BU8" s="64" t="s">
        <v>190</v>
      </c>
      <c r="BV8" s="64" t="s">
        <v>190</v>
      </c>
      <c r="BW8" s="64" t="s">
        <v>70</v>
      </c>
      <c r="BX8" s="64" t="s">
        <v>194</v>
      </c>
      <c r="BY8" s="64" t="s">
        <v>194</v>
      </c>
      <c r="BZ8" s="64" t="s">
        <v>194</v>
      </c>
      <c r="CA8" s="64" t="s">
        <v>70</v>
      </c>
      <c r="CB8" s="64" t="s">
        <v>196</v>
      </c>
      <c r="CC8" s="64" t="s">
        <v>196</v>
      </c>
      <c r="CD8" s="64" t="s">
        <v>196</v>
      </c>
      <c r="CE8" s="64" t="s">
        <v>196</v>
      </c>
      <c r="CF8" s="64" t="s">
        <v>70</v>
      </c>
      <c r="CG8" s="64" t="s">
        <v>200</v>
      </c>
      <c r="CH8" s="64" t="s">
        <v>200</v>
      </c>
      <c r="CI8" s="64" t="s">
        <v>200</v>
      </c>
      <c r="CJ8" s="64" t="s">
        <v>200</v>
      </c>
      <c r="CK8" s="64" t="s">
        <v>238</v>
      </c>
      <c r="CL8" s="64" t="s">
        <v>202</v>
      </c>
      <c r="CM8" s="64" t="s">
        <v>205</v>
      </c>
      <c r="CN8" s="52" t="s">
        <v>203</v>
      </c>
      <c r="CO8" s="64" t="s">
        <v>165</v>
      </c>
      <c r="CP8" s="64" t="s">
        <v>210</v>
      </c>
      <c r="CQ8" s="64" t="s">
        <v>209</v>
      </c>
      <c r="CR8" s="64" t="s">
        <v>70</v>
      </c>
      <c r="CS8" s="64" t="s">
        <v>217</v>
      </c>
      <c r="CT8" s="64" t="s">
        <v>70</v>
      </c>
      <c r="CU8" s="64" t="s">
        <v>220</v>
      </c>
      <c r="CV8" s="64" t="s">
        <v>215</v>
      </c>
      <c r="CW8" s="64" t="s">
        <v>222</v>
      </c>
      <c r="CX8" s="64" t="s">
        <v>70</v>
      </c>
      <c r="CY8" s="64" t="s">
        <v>220</v>
      </c>
      <c r="CZ8" s="64" t="s">
        <v>215</v>
      </c>
      <c r="DA8" s="64" t="s">
        <v>226</v>
      </c>
      <c r="DB8" s="64" t="s">
        <v>70</v>
      </c>
      <c r="DC8" s="52" t="s">
        <v>220</v>
      </c>
      <c r="DD8" s="52" t="s">
        <v>215</v>
      </c>
      <c r="DE8" s="52" t="s">
        <v>226</v>
      </c>
      <c r="DF8" s="52" t="s">
        <v>233</v>
      </c>
      <c r="DG8" s="64" t="s">
        <v>70</v>
      </c>
      <c r="DH8" s="52" t="s">
        <v>220</v>
      </c>
      <c r="DI8" s="52" t="s">
        <v>215</v>
      </c>
      <c r="DJ8" s="52" t="s">
        <v>226</v>
      </c>
      <c r="DK8" s="52" t="s">
        <v>237</v>
      </c>
      <c r="DL8" s="64" t="s">
        <v>240</v>
      </c>
      <c r="DM8" s="64" t="s">
        <v>244</v>
      </c>
      <c r="DN8" s="64"/>
      <c r="DO8" s="64" t="s">
        <v>205</v>
      </c>
      <c r="DP8" s="64"/>
      <c r="DQ8" s="64"/>
      <c r="DR8" s="64" t="s">
        <v>250</v>
      </c>
      <c r="DS8" s="64" t="s">
        <v>252</v>
      </c>
      <c r="DT8" s="64"/>
      <c r="DU8" s="64" t="s">
        <v>250</v>
      </c>
      <c r="DV8" s="64" t="s">
        <v>252</v>
      </c>
      <c r="DW8" s="64" t="s">
        <v>291</v>
      </c>
      <c r="DX8" s="64" t="s">
        <v>70</v>
      </c>
      <c r="DY8" s="9"/>
      <c r="DZ8" s="64" t="s">
        <v>258</v>
      </c>
      <c r="EA8" s="64" t="s">
        <v>70</v>
      </c>
      <c r="EB8" s="64" t="s">
        <v>258</v>
      </c>
      <c r="EC8" s="64" t="s">
        <v>269</v>
      </c>
      <c r="ED8" s="73"/>
      <c r="EE8" s="64" t="s">
        <v>70</v>
      </c>
      <c r="EF8" s="64" t="s">
        <v>258</v>
      </c>
      <c r="EG8" s="64" t="s">
        <v>269</v>
      </c>
      <c r="EH8" s="64" t="s">
        <v>275</v>
      </c>
      <c r="EI8" s="64" t="s">
        <v>70</v>
      </c>
      <c r="EJ8" s="64" t="s">
        <v>258</v>
      </c>
      <c r="EK8" s="64" t="s">
        <v>269</v>
      </c>
      <c r="EL8" s="64" t="s">
        <v>277</v>
      </c>
      <c r="EM8" s="64" t="s">
        <v>70</v>
      </c>
      <c r="EN8" s="52" t="s">
        <v>258</v>
      </c>
      <c r="EO8" s="52" t="s">
        <v>269</v>
      </c>
      <c r="EP8" s="52" t="s">
        <v>277</v>
      </c>
      <c r="EQ8" s="52" t="s">
        <v>284</v>
      </c>
      <c r="ER8" s="64" t="s">
        <v>70</v>
      </c>
      <c r="ES8" s="52" t="s">
        <v>258</v>
      </c>
      <c r="ET8" s="52" t="s">
        <v>290</v>
      </c>
      <c r="EU8" s="52" t="s">
        <v>288</v>
      </c>
      <c r="EV8" s="52" t="s">
        <v>287</v>
      </c>
      <c r="EW8" s="64" t="s">
        <v>244</v>
      </c>
      <c r="EX8" s="52" t="s">
        <v>258</v>
      </c>
      <c r="EY8" s="52" t="s">
        <v>294</v>
      </c>
      <c r="EZ8" s="64"/>
      <c r="FA8" s="52" t="s">
        <v>258</v>
      </c>
      <c r="FB8" s="52" t="s">
        <v>297</v>
      </c>
    </row>
    <row r="9" spans="1:162" ht="12.75" x14ac:dyDescent="0.2">
      <c r="A9" s="46" t="s">
        <v>21</v>
      </c>
      <c r="B9" s="23"/>
      <c r="C9" s="60" t="s">
        <v>248</v>
      </c>
      <c r="D9" s="25">
        <v>13612790</v>
      </c>
      <c r="E9" s="26">
        <v>16780047</v>
      </c>
      <c r="F9" s="26">
        <v>15813844</v>
      </c>
      <c r="G9" s="26">
        <v>13750821</v>
      </c>
      <c r="H9" s="26"/>
      <c r="I9" s="26">
        <f t="shared" ref="I9:I53" si="0">SUM(G9:H9)</f>
        <v>13750821</v>
      </c>
      <c r="J9" s="27">
        <v>-581934</v>
      </c>
      <c r="K9" s="27"/>
      <c r="L9" s="27">
        <f t="shared" ref="L9:L53" si="1">SUM(J9:K9)</f>
        <v>-581934</v>
      </c>
      <c r="M9" s="28">
        <f>L9+I9</f>
        <v>13168887</v>
      </c>
      <c r="N9" s="28">
        <v>13169128</v>
      </c>
      <c r="O9" s="28">
        <v>13031114</v>
      </c>
      <c r="P9" s="28">
        <v>13131114</v>
      </c>
      <c r="Q9" s="28">
        <v>13100000</v>
      </c>
      <c r="R9" s="28">
        <v>13165557</v>
      </c>
      <c r="S9" s="28">
        <v>1.7809999999999999E-2</v>
      </c>
      <c r="T9" s="28">
        <f>-S9*R9</f>
        <v>-234478.57016999999</v>
      </c>
      <c r="U9" s="28">
        <f>R9+T9</f>
        <v>12931078.42983</v>
      </c>
      <c r="V9" s="28">
        <f t="shared" ref="V9:V44" si="2">U9-M9</f>
        <v>-237808.5701700002</v>
      </c>
      <c r="W9" s="29">
        <v>12767009</v>
      </c>
      <c r="X9" s="29"/>
      <c r="Y9" s="29">
        <f>W9+X9</f>
        <v>12767009</v>
      </c>
      <c r="Z9" s="30">
        <v>12767009</v>
      </c>
      <c r="AA9" s="30">
        <f>(Z9-W9)</f>
        <v>0</v>
      </c>
      <c r="AB9" s="30">
        <v>12767009</v>
      </c>
      <c r="AC9" s="30">
        <v>12767009</v>
      </c>
      <c r="AD9" s="31">
        <v>12511669</v>
      </c>
      <c r="AE9" s="30"/>
      <c r="AF9" s="30"/>
      <c r="AG9" s="30"/>
      <c r="AH9" s="31">
        <v>12511669</v>
      </c>
      <c r="AI9" s="31">
        <v>12767009</v>
      </c>
      <c r="AJ9" s="30">
        <f t="shared" ref="AJ9:AJ12" si="3">AD9-W9</f>
        <v>-255340</v>
      </c>
      <c r="AK9" s="30">
        <f>AD9-Z9</f>
        <v>-255340</v>
      </c>
      <c r="AL9" s="30">
        <f>AD9-AC9</f>
        <v>-255340</v>
      </c>
      <c r="AM9" s="31">
        <f>AH9-W9</f>
        <v>-255340</v>
      </c>
      <c r="AN9" s="31">
        <f>AH9-Z9</f>
        <v>-255340</v>
      </c>
      <c r="AO9" s="31">
        <f t="shared" ref="AO9:AO54" si="4">AH9-AC9</f>
        <v>-255340</v>
      </c>
      <c r="AP9" s="30">
        <v>12767009</v>
      </c>
      <c r="AQ9" s="30">
        <f t="shared" ref="AQ9:AQ54" si="5">AI9-W9-X9</f>
        <v>0</v>
      </c>
      <c r="AR9" s="30">
        <f>AI9-Z9</f>
        <v>0</v>
      </c>
      <c r="AS9" s="30">
        <f>AP9-W9-X9</f>
        <v>0</v>
      </c>
      <c r="AT9" s="30"/>
      <c r="AU9" s="30">
        <f>AP9+AT9</f>
        <v>12767009</v>
      </c>
      <c r="AV9" s="30">
        <v>13424188</v>
      </c>
      <c r="AW9" s="30">
        <f>AV9-(AP9+AT9)</f>
        <v>657179</v>
      </c>
      <c r="AX9" s="30">
        <v>13036906</v>
      </c>
      <c r="AY9" s="31">
        <f>AX9-AP9-AT9</f>
        <v>269897</v>
      </c>
      <c r="AZ9" s="31">
        <f>AX9-AV9</f>
        <v>-387282</v>
      </c>
      <c r="BA9" s="30">
        <v>13424188</v>
      </c>
      <c r="BB9" s="30">
        <f>BA9-AP9-AT9</f>
        <v>657179</v>
      </c>
      <c r="BC9" s="30">
        <f>BA9-AV9</f>
        <v>0</v>
      </c>
      <c r="BD9" s="30">
        <f>BA9-AX9</f>
        <v>387282</v>
      </c>
      <c r="BE9" s="30">
        <v>13444988</v>
      </c>
      <c r="BF9" s="30">
        <v>13694988</v>
      </c>
      <c r="BG9" s="30">
        <v>13694988</v>
      </c>
      <c r="BH9" s="30">
        <f>+BF9-AU9</f>
        <v>927979</v>
      </c>
      <c r="BI9" s="30">
        <f>+BF9-AV9</f>
        <v>270800</v>
      </c>
      <c r="BJ9" s="30">
        <f>+BF9-BA9</f>
        <v>270800</v>
      </c>
      <c r="BK9" s="8">
        <f>+BF9-BE9</f>
        <v>250000</v>
      </c>
      <c r="BL9" s="30">
        <v>75000</v>
      </c>
      <c r="BM9" s="30">
        <f>BG9-BL9</f>
        <v>13619988</v>
      </c>
      <c r="BN9" s="44">
        <v>13892387</v>
      </c>
      <c r="BO9" s="31">
        <f>BN9-BM9</f>
        <v>272399</v>
      </c>
      <c r="BP9" s="44">
        <v>13837895</v>
      </c>
      <c r="BQ9" s="8">
        <f>BP9-BM9</f>
        <v>217907</v>
      </c>
      <c r="BR9" s="8">
        <f>BP9-BN9</f>
        <v>-54492</v>
      </c>
      <c r="BS9" s="44">
        <v>14438400</v>
      </c>
      <c r="BT9" s="47">
        <f>BS9-BM9</f>
        <v>818412</v>
      </c>
      <c r="BU9" s="47">
        <f>BS9-BN9</f>
        <v>546013</v>
      </c>
      <c r="BV9" s="47">
        <f>BS9-BP9</f>
        <v>600505</v>
      </c>
      <c r="BW9" s="45">
        <v>13837895</v>
      </c>
      <c r="BX9" s="8">
        <f>BW9-BM9</f>
        <v>217907</v>
      </c>
      <c r="BY9" s="8">
        <f>BW9-BN9</f>
        <v>-54492</v>
      </c>
      <c r="BZ9" s="8">
        <f>BW9-BS9</f>
        <v>-600505</v>
      </c>
      <c r="CA9" s="45">
        <f>13837895+50000</f>
        <v>13887895</v>
      </c>
      <c r="CB9" s="8">
        <f>CA9-BM9</f>
        <v>267907</v>
      </c>
      <c r="CC9" s="8">
        <f>CA9-BN9</f>
        <v>-4492</v>
      </c>
      <c r="CD9" s="8">
        <f t="shared" ref="CD9:CD54" si="6">CA9-BS9</f>
        <v>-550505</v>
      </c>
      <c r="CE9" s="8">
        <f>CA9-BW9</f>
        <v>50000</v>
      </c>
      <c r="CF9" s="45">
        <v>14463400</v>
      </c>
      <c r="CG9" s="8">
        <f>CF9-BM9</f>
        <v>843412</v>
      </c>
      <c r="CH9" s="8">
        <f>CF9-BN9</f>
        <v>571013</v>
      </c>
      <c r="CI9" s="8">
        <f>CF9-BS9</f>
        <v>25000</v>
      </c>
      <c r="CJ9" s="8">
        <f>CF9-CA9</f>
        <v>575505</v>
      </c>
      <c r="CK9" s="45">
        <f>14463400+30000</f>
        <v>14493400</v>
      </c>
      <c r="CL9" s="8">
        <f t="shared" ref="CL9:CL55" si="7">CK9-BM9</f>
        <v>873412</v>
      </c>
      <c r="CM9" s="8">
        <f>CK9-BN9</f>
        <v>601013</v>
      </c>
      <c r="CN9" s="8">
        <f>CK9-CF9</f>
        <v>30000</v>
      </c>
      <c r="CO9" s="45">
        <v>13258242</v>
      </c>
      <c r="CP9" s="45">
        <f>CO9-BN9</f>
        <v>-634145</v>
      </c>
      <c r="CQ9" s="8">
        <f>CO9-CK9</f>
        <v>-1235158</v>
      </c>
      <c r="CR9" s="45">
        <v>13258243</v>
      </c>
      <c r="CS9" s="32">
        <v>270414</v>
      </c>
      <c r="CT9" s="45">
        <f>+CS9+CR9</f>
        <v>13528657</v>
      </c>
      <c r="CU9" s="8">
        <f>CT9-CK9</f>
        <v>-964743</v>
      </c>
      <c r="CV9" s="45">
        <f>CT9-CO9</f>
        <v>270415</v>
      </c>
      <c r="CW9" s="45">
        <f>CT9-CR9</f>
        <v>270414</v>
      </c>
      <c r="CX9" s="45">
        <v>13150714</v>
      </c>
      <c r="CY9" s="8">
        <f>CX9-CK9</f>
        <v>-1342686</v>
      </c>
      <c r="CZ9" s="45">
        <f>CX9-CO9</f>
        <v>-107528</v>
      </c>
      <c r="DA9" s="45">
        <f>CX9-CT9</f>
        <v>-377943</v>
      </c>
      <c r="DB9" s="45">
        <v>13150714</v>
      </c>
      <c r="DC9" s="8">
        <f>DB9-CK9</f>
        <v>-1342686</v>
      </c>
      <c r="DD9" s="45">
        <f>DB9-CO9</f>
        <v>-107528</v>
      </c>
      <c r="DE9" s="45">
        <f>DB9-CT9</f>
        <v>-377943</v>
      </c>
      <c r="DF9" s="45">
        <f>DB9-CX9</f>
        <v>0</v>
      </c>
      <c r="DG9" s="45">
        <v>13778657</v>
      </c>
      <c r="DH9" s="47">
        <f>DG9-CK9</f>
        <v>-714743</v>
      </c>
      <c r="DI9" s="45">
        <f>DG9-CO9</f>
        <v>520415</v>
      </c>
      <c r="DJ9" s="45">
        <f>DG9-CT9</f>
        <v>250000</v>
      </c>
      <c r="DK9" s="45">
        <f>DG9-DB9</f>
        <v>627943</v>
      </c>
      <c r="DL9" s="45">
        <f>-60000-100000-250000-25000</f>
        <v>-435000</v>
      </c>
      <c r="DM9" s="45">
        <f>SUM(DG9+DL9)</f>
        <v>13343657</v>
      </c>
      <c r="DN9" s="45">
        <v>13778657</v>
      </c>
      <c r="DO9" s="45">
        <f>DN9-CK9</f>
        <v>-714743</v>
      </c>
      <c r="DP9" s="45">
        <v>100000</v>
      </c>
      <c r="DQ9" s="45">
        <v>-438538</v>
      </c>
      <c r="DR9" s="45">
        <f>DN9+DP9+DQ9</f>
        <v>13440119</v>
      </c>
      <c r="DS9" s="45">
        <f>DR9-CK9</f>
        <v>-1053281</v>
      </c>
      <c r="DT9" s="45">
        <v>-380193</v>
      </c>
      <c r="DU9" s="45">
        <f>DR9+DT9</f>
        <v>13059926</v>
      </c>
      <c r="DV9" s="45">
        <f>DU9-CK9</f>
        <v>-1433474</v>
      </c>
      <c r="DW9" s="45">
        <v>13059926</v>
      </c>
      <c r="DX9" s="45">
        <v>13425797</v>
      </c>
      <c r="DY9" s="9"/>
      <c r="DZ9" s="8">
        <f>DX9-DU9</f>
        <v>365871</v>
      </c>
      <c r="EA9" s="47">
        <v>13237522</v>
      </c>
      <c r="EB9" s="8">
        <f>EA9-DU9</f>
        <v>177596</v>
      </c>
      <c r="EC9" s="8">
        <f>EA9-DX9</f>
        <v>-188275</v>
      </c>
      <c r="ED9" s="73"/>
      <c r="EE9" s="44">
        <v>13857522</v>
      </c>
      <c r="EF9" s="30">
        <f>EE9-DU9</f>
        <v>797596</v>
      </c>
      <c r="EG9" s="30">
        <f>EE9-DX9</f>
        <v>431725</v>
      </c>
      <c r="EH9" s="30">
        <f>EE9-EA9</f>
        <v>620000</v>
      </c>
      <c r="EI9" s="44">
        <v>13625797</v>
      </c>
      <c r="EJ9" s="30">
        <f>EI9-DU9</f>
        <v>565871</v>
      </c>
      <c r="EK9" s="30">
        <f>EI9-DX9</f>
        <v>200000</v>
      </c>
      <c r="EL9" s="30">
        <f>EI9-EE9</f>
        <v>-231725</v>
      </c>
      <c r="EM9" s="44">
        <f>13625797+220000</f>
        <v>13845797</v>
      </c>
      <c r="EN9" s="30">
        <f>EM9-DU9</f>
        <v>785871</v>
      </c>
      <c r="EO9" s="30">
        <f>EM9-DX9</f>
        <v>420000</v>
      </c>
      <c r="EP9" s="30">
        <f>EM9-EE9</f>
        <v>-11725</v>
      </c>
      <c r="EQ9" s="30">
        <f>EM9-EI9</f>
        <v>220000</v>
      </c>
      <c r="ER9" s="44">
        <v>14442522</v>
      </c>
      <c r="ES9" s="30">
        <f>ER9-DW9</f>
        <v>1382596</v>
      </c>
      <c r="ET9" s="30">
        <f>ER9-DX9</f>
        <v>1016725</v>
      </c>
      <c r="EU9" s="30">
        <f>ER9-EE9</f>
        <v>585000</v>
      </c>
      <c r="EV9" s="30">
        <f>ER9-EM9</f>
        <v>596725</v>
      </c>
      <c r="EW9" s="44">
        <f>14442522-1193000</f>
        <v>13249522</v>
      </c>
      <c r="EX9" s="30">
        <f>EW9-DW9</f>
        <v>189596</v>
      </c>
      <c r="EY9" s="30">
        <f>EW9-ER9</f>
        <v>-1193000</v>
      </c>
      <c r="EZ9" s="31">
        <f>14442522</f>
        <v>14442522</v>
      </c>
      <c r="FA9" s="30">
        <f>EZ9-DW9</f>
        <v>1382596</v>
      </c>
      <c r="FB9" s="30">
        <f>EZ9-EW9</f>
        <v>1193000</v>
      </c>
      <c r="FD9" s="3"/>
    </row>
    <row r="10" spans="1:162" ht="12.75" x14ac:dyDescent="0.2">
      <c r="A10" s="24" t="s">
        <v>14</v>
      </c>
      <c r="B10" s="24"/>
      <c r="C10" s="61" t="s">
        <v>59</v>
      </c>
      <c r="D10" s="25">
        <v>20615313</v>
      </c>
      <c r="E10" s="26">
        <v>21615313</v>
      </c>
      <c r="F10" s="26">
        <v>19345224</v>
      </c>
      <c r="G10" s="26">
        <v>18491758</v>
      </c>
      <c r="H10" s="26"/>
      <c r="I10" s="26">
        <f t="shared" si="0"/>
        <v>18491758</v>
      </c>
      <c r="J10" s="27"/>
      <c r="K10" s="27"/>
      <c r="L10" s="27">
        <f t="shared" si="1"/>
        <v>0</v>
      </c>
      <c r="M10" s="28">
        <f t="shared" ref="M10:M53" si="8">L10+I10</f>
        <v>18491758</v>
      </c>
      <c r="N10" s="28">
        <f>M10+J10</f>
        <v>18491758</v>
      </c>
      <c r="O10" s="28">
        <v>17642582</v>
      </c>
      <c r="P10" s="28">
        <v>17642582</v>
      </c>
      <c r="Q10" s="28">
        <v>17642582</v>
      </c>
      <c r="R10" s="28">
        <v>17642582</v>
      </c>
      <c r="S10" s="28">
        <v>0</v>
      </c>
      <c r="T10" s="28">
        <f>-S10*R10</f>
        <v>0</v>
      </c>
      <c r="U10" s="28">
        <f>R10+T10</f>
        <v>17642582</v>
      </c>
      <c r="V10" s="28">
        <f t="shared" si="2"/>
        <v>-849176</v>
      </c>
      <c r="W10" s="29">
        <v>17642582</v>
      </c>
      <c r="X10" s="29"/>
      <c r="Y10" s="29">
        <f t="shared" ref="Y10:Y54" si="9">W10+X10</f>
        <v>17642582</v>
      </c>
      <c r="Z10" s="30">
        <v>17642582</v>
      </c>
      <c r="AA10" s="30">
        <f t="shared" ref="AA10:AA53" si="10">(Z10-W10)</f>
        <v>0</v>
      </c>
      <c r="AB10" s="30">
        <v>16142582</v>
      </c>
      <c r="AC10" s="30">
        <v>17642582</v>
      </c>
      <c r="AD10" s="31">
        <v>16999730</v>
      </c>
      <c r="AE10" s="30">
        <f>AC10-AB10</f>
        <v>1500000</v>
      </c>
      <c r="AF10" s="30"/>
      <c r="AG10" s="30"/>
      <c r="AH10" s="32">
        <v>17642582</v>
      </c>
      <c r="AI10" s="32">
        <v>17642582</v>
      </c>
      <c r="AJ10" s="30">
        <f t="shared" si="3"/>
        <v>-642852</v>
      </c>
      <c r="AK10" s="30">
        <f t="shared" ref="AK10:AK54" si="11">AD10-Z10</f>
        <v>-642852</v>
      </c>
      <c r="AL10" s="30">
        <f t="shared" ref="AL10:AL54" si="12">AD10-AC10</f>
        <v>-642852</v>
      </c>
      <c r="AM10" s="31">
        <f t="shared" ref="AM10:AM54" si="13">AH10-W10</f>
        <v>0</v>
      </c>
      <c r="AN10" s="31">
        <f t="shared" ref="AN10:AN54" si="14">AH10-Z10</f>
        <v>0</v>
      </c>
      <c r="AO10" s="31">
        <f t="shared" si="4"/>
        <v>0</v>
      </c>
      <c r="AP10" s="30">
        <v>17642582</v>
      </c>
      <c r="AQ10" s="30">
        <f t="shared" si="5"/>
        <v>0</v>
      </c>
      <c r="AR10" s="30">
        <f t="shared" ref="AR10:AR54" si="15">AI10-Z10</f>
        <v>0</v>
      </c>
      <c r="AS10" s="30">
        <f t="shared" ref="AS10:AS54" si="16">AP10-W10-X10</f>
        <v>0</v>
      </c>
      <c r="AT10" s="30"/>
      <c r="AU10" s="30">
        <f t="shared" ref="AU10:AU54" si="17">AP10+AT10</f>
        <v>17642582</v>
      </c>
      <c r="AV10" s="30">
        <v>17642582</v>
      </c>
      <c r="AW10" s="30">
        <f t="shared" ref="AW10:AW54" si="18">AV10-(AP10+AT10)</f>
        <v>0</v>
      </c>
      <c r="AX10" s="30">
        <v>16642582</v>
      </c>
      <c r="AY10" s="31">
        <f>AX10-AP10-AT10</f>
        <v>-1000000</v>
      </c>
      <c r="AZ10" s="31">
        <f>AX10-AV10</f>
        <v>-1000000</v>
      </c>
      <c r="BA10" s="30">
        <v>18142582</v>
      </c>
      <c r="BB10" s="30">
        <f t="shared" ref="BB10:BB54" si="19">BA10-AP10-AT10</f>
        <v>500000</v>
      </c>
      <c r="BC10" s="30">
        <f t="shared" ref="BC10:BC54" si="20">BA10-AV10</f>
        <v>500000</v>
      </c>
      <c r="BD10" s="30">
        <f t="shared" ref="BD10:BD54" si="21">BA10-AX10</f>
        <v>1500000</v>
      </c>
      <c r="BE10" s="30">
        <f>16892582+1000000</f>
        <v>17892582</v>
      </c>
      <c r="BF10" s="30">
        <v>18142582</v>
      </c>
      <c r="BG10" s="30">
        <v>18142582</v>
      </c>
      <c r="BH10" s="30">
        <f t="shared" ref="BH10:BH54" si="22">+BF10-AU10</f>
        <v>500000</v>
      </c>
      <c r="BI10" s="30">
        <f t="shared" ref="BI10:BI54" si="23">+BF10-AV10</f>
        <v>500000</v>
      </c>
      <c r="BJ10" s="30">
        <f t="shared" ref="BJ10:BJ54" si="24">+BF10-BA10</f>
        <v>0</v>
      </c>
      <c r="BK10" s="8">
        <f t="shared" ref="BK10:BK54" si="25">+BF10-BE10</f>
        <v>250000</v>
      </c>
      <c r="BL10" s="30"/>
      <c r="BM10" s="30">
        <f t="shared" ref="BM10:BM54" si="26">BG10-BL10</f>
        <v>18142582</v>
      </c>
      <c r="BN10" s="44">
        <v>18142582</v>
      </c>
      <c r="BO10" s="31">
        <f t="shared" ref="BO10:BO54" si="27">BN10-BM10</f>
        <v>0</v>
      </c>
      <c r="BP10" s="44">
        <v>17142582</v>
      </c>
      <c r="BQ10" s="8">
        <f t="shared" ref="BQ10:BQ54" si="28">BP10-BM10</f>
        <v>-1000000</v>
      </c>
      <c r="BR10" s="8">
        <f t="shared" ref="BR10:BR54" si="29">BP10-BN10</f>
        <v>-1000000</v>
      </c>
      <c r="BS10" s="44">
        <v>18642582</v>
      </c>
      <c r="BT10" s="47">
        <f t="shared" ref="BT10:BT54" si="30">BS10-BM10</f>
        <v>500000</v>
      </c>
      <c r="BU10" s="47">
        <f t="shared" ref="BU10:BU54" si="31">BS10-BN10</f>
        <v>500000</v>
      </c>
      <c r="BV10" s="47">
        <f t="shared" ref="BV10:BV54" si="32">BS10-BP10</f>
        <v>1500000</v>
      </c>
      <c r="BW10" s="45">
        <v>17142582</v>
      </c>
      <c r="BX10" s="8">
        <f t="shared" ref="BX10:BX54" si="33">BW10-BM10</f>
        <v>-1000000</v>
      </c>
      <c r="BY10" s="8">
        <f t="shared" ref="BY10:BY54" si="34">BW10-BN10</f>
        <v>-1000000</v>
      </c>
      <c r="BZ10" s="8">
        <f t="shared" ref="BZ10:BZ54" si="35">BW10-BS10</f>
        <v>-1500000</v>
      </c>
      <c r="CA10" s="45">
        <f>17142582+1000000</f>
        <v>18142582</v>
      </c>
      <c r="CB10" s="8">
        <f t="shared" ref="CB10:CB54" si="36">CA10-BM10</f>
        <v>0</v>
      </c>
      <c r="CC10" s="8">
        <f t="shared" ref="CC10:CC54" si="37">CA10-BN10</f>
        <v>0</v>
      </c>
      <c r="CD10" s="8">
        <f t="shared" si="6"/>
        <v>-500000</v>
      </c>
      <c r="CE10" s="8">
        <f t="shared" ref="CE10:CE54" si="38">CA10-BW10</f>
        <v>1000000</v>
      </c>
      <c r="CF10" s="45">
        <v>18642582</v>
      </c>
      <c r="CG10" s="8">
        <f t="shared" ref="CG10:CG55" si="39">CF10-BM10</f>
        <v>500000</v>
      </c>
      <c r="CH10" s="8">
        <f t="shared" ref="CH10:CH55" si="40">CF10-BN10</f>
        <v>500000</v>
      </c>
      <c r="CI10" s="8">
        <f t="shared" ref="CI10:CI55" si="41">CF10-BS10</f>
        <v>0</v>
      </c>
      <c r="CJ10" s="8">
        <f t="shared" ref="CJ10:CJ55" si="42">CF10-CA10</f>
        <v>500000</v>
      </c>
      <c r="CK10" s="45">
        <v>18642582</v>
      </c>
      <c r="CL10" s="8">
        <f t="shared" si="7"/>
        <v>500000</v>
      </c>
      <c r="CM10" s="8">
        <f t="shared" ref="CM10:CM55" si="43">CK10-BN10</f>
        <v>500000</v>
      </c>
      <c r="CN10" s="8">
        <f t="shared" ref="CN10:CN55" si="44">CK10-CF10</f>
        <v>0</v>
      </c>
      <c r="CO10" s="45">
        <v>18642582</v>
      </c>
      <c r="CP10" s="45">
        <f t="shared" ref="CP10:CP55" si="45">CO10-BN10</f>
        <v>500000</v>
      </c>
      <c r="CQ10" s="8">
        <f t="shared" ref="CQ10:CQ58" si="46">CO10-CK10</f>
        <v>0</v>
      </c>
      <c r="CR10" s="45">
        <v>18642582</v>
      </c>
      <c r="CS10" s="32">
        <v>500000</v>
      </c>
      <c r="CT10" s="45">
        <f t="shared" ref="CT10:CT55" si="47">+CS10+CR10</f>
        <v>19142582</v>
      </c>
      <c r="CU10" s="8">
        <f t="shared" ref="CU10:CU55" si="48">CT10-CK10</f>
        <v>500000</v>
      </c>
      <c r="CV10" s="45">
        <f t="shared" ref="CV10:CV55" si="49">CT10-CO10</f>
        <v>500000</v>
      </c>
      <c r="CW10" s="45">
        <f t="shared" ref="CW10:CW55" si="50">CT10-CR10</f>
        <v>500000</v>
      </c>
      <c r="CX10" s="45">
        <v>18642582</v>
      </c>
      <c r="CY10" s="8">
        <f t="shared" ref="CY10:CY55" si="51">CX10-CK10</f>
        <v>0</v>
      </c>
      <c r="CZ10" s="45">
        <f t="shared" ref="CZ10:CZ55" si="52">CX10-CO10</f>
        <v>0</v>
      </c>
      <c r="DA10" s="45">
        <f t="shared" ref="DA10:DA55" si="53">CX10-CT10</f>
        <v>-500000</v>
      </c>
      <c r="DB10" s="45">
        <v>18642582</v>
      </c>
      <c r="DC10" s="8">
        <f t="shared" ref="DC10:DC55" si="54">DB10-CK10</f>
        <v>0</v>
      </c>
      <c r="DD10" s="45">
        <f t="shared" ref="DD10:DD55" si="55">DB10-CO10</f>
        <v>0</v>
      </c>
      <c r="DE10" s="45">
        <f t="shared" ref="DE10:DE55" si="56">DB10-CT10</f>
        <v>-500000</v>
      </c>
      <c r="DF10" s="45">
        <f t="shared" ref="DF10:DF55" si="57">DB10-CX10</f>
        <v>0</v>
      </c>
      <c r="DG10" s="45">
        <v>19142582</v>
      </c>
      <c r="DH10" s="47">
        <f t="shared" ref="DH10:DH55" si="58">DG10-CK10</f>
        <v>500000</v>
      </c>
      <c r="DI10" s="45">
        <f t="shared" ref="DI10:DI55" si="59">DG10-CO10</f>
        <v>500000</v>
      </c>
      <c r="DJ10" s="45">
        <f t="shared" ref="DJ10:DJ55" si="60">DG10-CT10</f>
        <v>0</v>
      </c>
      <c r="DK10" s="45">
        <f t="shared" ref="DK10:DK55" si="61">DG10-DB10</f>
        <v>500000</v>
      </c>
      <c r="DL10" s="45"/>
      <c r="DM10" s="45">
        <f t="shared" ref="DM10:DM55" si="62">SUM(DG10+DL10)</f>
        <v>19142582</v>
      </c>
      <c r="DN10" s="45">
        <v>19142582</v>
      </c>
      <c r="DO10" s="45">
        <f t="shared" ref="DO10:DO55" si="63">DN10-CK10</f>
        <v>500000</v>
      </c>
      <c r="DP10" s="45"/>
      <c r="DQ10" s="45">
        <v>-287139</v>
      </c>
      <c r="DR10" s="45">
        <f t="shared" ref="DR10:DR55" si="64">DN10+DP10+DQ10</f>
        <v>18855443</v>
      </c>
      <c r="DS10" s="45">
        <f t="shared" ref="DS10:DS55" si="65">DR10-CK10</f>
        <v>212861</v>
      </c>
      <c r="DT10" s="45">
        <v>-943000</v>
      </c>
      <c r="DU10" s="45">
        <f t="shared" ref="DU10:DU55" si="66">DR10+DT10</f>
        <v>17912443</v>
      </c>
      <c r="DV10" s="45">
        <f t="shared" ref="DV10:DV55" si="67">DU10-CK10</f>
        <v>-730139</v>
      </c>
      <c r="DW10" s="45">
        <v>17912443</v>
      </c>
      <c r="DX10" s="45">
        <v>19142582</v>
      </c>
      <c r="DY10" s="9"/>
      <c r="DZ10" s="8">
        <f t="shared" ref="DZ10:DZ57" si="68">DX10-DU10</f>
        <v>1230139</v>
      </c>
      <c r="EA10" s="47">
        <v>19142582</v>
      </c>
      <c r="EB10" s="8">
        <f t="shared" ref="EB10:EB57" si="69">EA10-DU10</f>
        <v>1230139</v>
      </c>
      <c r="EC10" s="8">
        <f t="shared" ref="EC10:EC57" si="70">EA10-DX10</f>
        <v>0</v>
      </c>
      <c r="ED10" s="73"/>
      <c r="EE10" s="44">
        <v>20142582</v>
      </c>
      <c r="EF10" s="30">
        <f t="shared" ref="EF10:EF57" si="71">EE10-DU10</f>
        <v>2230139</v>
      </c>
      <c r="EG10" s="30">
        <f t="shared" ref="EG10:EG57" si="72">EE10-DX10</f>
        <v>1000000</v>
      </c>
      <c r="EH10" s="30">
        <f t="shared" ref="EH10:EH57" si="73">EE10-EA10</f>
        <v>1000000</v>
      </c>
      <c r="EI10" s="44">
        <v>17912443</v>
      </c>
      <c r="EJ10" s="30">
        <f t="shared" ref="EJ10:EJ57" si="74">EI10-DU10</f>
        <v>0</v>
      </c>
      <c r="EK10" s="30">
        <f t="shared" ref="EK10:EK57" si="75">EI10-DX10</f>
        <v>-1230139</v>
      </c>
      <c r="EL10" s="30">
        <f t="shared" ref="EL10:EL57" si="76">EI10-EE10</f>
        <v>-2230139</v>
      </c>
      <c r="EM10" s="44">
        <f>17912443+2000000</f>
        <v>19912443</v>
      </c>
      <c r="EN10" s="30">
        <f>EM10-DU10</f>
        <v>2000000</v>
      </c>
      <c r="EO10" s="30">
        <f>EM10-DX10</f>
        <v>769861</v>
      </c>
      <c r="EP10" s="30">
        <f>EM10-EE10</f>
        <v>-230139</v>
      </c>
      <c r="EQ10" s="30">
        <f t="shared" ref="EQ10:EQ57" si="77">EM10-EI10</f>
        <v>2000000</v>
      </c>
      <c r="ER10" s="44">
        <v>20142582</v>
      </c>
      <c r="ES10" s="30">
        <f t="shared" ref="ES10:ES57" si="78">ER10-DW10</f>
        <v>2230139</v>
      </c>
      <c r="ET10" s="30">
        <f t="shared" ref="ET10:ET57" si="79">ER10-DX10</f>
        <v>1000000</v>
      </c>
      <c r="EU10" s="30">
        <f t="shared" ref="EU10:EU57" si="80">ER10-EE10</f>
        <v>0</v>
      </c>
      <c r="EV10" s="30">
        <f t="shared" ref="EV10:EV57" si="81">ER10-EM10</f>
        <v>230139</v>
      </c>
      <c r="EW10" s="44">
        <v>20142582</v>
      </c>
      <c r="EX10" s="30">
        <f t="shared" ref="EX10:EX57" si="82">EW10-DW10</f>
        <v>2230139</v>
      </c>
      <c r="EY10" s="30">
        <f t="shared" ref="EY10:EY57" si="83">EW10-ER10</f>
        <v>0</v>
      </c>
      <c r="EZ10" s="31">
        <v>20142582</v>
      </c>
      <c r="FA10" s="30">
        <f t="shared" ref="FA10:FA56" si="84">EZ10-DW10</f>
        <v>2230139</v>
      </c>
      <c r="FB10" s="30">
        <f t="shared" ref="FB10:FB57" si="85">EZ10-EW10</f>
        <v>0</v>
      </c>
    </row>
    <row r="11" spans="1:162" ht="12.75" x14ac:dyDescent="0.2">
      <c r="A11" s="22" t="s">
        <v>42</v>
      </c>
      <c r="B11" s="23"/>
      <c r="C11" s="61" t="s">
        <v>157</v>
      </c>
      <c r="D11" s="25">
        <v>0</v>
      </c>
      <c r="E11" s="26">
        <v>1450000</v>
      </c>
      <c r="F11" s="26">
        <v>1192800</v>
      </c>
      <c r="G11" s="26">
        <v>0</v>
      </c>
      <c r="H11" s="26"/>
      <c r="I11" s="26">
        <f t="shared" si="0"/>
        <v>0</v>
      </c>
      <c r="J11" s="27"/>
      <c r="K11" s="27"/>
      <c r="L11" s="27">
        <f t="shared" si="1"/>
        <v>0</v>
      </c>
      <c r="M11" s="28">
        <f t="shared" si="8"/>
        <v>0</v>
      </c>
      <c r="N11" s="28">
        <f>M11+J11</f>
        <v>0</v>
      </c>
      <c r="O11" s="28">
        <v>800000</v>
      </c>
      <c r="P11" s="28">
        <v>800000</v>
      </c>
      <c r="Q11" s="28">
        <v>0</v>
      </c>
      <c r="R11" s="28">
        <v>800000</v>
      </c>
      <c r="S11" s="28">
        <v>0.5</v>
      </c>
      <c r="T11" s="28">
        <f t="shared" ref="T11:T53" si="86">-S11*R11</f>
        <v>-400000</v>
      </c>
      <c r="U11" s="28">
        <f t="shared" ref="U11:U53" si="87">R11+T11</f>
        <v>400000</v>
      </c>
      <c r="V11" s="28">
        <f t="shared" si="2"/>
        <v>400000</v>
      </c>
      <c r="W11" s="29">
        <v>400000</v>
      </c>
      <c r="X11" s="29"/>
      <c r="Y11" s="29">
        <f t="shared" si="9"/>
        <v>400000</v>
      </c>
      <c r="Z11" s="30">
        <v>0</v>
      </c>
      <c r="AA11" s="30">
        <f t="shared" si="10"/>
        <v>-400000</v>
      </c>
      <c r="AB11" s="30">
        <v>400000</v>
      </c>
      <c r="AC11" s="30">
        <v>400000</v>
      </c>
      <c r="AD11" s="31">
        <v>392000</v>
      </c>
      <c r="AE11" s="30"/>
      <c r="AF11" s="30"/>
      <c r="AG11" s="30">
        <f>AC11-Z11</f>
        <v>400000</v>
      </c>
      <c r="AH11" s="31">
        <v>392000</v>
      </c>
      <c r="AI11" s="31">
        <v>400000</v>
      </c>
      <c r="AJ11" s="30">
        <f t="shared" si="3"/>
        <v>-8000</v>
      </c>
      <c r="AK11" s="30">
        <f t="shared" si="11"/>
        <v>392000</v>
      </c>
      <c r="AL11" s="30">
        <f t="shared" si="12"/>
        <v>-8000</v>
      </c>
      <c r="AM11" s="31">
        <f t="shared" si="13"/>
        <v>-8000</v>
      </c>
      <c r="AN11" s="31">
        <f t="shared" si="14"/>
        <v>392000</v>
      </c>
      <c r="AO11" s="31">
        <f t="shared" si="4"/>
        <v>-8000</v>
      </c>
      <c r="AP11" s="30">
        <v>400000</v>
      </c>
      <c r="AQ11" s="30">
        <f t="shared" si="5"/>
        <v>0</v>
      </c>
      <c r="AR11" s="30">
        <f t="shared" si="15"/>
        <v>400000</v>
      </c>
      <c r="AS11" s="30">
        <f t="shared" si="16"/>
        <v>0</v>
      </c>
      <c r="AT11" s="30"/>
      <c r="AU11" s="30">
        <f t="shared" si="17"/>
        <v>400000</v>
      </c>
      <c r="AV11" s="30">
        <v>0</v>
      </c>
      <c r="AW11" s="30">
        <f t="shared" si="18"/>
        <v>-400000</v>
      </c>
      <c r="AX11" s="30">
        <v>400000</v>
      </c>
      <c r="AY11" s="31">
        <f t="shared" ref="AY11:AY53" si="88">AX11-AP11-AT11</f>
        <v>0</v>
      </c>
      <c r="AZ11" s="31">
        <f t="shared" ref="AZ11:AZ53" si="89">AX11-AV11</f>
        <v>400000</v>
      </c>
      <c r="BA11" s="30">
        <v>400000</v>
      </c>
      <c r="BB11" s="30">
        <f t="shared" si="19"/>
        <v>0</v>
      </c>
      <c r="BC11" s="30">
        <f t="shared" si="20"/>
        <v>400000</v>
      </c>
      <c r="BD11" s="30">
        <f t="shared" si="21"/>
        <v>0</v>
      </c>
      <c r="BE11" s="30">
        <v>400000</v>
      </c>
      <c r="BF11" s="30">
        <v>400000</v>
      </c>
      <c r="BG11" s="30">
        <v>400000</v>
      </c>
      <c r="BH11" s="30">
        <f t="shared" si="22"/>
        <v>0</v>
      </c>
      <c r="BI11" s="30">
        <f t="shared" si="23"/>
        <v>400000</v>
      </c>
      <c r="BJ11" s="30">
        <f t="shared" si="24"/>
        <v>0</v>
      </c>
      <c r="BK11" s="8">
        <f t="shared" si="25"/>
        <v>0</v>
      </c>
      <c r="BL11" s="30"/>
      <c r="BM11" s="30">
        <f t="shared" si="26"/>
        <v>400000</v>
      </c>
      <c r="BN11" s="44">
        <v>0</v>
      </c>
      <c r="BO11" s="31">
        <f t="shared" si="27"/>
        <v>-400000</v>
      </c>
      <c r="BP11" s="44">
        <v>0</v>
      </c>
      <c r="BQ11" s="8">
        <f t="shared" si="28"/>
        <v>-400000</v>
      </c>
      <c r="BR11" s="8">
        <f t="shared" si="29"/>
        <v>0</v>
      </c>
      <c r="BS11" s="44">
        <v>0</v>
      </c>
      <c r="BT11" s="47">
        <f t="shared" si="30"/>
        <v>-400000</v>
      </c>
      <c r="BU11" s="47">
        <f t="shared" si="31"/>
        <v>0</v>
      </c>
      <c r="BV11" s="47">
        <f t="shared" si="32"/>
        <v>0</v>
      </c>
      <c r="BW11" s="45">
        <v>400000</v>
      </c>
      <c r="BX11" s="8">
        <f t="shared" si="33"/>
        <v>0</v>
      </c>
      <c r="BY11" s="8">
        <f t="shared" si="34"/>
        <v>400000</v>
      </c>
      <c r="BZ11" s="8">
        <f t="shared" si="35"/>
        <v>400000</v>
      </c>
      <c r="CA11" s="45">
        <v>400000</v>
      </c>
      <c r="CB11" s="8">
        <f t="shared" si="36"/>
        <v>0</v>
      </c>
      <c r="CC11" s="8">
        <f t="shared" si="37"/>
        <v>400000</v>
      </c>
      <c r="CD11" s="8">
        <f t="shared" si="6"/>
        <v>400000</v>
      </c>
      <c r="CE11" s="8">
        <f t="shared" si="38"/>
        <v>0</v>
      </c>
      <c r="CF11" s="45">
        <v>400000</v>
      </c>
      <c r="CG11" s="8">
        <f t="shared" si="39"/>
        <v>0</v>
      </c>
      <c r="CH11" s="8">
        <f t="shared" si="40"/>
        <v>400000</v>
      </c>
      <c r="CI11" s="8">
        <f t="shared" si="41"/>
        <v>400000</v>
      </c>
      <c r="CJ11" s="8">
        <f t="shared" si="42"/>
        <v>0</v>
      </c>
      <c r="CK11" s="45">
        <v>400000</v>
      </c>
      <c r="CL11" s="8">
        <f t="shared" si="7"/>
        <v>0</v>
      </c>
      <c r="CM11" s="8">
        <f t="shared" si="43"/>
        <v>400000</v>
      </c>
      <c r="CN11" s="8">
        <f t="shared" si="44"/>
        <v>0</v>
      </c>
      <c r="CO11" s="45">
        <v>0</v>
      </c>
      <c r="CP11" s="45">
        <f t="shared" si="45"/>
        <v>0</v>
      </c>
      <c r="CQ11" s="8">
        <f t="shared" si="46"/>
        <v>-400000</v>
      </c>
      <c r="CR11" s="45">
        <v>400000</v>
      </c>
      <c r="CS11" s="32"/>
      <c r="CT11" s="45">
        <f t="shared" si="47"/>
        <v>400000</v>
      </c>
      <c r="CU11" s="8">
        <f t="shared" si="48"/>
        <v>0</v>
      </c>
      <c r="CV11" s="45">
        <f t="shared" si="49"/>
        <v>400000</v>
      </c>
      <c r="CW11" s="45">
        <f t="shared" si="50"/>
        <v>0</v>
      </c>
      <c r="CX11" s="45">
        <v>400000</v>
      </c>
      <c r="CY11" s="8">
        <f t="shared" si="51"/>
        <v>0</v>
      </c>
      <c r="CZ11" s="45">
        <f t="shared" si="52"/>
        <v>400000</v>
      </c>
      <c r="DA11" s="45">
        <f t="shared" si="53"/>
        <v>0</v>
      </c>
      <c r="DB11" s="45">
        <v>400000</v>
      </c>
      <c r="DC11" s="8">
        <f t="shared" si="54"/>
        <v>0</v>
      </c>
      <c r="DD11" s="45">
        <f t="shared" si="55"/>
        <v>400000</v>
      </c>
      <c r="DE11" s="45">
        <f t="shared" si="56"/>
        <v>0</v>
      </c>
      <c r="DF11" s="45">
        <f t="shared" si="57"/>
        <v>0</v>
      </c>
      <c r="DG11" s="45">
        <v>400000</v>
      </c>
      <c r="DH11" s="47">
        <f t="shared" si="58"/>
        <v>0</v>
      </c>
      <c r="DI11" s="45">
        <f t="shared" si="59"/>
        <v>400000</v>
      </c>
      <c r="DJ11" s="45">
        <f t="shared" si="60"/>
        <v>0</v>
      </c>
      <c r="DK11" s="45">
        <f t="shared" si="61"/>
        <v>0</v>
      </c>
      <c r="DL11" s="45"/>
      <c r="DM11" s="45">
        <f t="shared" si="62"/>
        <v>400000</v>
      </c>
      <c r="DN11" s="45">
        <v>400000</v>
      </c>
      <c r="DO11" s="45">
        <f t="shared" si="63"/>
        <v>0</v>
      </c>
      <c r="DP11" s="45"/>
      <c r="DQ11" s="45">
        <v>-6000</v>
      </c>
      <c r="DR11" s="45">
        <f t="shared" si="64"/>
        <v>394000</v>
      </c>
      <c r="DS11" s="45">
        <f t="shared" si="65"/>
        <v>-6000</v>
      </c>
      <c r="DT11" s="45"/>
      <c r="DU11" s="45">
        <f t="shared" si="66"/>
        <v>394000</v>
      </c>
      <c r="DV11" s="45">
        <f t="shared" si="67"/>
        <v>-6000</v>
      </c>
      <c r="DW11" s="45">
        <v>394000</v>
      </c>
      <c r="DX11" s="45">
        <v>0</v>
      </c>
      <c r="DY11" s="9"/>
      <c r="DZ11" s="8">
        <f t="shared" si="68"/>
        <v>-394000</v>
      </c>
      <c r="EA11" s="47">
        <v>400000</v>
      </c>
      <c r="EB11" s="8">
        <f t="shared" si="69"/>
        <v>6000</v>
      </c>
      <c r="EC11" s="8">
        <f t="shared" si="70"/>
        <v>400000</v>
      </c>
      <c r="ED11" s="71" t="s">
        <v>270</v>
      </c>
      <c r="EE11" s="44">
        <v>400000</v>
      </c>
      <c r="EF11" s="30">
        <f t="shared" si="71"/>
        <v>6000</v>
      </c>
      <c r="EG11" s="30">
        <f t="shared" si="72"/>
        <v>400000</v>
      </c>
      <c r="EH11" s="30">
        <f t="shared" si="73"/>
        <v>0</v>
      </c>
      <c r="EI11" s="44">
        <v>0</v>
      </c>
      <c r="EJ11" s="30">
        <f t="shared" si="74"/>
        <v>-394000</v>
      </c>
      <c r="EK11" s="30">
        <f t="shared" si="75"/>
        <v>0</v>
      </c>
      <c r="EL11" s="30">
        <f t="shared" si="76"/>
        <v>-400000</v>
      </c>
      <c r="EM11" s="44">
        <v>0</v>
      </c>
      <c r="EN11" s="30">
        <f t="shared" ref="EN11:EN57" si="90">EM11-DU11</f>
        <v>-394000</v>
      </c>
      <c r="EO11" s="30">
        <f t="shared" ref="EO11:EO57" si="91">EM11-DX11</f>
        <v>0</v>
      </c>
      <c r="EP11" s="30">
        <f t="shared" ref="EP11:EP57" si="92">EM11-EE11</f>
        <v>-400000</v>
      </c>
      <c r="EQ11" s="30">
        <f t="shared" si="77"/>
        <v>0</v>
      </c>
      <c r="ER11" s="44">
        <v>400000</v>
      </c>
      <c r="ES11" s="30">
        <f t="shared" si="78"/>
        <v>6000</v>
      </c>
      <c r="ET11" s="30">
        <f t="shared" si="79"/>
        <v>400000</v>
      </c>
      <c r="EU11" s="30">
        <f t="shared" si="80"/>
        <v>0</v>
      </c>
      <c r="EV11" s="30">
        <f t="shared" si="81"/>
        <v>400000</v>
      </c>
      <c r="EW11" s="44">
        <v>400000</v>
      </c>
      <c r="EX11" s="30">
        <f t="shared" si="82"/>
        <v>6000</v>
      </c>
      <c r="EY11" s="30">
        <f t="shared" si="83"/>
        <v>0</v>
      </c>
      <c r="EZ11" s="31">
        <v>400000</v>
      </c>
      <c r="FA11" s="30">
        <f t="shared" si="84"/>
        <v>6000</v>
      </c>
      <c r="FB11" s="30">
        <f t="shared" si="85"/>
        <v>0</v>
      </c>
      <c r="FE11" s="3"/>
      <c r="FF11" s="3"/>
    </row>
    <row r="12" spans="1:162" ht="12.75" x14ac:dyDescent="0.2">
      <c r="A12" s="22" t="s">
        <v>50</v>
      </c>
      <c r="B12" s="23"/>
      <c r="C12" s="61" t="s">
        <v>158</v>
      </c>
      <c r="D12" s="25"/>
      <c r="E12" s="26">
        <v>0</v>
      </c>
      <c r="F12" s="26">
        <v>0</v>
      </c>
      <c r="G12" s="26">
        <v>4175489</v>
      </c>
      <c r="H12" s="26"/>
      <c r="I12" s="26">
        <f t="shared" si="0"/>
        <v>4175489</v>
      </c>
      <c r="J12" s="27"/>
      <c r="K12" s="27"/>
      <c r="L12" s="27">
        <f t="shared" si="1"/>
        <v>0</v>
      </c>
      <c r="M12" s="28">
        <f t="shared" si="8"/>
        <v>4175489</v>
      </c>
      <c r="N12" s="28">
        <f>M12+J12</f>
        <v>4175489</v>
      </c>
      <c r="O12" s="28">
        <v>3097940</v>
      </c>
      <c r="P12" s="28">
        <v>2347940</v>
      </c>
      <c r="Q12" s="28">
        <v>4075489</v>
      </c>
      <c r="R12" s="28">
        <v>3275489</v>
      </c>
      <c r="S12" s="28">
        <v>3.8940000000000002E-2</v>
      </c>
      <c r="T12" s="28">
        <f t="shared" si="86"/>
        <v>-127547.54166</v>
      </c>
      <c r="U12" s="28">
        <f t="shared" si="87"/>
        <v>3147941.4583399999</v>
      </c>
      <c r="V12" s="28">
        <f t="shared" si="2"/>
        <v>-1027547.5416600001</v>
      </c>
      <c r="W12" s="29">
        <v>3147940</v>
      </c>
      <c r="X12" s="29"/>
      <c r="Y12" s="29">
        <f t="shared" si="9"/>
        <v>3147940</v>
      </c>
      <c r="Z12" s="30">
        <v>3947940</v>
      </c>
      <c r="AA12" s="30">
        <f t="shared" si="10"/>
        <v>800000</v>
      </c>
      <c r="AB12" s="30">
        <v>3147940</v>
      </c>
      <c r="AC12" s="30">
        <v>3147940</v>
      </c>
      <c r="AD12" s="31">
        <v>3084981</v>
      </c>
      <c r="AE12" s="30"/>
      <c r="AF12" s="30"/>
      <c r="AG12" s="30">
        <f>AC12-Z12</f>
        <v>-800000</v>
      </c>
      <c r="AH12" s="31">
        <v>3084981</v>
      </c>
      <c r="AI12" s="31">
        <v>3147940</v>
      </c>
      <c r="AJ12" s="30">
        <f t="shared" si="3"/>
        <v>-62959</v>
      </c>
      <c r="AK12" s="30">
        <f>AD12-Z12</f>
        <v>-862959</v>
      </c>
      <c r="AL12" s="30">
        <f t="shared" si="12"/>
        <v>-62959</v>
      </c>
      <c r="AM12" s="31">
        <f t="shared" si="13"/>
        <v>-62959</v>
      </c>
      <c r="AN12" s="31">
        <f t="shared" si="14"/>
        <v>-862959</v>
      </c>
      <c r="AO12" s="31">
        <f t="shared" si="4"/>
        <v>-62959</v>
      </c>
      <c r="AP12" s="30">
        <v>3147940</v>
      </c>
      <c r="AQ12" s="30">
        <f t="shared" si="5"/>
        <v>0</v>
      </c>
      <c r="AR12" s="30">
        <f t="shared" si="15"/>
        <v>-800000</v>
      </c>
      <c r="AS12" s="30">
        <f t="shared" si="16"/>
        <v>0</v>
      </c>
      <c r="AT12" s="30"/>
      <c r="AU12" s="30">
        <f t="shared" si="17"/>
        <v>3147940</v>
      </c>
      <c r="AV12" s="30">
        <v>3547940</v>
      </c>
      <c r="AW12" s="30">
        <f t="shared" si="18"/>
        <v>400000</v>
      </c>
      <c r="AX12" s="30">
        <v>3147940</v>
      </c>
      <c r="AY12" s="31">
        <f t="shared" si="88"/>
        <v>0</v>
      </c>
      <c r="AZ12" s="31">
        <f t="shared" si="89"/>
        <v>-400000</v>
      </c>
      <c r="BA12" s="30">
        <v>3147940</v>
      </c>
      <c r="BB12" s="30">
        <f t="shared" si="19"/>
        <v>0</v>
      </c>
      <c r="BC12" s="30">
        <f t="shared" si="20"/>
        <v>-400000</v>
      </c>
      <c r="BD12" s="30">
        <f t="shared" si="21"/>
        <v>0</v>
      </c>
      <c r="BE12" s="30">
        <v>3147940</v>
      </c>
      <c r="BF12" s="30">
        <v>3147940</v>
      </c>
      <c r="BG12" s="30">
        <v>3147940</v>
      </c>
      <c r="BH12" s="30">
        <f t="shared" si="22"/>
        <v>0</v>
      </c>
      <c r="BI12" s="30">
        <f t="shared" si="23"/>
        <v>-400000</v>
      </c>
      <c r="BJ12" s="30">
        <f t="shared" si="24"/>
        <v>0</v>
      </c>
      <c r="BK12" s="8">
        <f t="shared" si="25"/>
        <v>0</v>
      </c>
      <c r="BL12" s="30">
        <v>25000</v>
      </c>
      <c r="BM12" s="30">
        <f t="shared" si="26"/>
        <v>3122940</v>
      </c>
      <c r="BN12" s="44">
        <v>3797940</v>
      </c>
      <c r="BO12" s="31">
        <f t="shared" si="27"/>
        <v>675000</v>
      </c>
      <c r="BP12" s="44">
        <v>1500000</v>
      </c>
      <c r="BQ12" s="8">
        <f t="shared" si="28"/>
        <v>-1622940</v>
      </c>
      <c r="BR12" s="8">
        <f t="shared" si="29"/>
        <v>-2297940</v>
      </c>
      <c r="BS12" s="44">
        <v>1800000</v>
      </c>
      <c r="BT12" s="47">
        <f t="shared" si="30"/>
        <v>-1322940</v>
      </c>
      <c r="BU12" s="47">
        <f t="shared" si="31"/>
        <v>-1997940</v>
      </c>
      <c r="BV12" s="47">
        <f t="shared" si="32"/>
        <v>300000</v>
      </c>
      <c r="BW12" s="45">
        <v>3000000</v>
      </c>
      <c r="BX12" s="8">
        <f t="shared" si="33"/>
        <v>-122940</v>
      </c>
      <c r="BY12" s="8">
        <f t="shared" si="34"/>
        <v>-797940</v>
      </c>
      <c r="BZ12" s="8">
        <f t="shared" si="35"/>
        <v>1200000</v>
      </c>
      <c r="CA12" s="45">
        <v>3000000</v>
      </c>
      <c r="CB12" s="8">
        <f t="shared" si="36"/>
        <v>-122940</v>
      </c>
      <c r="CC12" s="8">
        <f t="shared" si="37"/>
        <v>-797940</v>
      </c>
      <c r="CD12" s="8">
        <f t="shared" si="6"/>
        <v>1200000</v>
      </c>
      <c r="CE12" s="8">
        <f t="shared" si="38"/>
        <v>0</v>
      </c>
      <c r="CF12" s="45">
        <v>2300000</v>
      </c>
      <c r="CG12" s="8">
        <f t="shared" si="39"/>
        <v>-822940</v>
      </c>
      <c r="CH12" s="8">
        <f t="shared" si="40"/>
        <v>-1497940</v>
      </c>
      <c r="CI12" s="8">
        <f t="shared" si="41"/>
        <v>500000</v>
      </c>
      <c r="CJ12" s="8">
        <f t="shared" si="42"/>
        <v>-700000</v>
      </c>
      <c r="CK12" s="45">
        <v>2300000</v>
      </c>
      <c r="CL12" s="8">
        <f t="shared" si="7"/>
        <v>-822940</v>
      </c>
      <c r="CM12" s="8">
        <f t="shared" si="43"/>
        <v>-1497940</v>
      </c>
      <c r="CN12" s="8">
        <f t="shared" si="44"/>
        <v>0</v>
      </c>
      <c r="CO12" s="45">
        <f>CK12+400000+350000</f>
        <v>3050000</v>
      </c>
      <c r="CP12" s="45">
        <f t="shared" si="45"/>
        <v>-747940</v>
      </c>
      <c r="CQ12" s="8">
        <f t="shared" si="46"/>
        <v>750000</v>
      </c>
      <c r="CR12" s="45">
        <v>1800000</v>
      </c>
      <c r="CS12" s="32">
        <v>320000</v>
      </c>
      <c r="CT12" s="45">
        <f t="shared" si="47"/>
        <v>2120000</v>
      </c>
      <c r="CU12" s="8">
        <f t="shared" si="48"/>
        <v>-180000</v>
      </c>
      <c r="CV12" s="45">
        <f t="shared" si="49"/>
        <v>-930000</v>
      </c>
      <c r="CW12" s="45">
        <f t="shared" si="50"/>
        <v>320000</v>
      </c>
      <c r="CX12" s="45">
        <v>2300000</v>
      </c>
      <c r="CY12" s="8">
        <f t="shared" si="51"/>
        <v>0</v>
      </c>
      <c r="CZ12" s="45">
        <f t="shared" si="52"/>
        <v>-750000</v>
      </c>
      <c r="DA12" s="45">
        <f t="shared" si="53"/>
        <v>180000</v>
      </c>
      <c r="DB12" s="45">
        <v>2300000</v>
      </c>
      <c r="DC12" s="8">
        <f t="shared" si="54"/>
        <v>0</v>
      </c>
      <c r="DD12" s="45">
        <f t="shared" si="55"/>
        <v>-750000</v>
      </c>
      <c r="DE12" s="45">
        <f t="shared" si="56"/>
        <v>180000</v>
      </c>
      <c r="DF12" s="45">
        <f t="shared" si="57"/>
        <v>0</v>
      </c>
      <c r="DG12" s="45">
        <v>2020000</v>
      </c>
      <c r="DH12" s="47">
        <f t="shared" si="58"/>
        <v>-280000</v>
      </c>
      <c r="DI12" s="45">
        <f t="shared" si="59"/>
        <v>-1030000</v>
      </c>
      <c r="DJ12" s="45">
        <f t="shared" si="60"/>
        <v>-100000</v>
      </c>
      <c r="DK12" s="45">
        <f t="shared" si="61"/>
        <v>-280000</v>
      </c>
      <c r="DL12" s="45">
        <v>-20000</v>
      </c>
      <c r="DM12" s="45">
        <f t="shared" si="62"/>
        <v>2000000</v>
      </c>
      <c r="DN12" s="45">
        <v>2020000</v>
      </c>
      <c r="DO12" s="45">
        <f t="shared" si="63"/>
        <v>-280000</v>
      </c>
      <c r="DP12" s="45"/>
      <c r="DQ12" s="45">
        <v>-18000</v>
      </c>
      <c r="DR12" s="45">
        <f t="shared" si="64"/>
        <v>2002000</v>
      </c>
      <c r="DS12" s="45">
        <f t="shared" si="65"/>
        <v>-298000</v>
      </c>
      <c r="DT12" s="45">
        <v>-106984</v>
      </c>
      <c r="DU12" s="45">
        <f t="shared" si="66"/>
        <v>1895016</v>
      </c>
      <c r="DV12" s="45">
        <f t="shared" si="67"/>
        <v>-404984</v>
      </c>
      <c r="DW12" s="45">
        <v>1895016</v>
      </c>
      <c r="DX12" s="45">
        <v>0</v>
      </c>
      <c r="DY12" s="9"/>
      <c r="DZ12" s="8">
        <f t="shared" si="68"/>
        <v>-1895016</v>
      </c>
      <c r="EA12" s="47">
        <v>1800000</v>
      </c>
      <c r="EB12" s="8">
        <f t="shared" si="69"/>
        <v>-95016</v>
      </c>
      <c r="EC12" s="8">
        <f t="shared" si="70"/>
        <v>1800000</v>
      </c>
      <c r="ED12" s="71" t="s">
        <v>270</v>
      </c>
      <c r="EE12" s="44">
        <v>1900000</v>
      </c>
      <c r="EF12" s="30">
        <f t="shared" si="71"/>
        <v>4984</v>
      </c>
      <c r="EG12" s="30">
        <f t="shared" si="72"/>
        <v>1900000</v>
      </c>
      <c r="EH12" s="30">
        <f t="shared" si="73"/>
        <v>100000</v>
      </c>
      <c r="EI12" s="44">
        <v>2800000</v>
      </c>
      <c r="EJ12" s="30">
        <f t="shared" si="74"/>
        <v>904984</v>
      </c>
      <c r="EK12" s="30">
        <f t="shared" si="75"/>
        <v>2800000</v>
      </c>
      <c r="EL12" s="30">
        <f t="shared" si="76"/>
        <v>900000</v>
      </c>
      <c r="EM12" s="44">
        <v>2800000</v>
      </c>
      <c r="EN12" s="30">
        <f t="shared" si="90"/>
        <v>904984</v>
      </c>
      <c r="EO12" s="30">
        <f t="shared" si="91"/>
        <v>2800000</v>
      </c>
      <c r="EP12" s="30">
        <f t="shared" si="92"/>
        <v>900000</v>
      </c>
      <c r="EQ12" s="30">
        <f t="shared" si="77"/>
        <v>0</v>
      </c>
      <c r="ER12" s="44">
        <v>2000000</v>
      </c>
      <c r="ES12" s="30">
        <f t="shared" si="78"/>
        <v>104984</v>
      </c>
      <c r="ET12" s="30">
        <f t="shared" si="79"/>
        <v>2000000</v>
      </c>
      <c r="EU12" s="30">
        <f t="shared" si="80"/>
        <v>100000</v>
      </c>
      <c r="EV12" s="30">
        <f t="shared" si="81"/>
        <v>-800000</v>
      </c>
      <c r="EW12" s="44">
        <v>2000000</v>
      </c>
      <c r="EX12" s="30">
        <f t="shared" si="82"/>
        <v>104984</v>
      </c>
      <c r="EY12" s="30">
        <f t="shared" si="83"/>
        <v>0</v>
      </c>
      <c r="EZ12" s="31">
        <v>2000000</v>
      </c>
      <c r="FA12" s="30">
        <f t="shared" si="84"/>
        <v>104984</v>
      </c>
      <c r="FB12" s="30">
        <f t="shared" si="85"/>
        <v>0</v>
      </c>
    </row>
    <row r="13" spans="1:162" ht="12.75" x14ac:dyDescent="0.2">
      <c r="A13" s="46" t="s">
        <v>227</v>
      </c>
      <c r="B13" s="23"/>
      <c r="C13" s="60" t="s">
        <v>228</v>
      </c>
      <c r="D13" s="25"/>
      <c r="E13" s="26"/>
      <c r="F13" s="26"/>
      <c r="G13" s="26"/>
      <c r="H13" s="26"/>
      <c r="I13" s="26"/>
      <c r="J13" s="27"/>
      <c r="K13" s="27"/>
      <c r="L13" s="27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9"/>
      <c r="Y13" s="29"/>
      <c r="Z13" s="30"/>
      <c r="AA13" s="30"/>
      <c r="AB13" s="30"/>
      <c r="AC13" s="30"/>
      <c r="AD13" s="31"/>
      <c r="AE13" s="30"/>
      <c r="AF13" s="30"/>
      <c r="AG13" s="30"/>
      <c r="AH13" s="31"/>
      <c r="AI13" s="31"/>
      <c r="AJ13" s="30"/>
      <c r="AK13" s="30"/>
      <c r="AL13" s="30"/>
      <c r="AM13" s="31"/>
      <c r="AN13" s="31"/>
      <c r="AO13" s="31"/>
      <c r="AP13" s="30"/>
      <c r="AQ13" s="30"/>
      <c r="AR13" s="30"/>
      <c r="AS13" s="30"/>
      <c r="AT13" s="30"/>
      <c r="AU13" s="30"/>
      <c r="AV13" s="30"/>
      <c r="AW13" s="30"/>
      <c r="AX13" s="30"/>
      <c r="AY13" s="31"/>
      <c r="AZ13" s="31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8"/>
      <c r="BL13" s="30"/>
      <c r="BM13" s="30"/>
      <c r="BN13" s="44"/>
      <c r="BO13" s="31"/>
      <c r="BP13" s="44"/>
      <c r="BQ13" s="8"/>
      <c r="BR13" s="8"/>
      <c r="BS13" s="44"/>
      <c r="BT13" s="47"/>
      <c r="BU13" s="47"/>
      <c r="BV13" s="47"/>
      <c r="BW13" s="45"/>
      <c r="BX13" s="8"/>
      <c r="BY13" s="8"/>
      <c r="BZ13" s="8"/>
      <c r="CA13" s="45"/>
      <c r="CB13" s="8"/>
      <c r="CC13" s="8"/>
      <c r="CD13" s="8"/>
      <c r="CE13" s="8"/>
      <c r="CF13" s="45"/>
      <c r="CG13" s="8"/>
      <c r="CH13" s="8"/>
      <c r="CI13" s="8"/>
      <c r="CJ13" s="8"/>
      <c r="CK13" s="45"/>
      <c r="CL13" s="8"/>
      <c r="CM13" s="8"/>
      <c r="CN13" s="8"/>
      <c r="CO13" s="45"/>
      <c r="CP13" s="45"/>
      <c r="CQ13" s="8"/>
      <c r="CR13" s="45"/>
      <c r="CS13" s="32"/>
      <c r="CT13" s="45"/>
      <c r="CU13" s="8"/>
      <c r="CV13" s="45"/>
      <c r="CW13" s="45"/>
      <c r="CX13" s="45">
        <v>500000</v>
      </c>
      <c r="CY13" s="8">
        <f t="shared" si="51"/>
        <v>500000</v>
      </c>
      <c r="CZ13" s="45">
        <f t="shared" si="52"/>
        <v>500000</v>
      </c>
      <c r="DA13" s="45">
        <f t="shared" si="53"/>
        <v>500000</v>
      </c>
      <c r="DB13" s="45">
        <v>500000</v>
      </c>
      <c r="DC13" s="8">
        <f t="shared" si="54"/>
        <v>500000</v>
      </c>
      <c r="DD13" s="45">
        <f t="shared" si="55"/>
        <v>500000</v>
      </c>
      <c r="DE13" s="45">
        <f t="shared" si="56"/>
        <v>500000</v>
      </c>
      <c r="DF13" s="45">
        <f t="shared" si="57"/>
        <v>0</v>
      </c>
      <c r="DG13" s="45">
        <v>500000</v>
      </c>
      <c r="DH13" s="47">
        <f t="shared" si="58"/>
        <v>500000</v>
      </c>
      <c r="DI13" s="45">
        <f t="shared" si="59"/>
        <v>500000</v>
      </c>
      <c r="DJ13" s="45">
        <f t="shared" si="60"/>
        <v>500000</v>
      </c>
      <c r="DK13" s="45">
        <f t="shared" si="61"/>
        <v>0</v>
      </c>
      <c r="DL13" s="45">
        <v>-500000</v>
      </c>
      <c r="DM13" s="45">
        <f t="shared" si="62"/>
        <v>0</v>
      </c>
      <c r="DN13" s="45">
        <v>500000</v>
      </c>
      <c r="DO13" s="45">
        <f t="shared" si="63"/>
        <v>500000</v>
      </c>
      <c r="DP13" s="45"/>
      <c r="DQ13" s="45">
        <v>-500000</v>
      </c>
      <c r="DR13" s="45">
        <f t="shared" si="64"/>
        <v>0</v>
      </c>
      <c r="DS13" s="45">
        <f t="shared" si="65"/>
        <v>0</v>
      </c>
      <c r="DT13" s="45"/>
      <c r="DU13" s="45">
        <f t="shared" si="66"/>
        <v>0</v>
      </c>
      <c r="DV13" s="45">
        <f t="shared" si="67"/>
        <v>0</v>
      </c>
      <c r="DW13" s="45">
        <v>0</v>
      </c>
      <c r="DX13" s="45">
        <v>0</v>
      </c>
      <c r="DY13" s="67" t="s">
        <v>235</v>
      </c>
      <c r="DZ13" s="8">
        <f t="shared" si="68"/>
        <v>0</v>
      </c>
      <c r="EA13" s="47">
        <v>0</v>
      </c>
      <c r="EB13" s="8">
        <f t="shared" si="69"/>
        <v>0</v>
      </c>
      <c r="EC13" s="8">
        <f t="shared" si="70"/>
        <v>0</v>
      </c>
      <c r="ED13" s="73"/>
      <c r="EE13" s="44"/>
      <c r="EF13" s="30">
        <f t="shared" si="71"/>
        <v>0</v>
      </c>
      <c r="EG13" s="30">
        <f t="shared" si="72"/>
        <v>0</v>
      </c>
      <c r="EH13" s="30">
        <f t="shared" si="73"/>
        <v>0</v>
      </c>
      <c r="EI13" s="44">
        <v>300000</v>
      </c>
      <c r="EJ13" s="30">
        <f t="shared" si="74"/>
        <v>300000</v>
      </c>
      <c r="EK13" s="30">
        <f t="shared" si="75"/>
        <v>300000</v>
      </c>
      <c r="EL13" s="30">
        <f t="shared" si="76"/>
        <v>300000</v>
      </c>
      <c r="EM13" s="44">
        <v>300000</v>
      </c>
      <c r="EN13" s="30">
        <f t="shared" si="90"/>
        <v>300000</v>
      </c>
      <c r="EO13" s="30">
        <f t="shared" si="91"/>
        <v>300000</v>
      </c>
      <c r="EP13" s="30">
        <f t="shared" si="92"/>
        <v>300000</v>
      </c>
      <c r="EQ13" s="30">
        <f t="shared" si="77"/>
        <v>0</v>
      </c>
      <c r="ER13" s="44">
        <v>300000</v>
      </c>
      <c r="ES13" s="30">
        <f t="shared" si="78"/>
        <v>300000</v>
      </c>
      <c r="ET13" s="30">
        <f t="shared" si="79"/>
        <v>300000</v>
      </c>
      <c r="EU13" s="30">
        <f t="shared" si="80"/>
        <v>300000</v>
      </c>
      <c r="EV13" s="30">
        <f t="shared" si="81"/>
        <v>0</v>
      </c>
      <c r="EW13" s="44">
        <v>300000</v>
      </c>
      <c r="EX13" s="30">
        <f t="shared" si="82"/>
        <v>300000</v>
      </c>
      <c r="EY13" s="30">
        <f t="shared" si="83"/>
        <v>0</v>
      </c>
      <c r="EZ13" s="31">
        <v>300000</v>
      </c>
      <c r="FA13" s="30">
        <f t="shared" si="84"/>
        <v>300000</v>
      </c>
      <c r="FB13" s="30">
        <f t="shared" si="85"/>
        <v>0</v>
      </c>
      <c r="FC13" s="75" t="s">
        <v>278</v>
      </c>
    </row>
    <row r="14" spans="1:162" ht="25.5" x14ac:dyDescent="0.2">
      <c r="A14" s="46" t="s">
        <v>229</v>
      </c>
      <c r="B14" s="23"/>
      <c r="C14" s="61" t="s">
        <v>230</v>
      </c>
      <c r="D14" s="25"/>
      <c r="E14" s="26"/>
      <c r="F14" s="26"/>
      <c r="G14" s="26"/>
      <c r="H14" s="26"/>
      <c r="I14" s="26"/>
      <c r="J14" s="27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  <c r="X14" s="29"/>
      <c r="Y14" s="29"/>
      <c r="Z14" s="30"/>
      <c r="AA14" s="30"/>
      <c r="AB14" s="30"/>
      <c r="AC14" s="30"/>
      <c r="AD14" s="31"/>
      <c r="AE14" s="30"/>
      <c r="AF14" s="30"/>
      <c r="AG14" s="30"/>
      <c r="AH14" s="31"/>
      <c r="AI14" s="31"/>
      <c r="AJ14" s="30"/>
      <c r="AK14" s="30"/>
      <c r="AL14" s="30"/>
      <c r="AM14" s="31"/>
      <c r="AN14" s="31"/>
      <c r="AO14" s="31"/>
      <c r="AP14" s="30"/>
      <c r="AQ14" s="30"/>
      <c r="AR14" s="30"/>
      <c r="AS14" s="30"/>
      <c r="AT14" s="30"/>
      <c r="AU14" s="30"/>
      <c r="AV14" s="30"/>
      <c r="AW14" s="30"/>
      <c r="AX14" s="30"/>
      <c r="AY14" s="31"/>
      <c r="AZ14" s="31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8"/>
      <c r="BL14" s="30"/>
      <c r="BM14" s="30"/>
      <c r="BN14" s="44"/>
      <c r="BO14" s="31"/>
      <c r="BP14" s="44"/>
      <c r="BQ14" s="8"/>
      <c r="BR14" s="8"/>
      <c r="BS14" s="44"/>
      <c r="BT14" s="47"/>
      <c r="BU14" s="47"/>
      <c r="BV14" s="47"/>
      <c r="BW14" s="45"/>
      <c r="BX14" s="8"/>
      <c r="BY14" s="8"/>
      <c r="BZ14" s="8"/>
      <c r="CA14" s="45"/>
      <c r="CB14" s="8"/>
      <c r="CC14" s="8"/>
      <c r="CD14" s="8"/>
      <c r="CE14" s="8"/>
      <c r="CF14" s="45"/>
      <c r="CG14" s="8"/>
      <c r="CH14" s="8"/>
      <c r="CI14" s="8"/>
      <c r="CJ14" s="8"/>
      <c r="CK14" s="45"/>
      <c r="CL14" s="8"/>
      <c r="CM14" s="8"/>
      <c r="CN14" s="8"/>
      <c r="CO14" s="45"/>
      <c r="CP14" s="45"/>
      <c r="CQ14" s="8"/>
      <c r="CR14" s="45"/>
      <c r="CS14" s="32"/>
      <c r="CT14" s="45"/>
      <c r="CU14" s="8"/>
      <c r="CV14" s="45"/>
      <c r="CW14" s="45"/>
      <c r="CX14" s="45">
        <v>5000000</v>
      </c>
      <c r="CY14" s="8">
        <f t="shared" si="51"/>
        <v>5000000</v>
      </c>
      <c r="CZ14" s="45">
        <f t="shared" si="52"/>
        <v>5000000</v>
      </c>
      <c r="DA14" s="45">
        <f t="shared" si="53"/>
        <v>5000000</v>
      </c>
      <c r="DB14" s="45">
        <v>5000000</v>
      </c>
      <c r="DC14" s="8">
        <f t="shared" si="54"/>
        <v>5000000</v>
      </c>
      <c r="DD14" s="45">
        <f t="shared" si="55"/>
        <v>5000000</v>
      </c>
      <c r="DE14" s="45">
        <f t="shared" si="56"/>
        <v>5000000</v>
      </c>
      <c r="DF14" s="45">
        <f t="shared" si="57"/>
        <v>0</v>
      </c>
      <c r="DG14" s="45">
        <v>5000000</v>
      </c>
      <c r="DH14" s="47">
        <f t="shared" si="58"/>
        <v>5000000</v>
      </c>
      <c r="DI14" s="45">
        <f t="shared" si="59"/>
        <v>5000000</v>
      </c>
      <c r="DJ14" s="45">
        <f t="shared" si="60"/>
        <v>5000000</v>
      </c>
      <c r="DK14" s="45">
        <f t="shared" si="61"/>
        <v>0</v>
      </c>
      <c r="DL14" s="45"/>
      <c r="DM14" s="45">
        <f t="shared" si="62"/>
        <v>5000000</v>
      </c>
      <c r="DN14" s="45">
        <v>5000000</v>
      </c>
      <c r="DO14" s="45">
        <f t="shared" si="63"/>
        <v>5000000</v>
      </c>
      <c r="DP14" s="45"/>
      <c r="DQ14" s="45">
        <v>0</v>
      </c>
      <c r="DR14" s="45">
        <f t="shared" si="64"/>
        <v>5000000</v>
      </c>
      <c r="DS14" s="45">
        <f t="shared" si="65"/>
        <v>5000000</v>
      </c>
      <c r="DT14" s="45">
        <v>-5000000</v>
      </c>
      <c r="DU14" s="45">
        <f t="shared" si="66"/>
        <v>0</v>
      </c>
      <c r="DV14" s="45">
        <f t="shared" si="67"/>
        <v>0</v>
      </c>
      <c r="DW14" s="45">
        <v>0</v>
      </c>
      <c r="DX14" s="45">
        <v>0</v>
      </c>
      <c r="DY14" s="67" t="s">
        <v>236</v>
      </c>
      <c r="DZ14" s="8">
        <f t="shared" si="68"/>
        <v>0</v>
      </c>
      <c r="EA14" s="47">
        <v>0</v>
      </c>
      <c r="EB14" s="8">
        <f t="shared" si="69"/>
        <v>0</v>
      </c>
      <c r="EC14" s="8">
        <f t="shared" si="70"/>
        <v>0</v>
      </c>
      <c r="ED14" s="73"/>
      <c r="EE14" s="44"/>
      <c r="EF14" s="30">
        <f t="shared" si="71"/>
        <v>0</v>
      </c>
      <c r="EG14" s="30">
        <f t="shared" si="72"/>
        <v>0</v>
      </c>
      <c r="EH14" s="30">
        <f t="shared" si="73"/>
        <v>0</v>
      </c>
      <c r="EI14" s="44">
        <v>1500000</v>
      </c>
      <c r="EJ14" s="30">
        <f t="shared" si="74"/>
        <v>1500000</v>
      </c>
      <c r="EK14" s="30">
        <f t="shared" si="75"/>
        <v>1500000</v>
      </c>
      <c r="EL14" s="30">
        <f t="shared" si="76"/>
        <v>1500000</v>
      </c>
      <c r="EM14" s="44">
        <v>1500000</v>
      </c>
      <c r="EN14" s="30">
        <f t="shared" si="90"/>
        <v>1500000</v>
      </c>
      <c r="EO14" s="30">
        <f t="shared" si="91"/>
        <v>1500000</v>
      </c>
      <c r="EP14" s="30">
        <f t="shared" si="92"/>
        <v>1500000</v>
      </c>
      <c r="EQ14" s="30">
        <f t="shared" si="77"/>
        <v>0</v>
      </c>
      <c r="ER14" s="44">
        <v>500000</v>
      </c>
      <c r="ES14" s="30">
        <f t="shared" si="78"/>
        <v>500000</v>
      </c>
      <c r="ET14" s="30">
        <f t="shared" si="79"/>
        <v>500000</v>
      </c>
      <c r="EU14" s="30">
        <f t="shared" si="80"/>
        <v>500000</v>
      </c>
      <c r="EV14" s="30">
        <f t="shared" si="81"/>
        <v>-1000000</v>
      </c>
      <c r="EW14" s="44">
        <v>500000</v>
      </c>
      <c r="EX14" s="30">
        <f t="shared" si="82"/>
        <v>500000</v>
      </c>
      <c r="EY14" s="30">
        <f t="shared" si="83"/>
        <v>0</v>
      </c>
      <c r="EZ14" s="31">
        <v>500000</v>
      </c>
      <c r="FA14" s="30">
        <f t="shared" si="84"/>
        <v>500000</v>
      </c>
      <c r="FB14" s="30">
        <f t="shared" si="85"/>
        <v>0</v>
      </c>
      <c r="FC14" s="75" t="s">
        <v>279</v>
      </c>
    </row>
    <row r="15" spans="1:162" ht="25.5" x14ac:dyDescent="0.2">
      <c r="A15" s="22" t="s">
        <v>15</v>
      </c>
      <c r="B15" s="23"/>
      <c r="C15" s="61" t="s">
        <v>144</v>
      </c>
      <c r="D15" s="25">
        <v>4129687</v>
      </c>
      <c r="E15" s="26">
        <v>4129687</v>
      </c>
      <c r="F15" s="26">
        <v>4092372</v>
      </c>
      <c r="G15" s="26">
        <v>2000000</v>
      </c>
      <c r="H15" s="26"/>
      <c r="I15" s="26">
        <f t="shared" si="0"/>
        <v>2000000</v>
      </c>
      <c r="J15" s="27"/>
      <c r="K15" s="27"/>
      <c r="L15" s="27">
        <f t="shared" si="1"/>
        <v>0</v>
      </c>
      <c r="M15" s="28">
        <f t="shared" si="8"/>
        <v>2000000</v>
      </c>
      <c r="N15" s="28">
        <f>M15+J15</f>
        <v>2000000</v>
      </c>
      <c r="O15" s="28">
        <v>2000000</v>
      </c>
      <c r="P15" s="28">
        <v>2000000</v>
      </c>
      <c r="Q15" s="28">
        <v>2100000</v>
      </c>
      <c r="R15" s="28">
        <v>2050000</v>
      </c>
      <c r="S15" s="28">
        <v>2.4389999999999998E-2</v>
      </c>
      <c r="T15" s="28">
        <v>-50000</v>
      </c>
      <c r="U15" s="28">
        <f t="shared" si="87"/>
        <v>2000000</v>
      </c>
      <c r="V15" s="28">
        <f t="shared" si="2"/>
        <v>0</v>
      </c>
      <c r="W15" s="29">
        <v>2000000</v>
      </c>
      <c r="X15" s="29">
        <v>2000000</v>
      </c>
      <c r="Y15" s="29">
        <f t="shared" si="9"/>
        <v>4000000</v>
      </c>
      <c r="Z15" s="30">
        <v>2000000</v>
      </c>
      <c r="AA15" s="30">
        <f t="shared" si="10"/>
        <v>0</v>
      </c>
      <c r="AB15" s="30">
        <v>0</v>
      </c>
      <c r="AC15" s="30">
        <v>0</v>
      </c>
      <c r="AD15" s="31">
        <v>1200000</v>
      </c>
      <c r="AE15" s="30"/>
      <c r="AF15" s="30">
        <f>AC15-SUM(W15:X15)</f>
        <v>-4000000</v>
      </c>
      <c r="AG15" s="30">
        <f>AC15-Z15</f>
        <v>-2000000</v>
      </c>
      <c r="AH15" s="31">
        <v>1200000</v>
      </c>
      <c r="AI15" s="31">
        <v>750000</v>
      </c>
      <c r="AJ15" s="30">
        <f>AD15-W15-X15</f>
        <v>-2800000</v>
      </c>
      <c r="AK15" s="30">
        <f>AD15-Z15</f>
        <v>-800000</v>
      </c>
      <c r="AL15" s="30">
        <f>AD15-AC15</f>
        <v>1200000</v>
      </c>
      <c r="AM15" s="31">
        <f>AH15-W15-X15</f>
        <v>-2800000</v>
      </c>
      <c r="AN15" s="31">
        <f t="shared" si="14"/>
        <v>-800000</v>
      </c>
      <c r="AO15" s="31">
        <f t="shared" si="4"/>
        <v>1200000</v>
      </c>
      <c r="AP15" s="30">
        <v>750000</v>
      </c>
      <c r="AQ15" s="30">
        <f t="shared" si="5"/>
        <v>-3250000</v>
      </c>
      <c r="AR15" s="30">
        <f t="shared" si="15"/>
        <v>-1250000</v>
      </c>
      <c r="AS15" s="30">
        <f t="shared" si="16"/>
        <v>-3250000</v>
      </c>
      <c r="AT15" s="30"/>
      <c r="AU15" s="30">
        <f t="shared" si="17"/>
        <v>750000</v>
      </c>
      <c r="AV15" s="30">
        <v>2770000</v>
      </c>
      <c r="AW15" s="30">
        <f t="shared" si="18"/>
        <v>2020000</v>
      </c>
      <c r="AX15" s="30">
        <v>2000000</v>
      </c>
      <c r="AY15" s="31">
        <f t="shared" si="88"/>
        <v>1250000</v>
      </c>
      <c r="AZ15" s="31">
        <f t="shared" si="89"/>
        <v>-770000</v>
      </c>
      <c r="BA15" s="30">
        <v>2770000</v>
      </c>
      <c r="BB15" s="30">
        <f t="shared" si="19"/>
        <v>2020000</v>
      </c>
      <c r="BC15" s="30">
        <f t="shared" si="20"/>
        <v>0</v>
      </c>
      <c r="BD15" s="30">
        <f t="shared" si="21"/>
        <v>770000</v>
      </c>
      <c r="BE15" s="30">
        <f>2750000+450000</f>
        <v>3200000</v>
      </c>
      <c r="BF15" s="30">
        <v>2870000</v>
      </c>
      <c r="BG15" s="30">
        <v>2870000</v>
      </c>
      <c r="BH15" s="30">
        <f t="shared" si="22"/>
        <v>2120000</v>
      </c>
      <c r="BI15" s="30">
        <f t="shared" si="23"/>
        <v>100000</v>
      </c>
      <c r="BJ15" s="30">
        <f t="shared" si="24"/>
        <v>100000</v>
      </c>
      <c r="BK15" s="8">
        <f t="shared" si="25"/>
        <v>-330000</v>
      </c>
      <c r="BL15" s="30"/>
      <c r="BM15" s="30">
        <f t="shared" si="26"/>
        <v>2870000</v>
      </c>
      <c r="BN15" s="45">
        <v>2871370</v>
      </c>
      <c r="BO15" s="31">
        <f t="shared" si="27"/>
        <v>1370</v>
      </c>
      <c r="BP15" s="44">
        <v>1000000</v>
      </c>
      <c r="BQ15" s="8">
        <f t="shared" si="28"/>
        <v>-1870000</v>
      </c>
      <c r="BR15" s="8">
        <f t="shared" si="29"/>
        <v>-1871370</v>
      </c>
      <c r="BS15" s="44">
        <v>2000000</v>
      </c>
      <c r="BT15" s="47">
        <f t="shared" si="30"/>
        <v>-870000</v>
      </c>
      <c r="BU15" s="47">
        <f t="shared" si="31"/>
        <v>-871370</v>
      </c>
      <c r="BV15" s="47">
        <f t="shared" si="32"/>
        <v>1000000</v>
      </c>
      <c r="BW15" s="45">
        <v>2870000</v>
      </c>
      <c r="BX15" s="8">
        <f t="shared" si="33"/>
        <v>0</v>
      </c>
      <c r="BY15" s="8">
        <f t="shared" si="34"/>
        <v>-1370</v>
      </c>
      <c r="BZ15" s="8">
        <f t="shared" si="35"/>
        <v>870000</v>
      </c>
      <c r="CA15" s="45">
        <f>2870000+500000</f>
        <v>3370000</v>
      </c>
      <c r="CB15" s="8">
        <f t="shared" si="36"/>
        <v>500000</v>
      </c>
      <c r="CC15" s="8">
        <f t="shared" si="37"/>
        <v>498630</v>
      </c>
      <c r="CD15" s="8">
        <f t="shared" si="6"/>
        <v>1370000</v>
      </c>
      <c r="CE15" s="8">
        <f t="shared" si="38"/>
        <v>500000</v>
      </c>
      <c r="CF15" s="45">
        <v>2750000</v>
      </c>
      <c r="CG15" s="8">
        <f t="shared" si="39"/>
        <v>-120000</v>
      </c>
      <c r="CH15" s="8">
        <f t="shared" si="40"/>
        <v>-121370</v>
      </c>
      <c r="CI15" s="8">
        <f t="shared" si="41"/>
        <v>750000</v>
      </c>
      <c r="CJ15" s="8">
        <f t="shared" si="42"/>
        <v>-620000</v>
      </c>
      <c r="CK15" s="45">
        <v>2750000</v>
      </c>
      <c r="CL15" s="8">
        <f t="shared" si="7"/>
        <v>-120000</v>
      </c>
      <c r="CM15" s="8">
        <f t="shared" si="43"/>
        <v>-121370</v>
      </c>
      <c r="CN15" s="8">
        <f t="shared" si="44"/>
        <v>0</v>
      </c>
      <c r="CO15" s="45">
        <v>2750000</v>
      </c>
      <c r="CP15" s="45">
        <f t="shared" si="45"/>
        <v>-121370</v>
      </c>
      <c r="CQ15" s="8">
        <f t="shared" si="46"/>
        <v>0</v>
      </c>
      <c r="CR15" s="45">
        <v>1000000</v>
      </c>
      <c r="CS15" s="32">
        <v>1750000</v>
      </c>
      <c r="CT15" s="45">
        <f t="shared" si="47"/>
        <v>2750000</v>
      </c>
      <c r="CU15" s="8">
        <f t="shared" si="48"/>
        <v>0</v>
      </c>
      <c r="CV15" s="45">
        <f t="shared" si="49"/>
        <v>0</v>
      </c>
      <c r="CW15" s="45">
        <f t="shared" si="50"/>
        <v>1750000</v>
      </c>
      <c r="CX15" s="45">
        <v>2500000</v>
      </c>
      <c r="CY15" s="8">
        <f t="shared" si="51"/>
        <v>-250000</v>
      </c>
      <c r="CZ15" s="45">
        <f t="shared" si="52"/>
        <v>-250000</v>
      </c>
      <c r="DA15" s="45">
        <f t="shared" si="53"/>
        <v>-250000</v>
      </c>
      <c r="DB15" s="45">
        <v>2500000</v>
      </c>
      <c r="DC15" s="8">
        <f t="shared" si="54"/>
        <v>-250000</v>
      </c>
      <c r="DD15" s="45">
        <f t="shared" si="55"/>
        <v>-250000</v>
      </c>
      <c r="DE15" s="45">
        <f t="shared" si="56"/>
        <v>-250000</v>
      </c>
      <c r="DF15" s="45">
        <f t="shared" si="57"/>
        <v>0</v>
      </c>
      <c r="DG15" s="45">
        <v>2750000</v>
      </c>
      <c r="DH15" s="47">
        <f t="shared" si="58"/>
        <v>0</v>
      </c>
      <c r="DI15" s="45">
        <f t="shared" si="59"/>
        <v>0</v>
      </c>
      <c r="DJ15" s="45">
        <f t="shared" si="60"/>
        <v>0</v>
      </c>
      <c r="DK15" s="45">
        <f t="shared" si="61"/>
        <v>250000</v>
      </c>
      <c r="DL15" s="45"/>
      <c r="DM15" s="45">
        <f t="shared" si="62"/>
        <v>2750000</v>
      </c>
      <c r="DN15" s="45">
        <v>2750000</v>
      </c>
      <c r="DO15" s="45">
        <f t="shared" si="63"/>
        <v>0</v>
      </c>
      <c r="DP15" s="45"/>
      <c r="DQ15" s="45">
        <v>-41250</v>
      </c>
      <c r="DR15" s="45">
        <f t="shared" si="64"/>
        <v>2708750</v>
      </c>
      <c r="DS15" s="45">
        <f t="shared" si="65"/>
        <v>-41250</v>
      </c>
      <c r="DT15" s="45"/>
      <c r="DU15" s="45">
        <f t="shared" si="66"/>
        <v>2708750</v>
      </c>
      <c r="DV15" s="45">
        <f t="shared" si="67"/>
        <v>-41250</v>
      </c>
      <c r="DW15" s="45">
        <v>2708750</v>
      </c>
      <c r="DX15" s="45">
        <v>2708750</v>
      </c>
      <c r="DY15" s="9"/>
      <c r="DZ15" s="8">
        <f t="shared" si="68"/>
        <v>0</v>
      </c>
      <c r="EA15" s="47">
        <v>1000000</v>
      </c>
      <c r="EB15" s="8">
        <f t="shared" si="69"/>
        <v>-1708750</v>
      </c>
      <c r="EC15" s="8">
        <f t="shared" si="70"/>
        <v>-1708750</v>
      </c>
      <c r="ED15" s="71" t="s">
        <v>273</v>
      </c>
      <c r="EE15" s="44">
        <v>2758750</v>
      </c>
      <c r="EF15" s="30">
        <f t="shared" si="71"/>
        <v>50000</v>
      </c>
      <c r="EG15" s="30">
        <f t="shared" si="72"/>
        <v>50000</v>
      </c>
      <c r="EH15" s="30">
        <f t="shared" si="73"/>
        <v>1758750</v>
      </c>
      <c r="EI15" s="44">
        <v>2800000</v>
      </c>
      <c r="EJ15" s="30">
        <f t="shared" si="74"/>
        <v>91250</v>
      </c>
      <c r="EK15" s="30">
        <f t="shared" si="75"/>
        <v>91250</v>
      </c>
      <c r="EL15" s="30">
        <f t="shared" si="76"/>
        <v>41250</v>
      </c>
      <c r="EM15" s="44">
        <f>2800000+75000+150000</f>
        <v>3025000</v>
      </c>
      <c r="EN15" s="30">
        <f t="shared" si="90"/>
        <v>316250</v>
      </c>
      <c r="EO15" s="30">
        <f t="shared" si="91"/>
        <v>316250</v>
      </c>
      <c r="EP15" s="30">
        <f t="shared" si="92"/>
        <v>266250</v>
      </c>
      <c r="EQ15" s="30">
        <f t="shared" si="77"/>
        <v>225000</v>
      </c>
      <c r="ER15" s="44">
        <f>2800000+75000+150000</f>
        <v>3025000</v>
      </c>
      <c r="ES15" s="30">
        <f t="shared" si="78"/>
        <v>316250</v>
      </c>
      <c r="ET15" s="30">
        <f t="shared" si="79"/>
        <v>316250</v>
      </c>
      <c r="EU15" s="30">
        <f t="shared" si="80"/>
        <v>266250</v>
      </c>
      <c r="EV15" s="30">
        <f t="shared" si="81"/>
        <v>0</v>
      </c>
      <c r="EW15" s="44">
        <f>2800000+75000+150000</f>
        <v>3025000</v>
      </c>
      <c r="EX15" s="30">
        <f t="shared" si="82"/>
        <v>316250</v>
      </c>
      <c r="EY15" s="30">
        <f t="shared" si="83"/>
        <v>0</v>
      </c>
      <c r="EZ15" s="31">
        <f>2800000+75000+150000</f>
        <v>3025000</v>
      </c>
      <c r="FA15" s="30">
        <f t="shared" si="84"/>
        <v>316250</v>
      </c>
      <c r="FB15" s="30">
        <f t="shared" si="85"/>
        <v>0</v>
      </c>
    </row>
    <row r="16" spans="1:162" ht="12.75" x14ac:dyDescent="0.2">
      <c r="A16" s="22" t="s">
        <v>29</v>
      </c>
      <c r="B16" s="23"/>
      <c r="C16" s="61" t="s">
        <v>181</v>
      </c>
      <c r="D16" s="25">
        <v>470987</v>
      </c>
      <c r="E16" s="26">
        <v>470987</v>
      </c>
      <c r="F16" s="26">
        <v>447603</v>
      </c>
      <c r="G16" s="26">
        <v>397937</v>
      </c>
      <c r="H16" s="26"/>
      <c r="I16" s="26">
        <f t="shared" si="0"/>
        <v>397937</v>
      </c>
      <c r="J16" s="27"/>
      <c r="K16" s="27"/>
      <c r="L16" s="27">
        <f t="shared" si="1"/>
        <v>0</v>
      </c>
      <c r="M16" s="28">
        <f t="shared" si="8"/>
        <v>397937</v>
      </c>
      <c r="N16" s="28">
        <f>M16+J16</f>
        <v>397937</v>
      </c>
      <c r="O16" s="28">
        <v>361000</v>
      </c>
      <c r="P16" s="28">
        <v>397937</v>
      </c>
      <c r="Q16" s="28">
        <v>397937</v>
      </c>
      <c r="R16" s="28">
        <v>397937</v>
      </c>
      <c r="S16" s="28">
        <v>8.2930000000000004E-2</v>
      </c>
      <c r="T16" s="28">
        <f t="shared" si="86"/>
        <v>-33000.915410000001</v>
      </c>
      <c r="U16" s="28">
        <f t="shared" si="87"/>
        <v>364936.08458999998</v>
      </c>
      <c r="V16" s="28">
        <f t="shared" si="2"/>
        <v>-33000.915410000016</v>
      </c>
      <c r="W16" s="29">
        <v>364937</v>
      </c>
      <c r="X16" s="29"/>
      <c r="Y16" s="29">
        <f t="shared" si="9"/>
        <v>364937</v>
      </c>
      <c r="Z16" s="30">
        <v>364937</v>
      </c>
      <c r="AA16" s="30">
        <f t="shared" si="10"/>
        <v>0</v>
      </c>
      <c r="AB16" s="30">
        <v>364937</v>
      </c>
      <c r="AC16" s="30">
        <v>364937</v>
      </c>
      <c r="AD16" s="31">
        <v>357638</v>
      </c>
      <c r="AE16" s="30"/>
      <c r="AF16" s="30"/>
      <c r="AG16" s="30"/>
      <c r="AH16" s="31">
        <v>357638</v>
      </c>
      <c r="AI16" s="31">
        <v>364937</v>
      </c>
      <c r="AJ16" s="30">
        <f t="shared" ref="AJ16:AJ54" si="93">AD16-W16</f>
        <v>-7299</v>
      </c>
      <c r="AK16" s="30">
        <f t="shared" si="11"/>
        <v>-7299</v>
      </c>
      <c r="AL16" s="30">
        <f t="shared" si="12"/>
        <v>-7299</v>
      </c>
      <c r="AM16" s="31">
        <f t="shared" si="13"/>
        <v>-7299</v>
      </c>
      <c r="AN16" s="31">
        <f t="shared" si="14"/>
        <v>-7299</v>
      </c>
      <c r="AO16" s="31">
        <f t="shared" si="4"/>
        <v>-7299</v>
      </c>
      <c r="AP16" s="30">
        <v>364937</v>
      </c>
      <c r="AQ16" s="30">
        <f t="shared" si="5"/>
        <v>0</v>
      </c>
      <c r="AR16" s="30">
        <f t="shared" si="15"/>
        <v>0</v>
      </c>
      <c r="AS16" s="30">
        <f t="shared" si="16"/>
        <v>0</v>
      </c>
      <c r="AT16" s="30"/>
      <c r="AU16" s="30">
        <f t="shared" si="17"/>
        <v>364937</v>
      </c>
      <c r="AV16" s="30">
        <v>364937</v>
      </c>
      <c r="AW16" s="30">
        <f t="shared" si="18"/>
        <v>0</v>
      </c>
      <c r="AX16" s="30">
        <v>364937</v>
      </c>
      <c r="AY16" s="31">
        <f t="shared" si="88"/>
        <v>0</v>
      </c>
      <c r="AZ16" s="31">
        <f t="shared" si="89"/>
        <v>0</v>
      </c>
      <c r="BA16" s="30">
        <v>364937</v>
      </c>
      <c r="BB16" s="30">
        <f t="shared" si="19"/>
        <v>0</v>
      </c>
      <c r="BC16" s="30">
        <f t="shared" si="20"/>
        <v>0</v>
      </c>
      <c r="BD16" s="30">
        <f t="shared" si="21"/>
        <v>0</v>
      </c>
      <c r="BE16" s="30">
        <f>514937+700000</f>
        <v>1214937</v>
      </c>
      <c r="BF16" s="30">
        <f>514937+700000</f>
        <v>1214937</v>
      </c>
      <c r="BG16" s="30">
        <f>514937+700000</f>
        <v>1214937</v>
      </c>
      <c r="BH16" s="30">
        <f t="shared" si="22"/>
        <v>850000</v>
      </c>
      <c r="BI16" s="30">
        <f t="shared" si="23"/>
        <v>850000</v>
      </c>
      <c r="BJ16" s="30">
        <f t="shared" si="24"/>
        <v>850000</v>
      </c>
      <c r="BK16" s="8">
        <f t="shared" si="25"/>
        <v>0</v>
      </c>
      <c r="BL16" s="30"/>
      <c r="BM16" s="30">
        <f t="shared" si="26"/>
        <v>1214937</v>
      </c>
      <c r="BN16" s="44">
        <v>3345312</v>
      </c>
      <c r="BO16" s="31">
        <f t="shared" si="27"/>
        <v>2130375</v>
      </c>
      <c r="BP16" s="44">
        <v>1805319</v>
      </c>
      <c r="BQ16" s="8">
        <f t="shared" si="28"/>
        <v>590382</v>
      </c>
      <c r="BR16" s="8">
        <f t="shared" si="29"/>
        <v>-1539993</v>
      </c>
      <c r="BS16" s="44">
        <f>BP16</f>
        <v>1805319</v>
      </c>
      <c r="BT16" s="47">
        <f t="shared" si="30"/>
        <v>590382</v>
      </c>
      <c r="BU16" s="47">
        <f t="shared" si="31"/>
        <v>-1539993</v>
      </c>
      <c r="BV16" s="47">
        <f t="shared" si="32"/>
        <v>0</v>
      </c>
      <c r="BW16" s="45">
        <v>1805319</v>
      </c>
      <c r="BX16" s="8">
        <f t="shared" si="33"/>
        <v>590382</v>
      </c>
      <c r="BY16" s="8">
        <f t="shared" si="34"/>
        <v>-1539993</v>
      </c>
      <c r="BZ16" s="8">
        <f t="shared" si="35"/>
        <v>0</v>
      </c>
      <c r="CA16" s="45">
        <f>1805319+1194681</f>
        <v>3000000</v>
      </c>
      <c r="CB16" s="8">
        <f t="shared" si="36"/>
        <v>1785063</v>
      </c>
      <c r="CC16" s="8">
        <f t="shared" si="37"/>
        <v>-345312</v>
      </c>
      <c r="CD16" s="8">
        <f t="shared" si="6"/>
        <v>1194681</v>
      </c>
      <c r="CE16" s="8">
        <f t="shared" si="38"/>
        <v>1194681</v>
      </c>
      <c r="CF16" s="45">
        <v>2805319</v>
      </c>
      <c r="CG16" s="8">
        <f t="shared" si="39"/>
        <v>1590382</v>
      </c>
      <c r="CH16" s="8">
        <f t="shared" si="40"/>
        <v>-539993</v>
      </c>
      <c r="CI16" s="8">
        <f t="shared" si="41"/>
        <v>1000000</v>
      </c>
      <c r="CJ16" s="8">
        <f t="shared" si="42"/>
        <v>-194681</v>
      </c>
      <c r="CK16" s="45">
        <f>2805319+540000</f>
        <v>3345319</v>
      </c>
      <c r="CL16" s="8">
        <f t="shared" si="7"/>
        <v>2130382</v>
      </c>
      <c r="CM16" s="8">
        <f t="shared" si="43"/>
        <v>7</v>
      </c>
      <c r="CN16" s="8">
        <f t="shared" si="44"/>
        <v>540000</v>
      </c>
      <c r="CO16" s="45">
        <v>3372030</v>
      </c>
      <c r="CP16" s="45">
        <f t="shared" si="45"/>
        <v>26718</v>
      </c>
      <c r="CQ16" s="8">
        <f t="shared" si="46"/>
        <v>26711</v>
      </c>
      <c r="CR16" s="45">
        <v>2805319</v>
      </c>
      <c r="CS16" s="32"/>
      <c r="CT16" s="45">
        <f t="shared" si="47"/>
        <v>2805319</v>
      </c>
      <c r="CU16" s="8">
        <f t="shared" si="48"/>
        <v>-540000</v>
      </c>
      <c r="CV16" s="45">
        <f t="shared" si="49"/>
        <v>-566711</v>
      </c>
      <c r="CW16" s="45">
        <f t="shared" si="50"/>
        <v>0</v>
      </c>
      <c r="CX16" s="45">
        <v>3354919</v>
      </c>
      <c r="CY16" s="8">
        <f t="shared" si="51"/>
        <v>9600</v>
      </c>
      <c r="CZ16" s="45">
        <f t="shared" si="52"/>
        <v>-17111</v>
      </c>
      <c r="DA16" s="45">
        <f t="shared" si="53"/>
        <v>549600</v>
      </c>
      <c r="DB16" s="45">
        <v>3354919</v>
      </c>
      <c r="DC16" s="8">
        <f t="shared" si="54"/>
        <v>9600</v>
      </c>
      <c r="DD16" s="45">
        <f t="shared" si="55"/>
        <v>-17111</v>
      </c>
      <c r="DE16" s="45">
        <f t="shared" si="56"/>
        <v>549600</v>
      </c>
      <c r="DF16" s="45">
        <f t="shared" si="57"/>
        <v>0</v>
      </c>
      <c r="DG16" s="45">
        <v>2805319</v>
      </c>
      <c r="DH16" s="47">
        <f t="shared" si="58"/>
        <v>-540000</v>
      </c>
      <c r="DI16" s="45">
        <f t="shared" si="59"/>
        <v>-566711</v>
      </c>
      <c r="DJ16" s="45">
        <f t="shared" si="60"/>
        <v>0</v>
      </c>
      <c r="DK16" s="45">
        <f t="shared" si="61"/>
        <v>-549600</v>
      </c>
      <c r="DL16" s="45"/>
      <c r="DM16" s="45">
        <f t="shared" si="62"/>
        <v>2805319</v>
      </c>
      <c r="DN16" s="45">
        <v>2805319</v>
      </c>
      <c r="DO16" s="45">
        <f t="shared" si="63"/>
        <v>-540000</v>
      </c>
      <c r="DP16" s="45"/>
      <c r="DQ16" s="45">
        <v>0</v>
      </c>
      <c r="DR16" s="45">
        <f t="shared" si="64"/>
        <v>2805319</v>
      </c>
      <c r="DS16" s="45">
        <f t="shared" si="65"/>
        <v>-540000</v>
      </c>
      <c r="DT16" s="45"/>
      <c r="DU16" s="45">
        <f t="shared" si="66"/>
        <v>2805319</v>
      </c>
      <c r="DV16" s="45">
        <f t="shared" si="67"/>
        <v>-540000</v>
      </c>
      <c r="DW16" s="45">
        <v>2805319</v>
      </c>
      <c r="DX16" s="45">
        <v>2805319</v>
      </c>
      <c r="DY16" s="9"/>
      <c r="DZ16" s="8">
        <f t="shared" si="68"/>
        <v>0</v>
      </c>
      <c r="EA16" s="47">
        <v>2805319</v>
      </c>
      <c r="EB16" s="8">
        <f t="shared" si="69"/>
        <v>0</v>
      </c>
      <c r="EC16" s="8">
        <f t="shared" si="70"/>
        <v>0</v>
      </c>
      <c r="ED16" s="73"/>
      <c r="EE16" s="44">
        <v>2805319</v>
      </c>
      <c r="EF16" s="30">
        <f t="shared" si="71"/>
        <v>0</v>
      </c>
      <c r="EG16" s="30">
        <f t="shared" si="72"/>
        <v>0</v>
      </c>
      <c r="EH16" s="30">
        <f t="shared" si="73"/>
        <v>0</v>
      </c>
      <c r="EI16" s="44">
        <v>2805319</v>
      </c>
      <c r="EJ16" s="30">
        <f t="shared" si="74"/>
        <v>0</v>
      </c>
      <c r="EK16" s="30">
        <f t="shared" si="75"/>
        <v>0</v>
      </c>
      <c r="EL16" s="30">
        <f t="shared" si="76"/>
        <v>0</v>
      </c>
      <c r="EM16" s="44">
        <v>2805319</v>
      </c>
      <c r="EN16" s="30">
        <f t="shared" si="90"/>
        <v>0</v>
      </c>
      <c r="EO16" s="30">
        <f t="shared" si="91"/>
        <v>0</v>
      </c>
      <c r="EP16" s="30">
        <f t="shared" si="92"/>
        <v>0</v>
      </c>
      <c r="EQ16" s="30">
        <f t="shared" si="77"/>
        <v>0</v>
      </c>
      <c r="ER16" s="44">
        <v>2805319</v>
      </c>
      <c r="ES16" s="30">
        <f t="shared" si="78"/>
        <v>0</v>
      </c>
      <c r="ET16" s="30">
        <f t="shared" si="79"/>
        <v>0</v>
      </c>
      <c r="EU16" s="30">
        <f t="shared" si="80"/>
        <v>0</v>
      </c>
      <c r="EV16" s="30">
        <f t="shared" si="81"/>
        <v>0</v>
      </c>
      <c r="EW16" s="44">
        <v>2805319</v>
      </c>
      <c r="EX16" s="30">
        <f t="shared" si="82"/>
        <v>0</v>
      </c>
      <c r="EY16" s="30">
        <f t="shared" si="83"/>
        <v>0</v>
      </c>
      <c r="EZ16" s="31">
        <v>2805319</v>
      </c>
      <c r="FA16" s="30">
        <f t="shared" si="84"/>
        <v>0</v>
      </c>
      <c r="FB16" s="30">
        <f t="shared" si="85"/>
        <v>0</v>
      </c>
    </row>
    <row r="17" spans="1:158" ht="25.5" x14ac:dyDescent="0.2">
      <c r="A17" s="22" t="s">
        <v>3</v>
      </c>
      <c r="B17" s="23"/>
      <c r="C17" s="61" t="s">
        <v>159</v>
      </c>
      <c r="D17" s="25">
        <v>7645700</v>
      </c>
      <c r="E17" s="26">
        <v>7726719</v>
      </c>
      <c r="F17" s="26">
        <v>7681009</v>
      </c>
      <c r="G17" s="26">
        <v>7685712</v>
      </c>
      <c r="H17" s="26"/>
      <c r="I17" s="26">
        <f t="shared" si="0"/>
        <v>7685712</v>
      </c>
      <c r="J17" s="27">
        <v>-99326</v>
      </c>
      <c r="K17" s="27"/>
      <c r="L17" s="27">
        <f t="shared" si="1"/>
        <v>-99326</v>
      </c>
      <c r="M17" s="28">
        <f t="shared" si="8"/>
        <v>7586386</v>
      </c>
      <c r="N17" s="28">
        <v>8158206</v>
      </c>
      <c r="O17" s="28">
        <v>7475804</v>
      </c>
      <c r="P17" s="28">
        <v>7475804</v>
      </c>
      <c r="Q17" s="28">
        <v>7586386</v>
      </c>
      <c r="R17" s="28">
        <v>7586386</v>
      </c>
      <c r="S17" s="28">
        <v>1.4579999999999999E-2</v>
      </c>
      <c r="T17" s="28">
        <f t="shared" si="86"/>
        <v>-110609.50787999999</v>
      </c>
      <c r="U17" s="28">
        <f t="shared" si="87"/>
        <v>7475776.4921199996</v>
      </c>
      <c r="V17" s="28">
        <f t="shared" si="2"/>
        <v>-110609.5078800004</v>
      </c>
      <c r="W17" s="29">
        <v>7475804</v>
      </c>
      <c r="X17" s="29"/>
      <c r="Y17" s="29">
        <f t="shared" si="9"/>
        <v>7475804</v>
      </c>
      <c r="Z17" s="30">
        <v>7507038</v>
      </c>
      <c r="AA17" s="30">
        <f t="shared" si="10"/>
        <v>31234</v>
      </c>
      <c r="AB17" s="30">
        <v>7345373</v>
      </c>
      <c r="AC17" s="30">
        <v>7345373</v>
      </c>
      <c r="AD17" s="31">
        <v>7256897</v>
      </c>
      <c r="AE17" s="30"/>
      <c r="AF17" s="30">
        <f>AC17-SUM(W17:X17)</f>
        <v>-130431</v>
      </c>
      <c r="AG17" s="30">
        <f>AC17-Z17</f>
        <v>-161665</v>
      </c>
      <c r="AH17" s="31">
        <v>7256897</v>
      </c>
      <c r="AI17" s="31">
        <v>7345373</v>
      </c>
      <c r="AJ17" s="30">
        <f t="shared" si="93"/>
        <v>-218907</v>
      </c>
      <c r="AK17" s="30">
        <f t="shared" si="11"/>
        <v>-250141</v>
      </c>
      <c r="AL17" s="30">
        <f t="shared" si="12"/>
        <v>-88476</v>
      </c>
      <c r="AM17" s="31">
        <f t="shared" si="13"/>
        <v>-218907</v>
      </c>
      <c r="AN17" s="31">
        <f t="shared" si="14"/>
        <v>-250141</v>
      </c>
      <c r="AO17" s="31">
        <f t="shared" si="4"/>
        <v>-88476</v>
      </c>
      <c r="AP17" s="30">
        <v>7345373</v>
      </c>
      <c r="AQ17" s="30">
        <f t="shared" si="5"/>
        <v>-130431</v>
      </c>
      <c r="AR17" s="30">
        <f t="shared" si="15"/>
        <v>-161665</v>
      </c>
      <c r="AS17" s="30">
        <f t="shared" si="16"/>
        <v>-130431</v>
      </c>
      <c r="AT17" s="30"/>
      <c r="AU17" s="30">
        <f t="shared" si="17"/>
        <v>7345373</v>
      </c>
      <c r="AV17" s="30">
        <v>7432061</v>
      </c>
      <c r="AW17" s="30">
        <f t="shared" si="18"/>
        <v>86688</v>
      </c>
      <c r="AX17" s="30">
        <v>7412903</v>
      </c>
      <c r="AY17" s="31">
        <f t="shared" si="88"/>
        <v>67530</v>
      </c>
      <c r="AZ17" s="31">
        <f t="shared" si="89"/>
        <v>-19158</v>
      </c>
      <c r="BA17" s="30">
        <v>7412903</v>
      </c>
      <c r="BB17" s="30">
        <f t="shared" si="19"/>
        <v>67530</v>
      </c>
      <c r="BC17" s="30">
        <f t="shared" si="20"/>
        <v>-19158</v>
      </c>
      <c r="BD17" s="30">
        <f t="shared" si="21"/>
        <v>0</v>
      </c>
      <c r="BE17" s="30">
        <v>7478770</v>
      </c>
      <c r="BF17" s="30">
        <v>7448153</v>
      </c>
      <c r="BG17" s="30">
        <v>7448153</v>
      </c>
      <c r="BH17" s="30">
        <f t="shared" si="22"/>
        <v>102780</v>
      </c>
      <c r="BI17" s="30">
        <f t="shared" si="23"/>
        <v>16092</v>
      </c>
      <c r="BJ17" s="30">
        <f t="shared" si="24"/>
        <v>35250</v>
      </c>
      <c r="BK17" s="8">
        <f t="shared" si="25"/>
        <v>-30617</v>
      </c>
      <c r="BL17" s="30">
        <f>50000+72639</f>
        <v>122639</v>
      </c>
      <c r="BM17" s="30">
        <f t="shared" si="26"/>
        <v>7325514</v>
      </c>
      <c r="BN17" s="44">
        <v>7792343</v>
      </c>
      <c r="BO17" s="31">
        <f t="shared" si="27"/>
        <v>466829</v>
      </c>
      <c r="BP17" s="44">
        <v>7761517</v>
      </c>
      <c r="BQ17" s="8">
        <f t="shared" si="28"/>
        <v>436003</v>
      </c>
      <c r="BR17" s="8">
        <f t="shared" si="29"/>
        <v>-30826</v>
      </c>
      <c r="BS17" s="44">
        <f t="shared" ref="BS17:BS19" si="94">BP17</f>
        <v>7761517</v>
      </c>
      <c r="BT17" s="47">
        <f t="shared" si="30"/>
        <v>436003</v>
      </c>
      <c r="BU17" s="47">
        <f t="shared" si="31"/>
        <v>-30826</v>
      </c>
      <c r="BV17" s="47">
        <f t="shared" si="32"/>
        <v>0</v>
      </c>
      <c r="BW17" s="45">
        <v>7761517</v>
      </c>
      <c r="BX17" s="8">
        <f t="shared" si="33"/>
        <v>436003</v>
      </c>
      <c r="BY17" s="8">
        <f t="shared" si="34"/>
        <v>-30826</v>
      </c>
      <c r="BZ17" s="8">
        <f t="shared" si="35"/>
        <v>0</v>
      </c>
      <c r="CA17" s="45">
        <v>7761517</v>
      </c>
      <c r="CB17" s="8">
        <f t="shared" si="36"/>
        <v>436003</v>
      </c>
      <c r="CC17" s="8">
        <f t="shared" si="37"/>
        <v>-30826</v>
      </c>
      <c r="CD17" s="8">
        <f t="shared" si="6"/>
        <v>0</v>
      </c>
      <c r="CE17" s="8">
        <f t="shared" si="38"/>
        <v>0</v>
      </c>
      <c r="CF17" s="45">
        <v>7761517</v>
      </c>
      <c r="CG17" s="8">
        <f t="shared" si="39"/>
        <v>436003</v>
      </c>
      <c r="CH17" s="8">
        <f t="shared" si="40"/>
        <v>-30826</v>
      </c>
      <c r="CI17" s="8">
        <f t="shared" si="41"/>
        <v>0</v>
      </c>
      <c r="CJ17" s="8">
        <f t="shared" si="42"/>
        <v>0</v>
      </c>
      <c r="CK17" s="45">
        <v>7761517</v>
      </c>
      <c r="CL17" s="8">
        <f t="shared" si="7"/>
        <v>436003</v>
      </c>
      <c r="CM17" s="8">
        <f t="shared" si="43"/>
        <v>-30826</v>
      </c>
      <c r="CN17" s="8">
        <f t="shared" si="44"/>
        <v>0</v>
      </c>
      <c r="CO17" s="45">
        <v>8019607</v>
      </c>
      <c r="CP17" s="45">
        <f t="shared" si="45"/>
        <v>227264</v>
      </c>
      <c r="CQ17" s="8">
        <f t="shared" si="46"/>
        <v>258090</v>
      </c>
      <c r="CR17" s="45">
        <v>7967142</v>
      </c>
      <c r="CS17" s="32"/>
      <c r="CT17" s="45">
        <f t="shared" si="47"/>
        <v>7967142</v>
      </c>
      <c r="CU17" s="8">
        <f t="shared" si="48"/>
        <v>205625</v>
      </c>
      <c r="CV17" s="45">
        <f t="shared" si="49"/>
        <v>-52465</v>
      </c>
      <c r="CW17" s="45">
        <f t="shared" si="50"/>
        <v>0</v>
      </c>
      <c r="CX17" s="45">
        <v>7874567</v>
      </c>
      <c r="CY17" s="8">
        <f t="shared" si="51"/>
        <v>113050</v>
      </c>
      <c r="CZ17" s="45">
        <f t="shared" si="52"/>
        <v>-145040</v>
      </c>
      <c r="DA17" s="45">
        <f t="shared" si="53"/>
        <v>-92575</v>
      </c>
      <c r="DB17" s="45">
        <v>7874567</v>
      </c>
      <c r="DC17" s="8">
        <f t="shared" si="54"/>
        <v>113050</v>
      </c>
      <c r="DD17" s="45">
        <f t="shared" si="55"/>
        <v>-145040</v>
      </c>
      <c r="DE17" s="45">
        <f t="shared" si="56"/>
        <v>-92575</v>
      </c>
      <c r="DF17" s="45">
        <f t="shared" si="57"/>
        <v>0</v>
      </c>
      <c r="DG17" s="45">
        <v>7967142</v>
      </c>
      <c r="DH17" s="47">
        <f t="shared" si="58"/>
        <v>205625</v>
      </c>
      <c r="DI17" s="45">
        <f t="shared" si="59"/>
        <v>-52465</v>
      </c>
      <c r="DJ17" s="45">
        <f t="shared" si="60"/>
        <v>0</v>
      </c>
      <c r="DK17" s="45">
        <f t="shared" si="61"/>
        <v>92575</v>
      </c>
      <c r="DL17" s="45"/>
      <c r="DM17" s="45">
        <f t="shared" si="62"/>
        <v>7967142</v>
      </c>
      <c r="DN17" s="45">
        <v>7967142</v>
      </c>
      <c r="DO17" s="45">
        <f t="shared" si="63"/>
        <v>205625</v>
      </c>
      <c r="DP17" s="45"/>
      <c r="DQ17" s="45">
        <v>0</v>
      </c>
      <c r="DR17" s="45">
        <f t="shared" si="64"/>
        <v>7967142</v>
      </c>
      <c r="DS17" s="45">
        <f t="shared" si="65"/>
        <v>205625</v>
      </c>
      <c r="DT17" s="45"/>
      <c r="DU17" s="45">
        <f t="shared" si="66"/>
        <v>7967142</v>
      </c>
      <c r="DV17" s="45">
        <f t="shared" si="67"/>
        <v>205625</v>
      </c>
      <c r="DW17" s="45">
        <v>7967142</v>
      </c>
      <c r="DX17" s="45">
        <v>8281698</v>
      </c>
      <c r="DY17" s="9"/>
      <c r="DZ17" s="8">
        <f t="shared" si="68"/>
        <v>314556</v>
      </c>
      <c r="EA17" s="47">
        <v>8281697</v>
      </c>
      <c r="EB17" s="8">
        <f t="shared" si="69"/>
        <v>314555</v>
      </c>
      <c r="EC17" s="8">
        <f t="shared" si="70"/>
        <v>-1</v>
      </c>
      <c r="ED17" s="73"/>
      <c r="EE17" s="44">
        <v>8281697</v>
      </c>
      <c r="EF17" s="30">
        <f t="shared" si="71"/>
        <v>314555</v>
      </c>
      <c r="EG17" s="30">
        <f t="shared" si="72"/>
        <v>-1</v>
      </c>
      <c r="EH17" s="30">
        <f t="shared" si="73"/>
        <v>0</v>
      </c>
      <c r="EI17" s="44">
        <v>8281698</v>
      </c>
      <c r="EJ17" s="30">
        <f t="shared" si="74"/>
        <v>314556</v>
      </c>
      <c r="EK17" s="30">
        <f t="shared" si="75"/>
        <v>0</v>
      </c>
      <c r="EL17" s="30">
        <f t="shared" si="76"/>
        <v>1</v>
      </c>
      <c r="EM17" s="44">
        <v>8281698</v>
      </c>
      <c r="EN17" s="30">
        <f t="shared" si="90"/>
        <v>314556</v>
      </c>
      <c r="EO17" s="30">
        <f t="shared" si="91"/>
        <v>0</v>
      </c>
      <c r="EP17" s="30">
        <f t="shared" si="92"/>
        <v>1</v>
      </c>
      <c r="EQ17" s="30">
        <f t="shared" si="77"/>
        <v>0</v>
      </c>
      <c r="ER17" s="44">
        <v>8281698</v>
      </c>
      <c r="ES17" s="30">
        <f t="shared" si="78"/>
        <v>314556</v>
      </c>
      <c r="ET17" s="30">
        <f t="shared" si="79"/>
        <v>0</v>
      </c>
      <c r="EU17" s="30">
        <f t="shared" si="80"/>
        <v>1</v>
      </c>
      <c r="EV17" s="30">
        <f t="shared" si="81"/>
        <v>0</v>
      </c>
      <c r="EW17" s="44">
        <v>8281698</v>
      </c>
      <c r="EX17" s="30">
        <f t="shared" si="82"/>
        <v>314556</v>
      </c>
      <c r="EY17" s="30">
        <f t="shared" si="83"/>
        <v>0</v>
      </c>
      <c r="EZ17" s="31">
        <v>8281698</v>
      </c>
      <c r="FA17" s="30">
        <f t="shared" si="84"/>
        <v>314556</v>
      </c>
      <c r="FB17" s="30">
        <f t="shared" si="85"/>
        <v>0</v>
      </c>
    </row>
    <row r="18" spans="1:158" ht="12.75" x14ac:dyDescent="0.2">
      <c r="A18" s="22" t="s">
        <v>16</v>
      </c>
      <c r="B18" s="23"/>
      <c r="C18" s="61" t="s">
        <v>182</v>
      </c>
      <c r="D18" s="25">
        <v>33802216</v>
      </c>
      <c r="E18" s="26">
        <v>33802216</v>
      </c>
      <c r="F18" s="26">
        <v>30802216</v>
      </c>
      <c r="G18" s="26">
        <f>25748947+200000</f>
        <v>25948947</v>
      </c>
      <c r="H18" s="26"/>
      <c r="I18" s="26">
        <f t="shared" si="0"/>
        <v>25948947</v>
      </c>
      <c r="J18" s="27"/>
      <c r="K18" s="27"/>
      <c r="L18" s="27">
        <f t="shared" si="1"/>
        <v>0</v>
      </c>
      <c r="M18" s="28">
        <f t="shared" si="8"/>
        <v>25948947</v>
      </c>
      <c r="N18" s="28">
        <f>M18+J18</f>
        <v>25948947</v>
      </c>
      <c r="O18" s="28">
        <v>25972317</v>
      </c>
      <c r="P18" s="28">
        <v>25972317</v>
      </c>
      <c r="Q18" s="28">
        <v>19273317</v>
      </c>
      <c r="R18" s="28">
        <v>25948947</v>
      </c>
      <c r="S18" s="28">
        <v>0.11561</v>
      </c>
      <c r="T18" s="28">
        <f t="shared" si="86"/>
        <v>-2999957.7626700001</v>
      </c>
      <c r="U18" s="28">
        <f t="shared" si="87"/>
        <v>22948989.237330001</v>
      </c>
      <c r="V18" s="28">
        <f t="shared" si="2"/>
        <v>-2999957.7626699992</v>
      </c>
      <c r="W18" s="29">
        <v>22948947</v>
      </c>
      <c r="X18" s="29"/>
      <c r="Y18" s="29">
        <f t="shared" si="9"/>
        <v>22948947</v>
      </c>
      <c r="Z18" s="30">
        <v>22948947</v>
      </c>
      <c r="AA18" s="30">
        <f t="shared" si="10"/>
        <v>0</v>
      </c>
      <c r="AB18" s="30">
        <v>22948947</v>
      </c>
      <c r="AC18" s="30">
        <v>22948947</v>
      </c>
      <c r="AD18" s="31">
        <v>20948947</v>
      </c>
      <c r="AE18" s="30"/>
      <c r="AF18" s="30"/>
      <c r="AG18" s="30"/>
      <c r="AH18" s="31">
        <v>20948947</v>
      </c>
      <c r="AI18" s="31">
        <v>22948947</v>
      </c>
      <c r="AJ18" s="30">
        <f t="shared" si="93"/>
        <v>-2000000</v>
      </c>
      <c r="AK18" s="30">
        <f t="shared" si="11"/>
        <v>-2000000</v>
      </c>
      <c r="AL18" s="30">
        <f t="shared" si="12"/>
        <v>-2000000</v>
      </c>
      <c r="AM18" s="31">
        <f t="shared" si="13"/>
        <v>-2000000</v>
      </c>
      <c r="AN18" s="31">
        <f t="shared" si="14"/>
        <v>-2000000</v>
      </c>
      <c r="AO18" s="31">
        <f t="shared" si="4"/>
        <v>-2000000</v>
      </c>
      <c r="AP18" s="30">
        <v>22948947</v>
      </c>
      <c r="AQ18" s="30">
        <f t="shared" si="5"/>
        <v>0</v>
      </c>
      <c r="AR18" s="30">
        <f t="shared" si="15"/>
        <v>0</v>
      </c>
      <c r="AS18" s="30">
        <f t="shared" si="16"/>
        <v>0</v>
      </c>
      <c r="AT18" s="30"/>
      <c r="AU18" s="30">
        <f t="shared" si="17"/>
        <v>22948947</v>
      </c>
      <c r="AV18" s="30">
        <v>25948947</v>
      </c>
      <c r="AW18" s="30">
        <f t="shared" si="18"/>
        <v>3000000</v>
      </c>
      <c r="AX18" s="30">
        <v>24948947</v>
      </c>
      <c r="AY18" s="31">
        <f t="shared" si="88"/>
        <v>2000000</v>
      </c>
      <c r="AZ18" s="31">
        <f t="shared" si="89"/>
        <v>-1000000</v>
      </c>
      <c r="BA18" s="30">
        <v>24948947</v>
      </c>
      <c r="BB18" s="30">
        <f t="shared" si="19"/>
        <v>2000000</v>
      </c>
      <c r="BC18" s="30">
        <f t="shared" si="20"/>
        <v>-1000000</v>
      </c>
      <c r="BD18" s="30">
        <f t="shared" si="21"/>
        <v>0</v>
      </c>
      <c r="BE18" s="30">
        <v>20948947</v>
      </c>
      <c r="BF18" s="30">
        <v>23948947</v>
      </c>
      <c r="BG18" s="30">
        <v>23948947</v>
      </c>
      <c r="BH18" s="30">
        <f t="shared" si="22"/>
        <v>1000000</v>
      </c>
      <c r="BI18" s="30">
        <f t="shared" si="23"/>
        <v>-2000000</v>
      </c>
      <c r="BJ18" s="30">
        <f t="shared" si="24"/>
        <v>-1000000</v>
      </c>
      <c r="BK18" s="8">
        <f t="shared" si="25"/>
        <v>3000000</v>
      </c>
      <c r="BL18" s="30"/>
      <c r="BM18" s="30">
        <f t="shared" si="26"/>
        <v>23948947</v>
      </c>
      <c r="BN18" s="44">
        <v>23948947</v>
      </c>
      <c r="BO18" s="31">
        <f t="shared" si="27"/>
        <v>0</v>
      </c>
      <c r="BP18" s="44">
        <v>23948947</v>
      </c>
      <c r="BQ18" s="8">
        <f t="shared" si="28"/>
        <v>0</v>
      </c>
      <c r="BR18" s="8">
        <f t="shared" si="29"/>
        <v>0</v>
      </c>
      <c r="BS18" s="44">
        <f t="shared" si="94"/>
        <v>23948947</v>
      </c>
      <c r="BT18" s="47">
        <f t="shared" si="30"/>
        <v>0</v>
      </c>
      <c r="BU18" s="47">
        <f t="shared" si="31"/>
        <v>0</v>
      </c>
      <c r="BV18" s="47">
        <f t="shared" si="32"/>
        <v>0</v>
      </c>
      <c r="BW18" s="45">
        <v>20000000</v>
      </c>
      <c r="BX18" s="8">
        <f t="shared" si="33"/>
        <v>-3948947</v>
      </c>
      <c r="BY18" s="8">
        <f t="shared" si="34"/>
        <v>-3948947</v>
      </c>
      <c r="BZ18" s="8">
        <f t="shared" si="35"/>
        <v>-3948947</v>
      </c>
      <c r="CA18" s="45">
        <v>20000000</v>
      </c>
      <c r="CB18" s="8">
        <f t="shared" si="36"/>
        <v>-3948947</v>
      </c>
      <c r="CC18" s="8">
        <f t="shared" si="37"/>
        <v>-3948947</v>
      </c>
      <c r="CD18" s="8">
        <f t="shared" si="6"/>
        <v>-3948947</v>
      </c>
      <c r="CE18" s="8">
        <f t="shared" si="38"/>
        <v>0</v>
      </c>
      <c r="CF18" s="45">
        <v>23948947</v>
      </c>
      <c r="CG18" s="8">
        <f t="shared" si="39"/>
        <v>0</v>
      </c>
      <c r="CH18" s="8">
        <f t="shared" si="40"/>
        <v>0</v>
      </c>
      <c r="CI18" s="8">
        <f t="shared" si="41"/>
        <v>0</v>
      </c>
      <c r="CJ18" s="8">
        <f t="shared" si="42"/>
        <v>3948947</v>
      </c>
      <c r="CK18" s="45">
        <v>23948947</v>
      </c>
      <c r="CL18" s="8">
        <f t="shared" si="7"/>
        <v>0</v>
      </c>
      <c r="CM18" s="8">
        <f t="shared" si="43"/>
        <v>0</v>
      </c>
      <c r="CN18" s="8">
        <f t="shared" si="44"/>
        <v>0</v>
      </c>
      <c r="CO18" s="45">
        <v>27048947</v>
      </c>
      <c r="CP18" s="45">
        <f t="shared" si="45"/>
        <v>3100000</v>
      </c>
      <c r="CQ18" s="8">
        <f t="shared" si="46"/>
        <v>3100000</v>
      </c>
      <c r="CR18" s="45">
        <v>23948947</v>
      </c>
      <c r="CS18" s="30"/>
      <c r="CT18" s="45">
        <f t="shared" si="47"/>
        <v>23948947</v>
      </c>
      <c r="CU18" s="8">
        <f t="shared" si="48"/>
        <v>0</v>
      </c>
      <c r="CV18" s="45">
        <f t="shared" si="49"/>
        <v>-3100000</v>
      </c>
      <c r="CW18" s="45">
        <f t="shared" si="50"/>
        <v>0</v>
      </c>
      <c r="CX18" s="45">
        <v>20000000</v>
      </c>
      <c r="CY18" s="8">
        <f t="shared" si="51"/>
        <v>-3948947</v>
      </c>
      <c r="CZ18" s="45">
        <f t="shared" si="52"/>
        <v>-7048947</v>
      </c>
      <c r="DA18" s="45">
        <f t="shared" si="53"/>
        <v>-3948947</v>
      </c>
      <c r="DB18" s="45">
        <v>20000000</v>
      </c>
      <c r="DC18" s="8">
        <f t="shared" si="54"/>
        <v>-3948947</v>
      </c>
      <c r="DD18" s="45">
        <f t="shared" si="55"/>
        <v>-7048947</v>
      </c>
      <c r="DE18" s="45">
        <f t="shared" si="56"/>
        <v>-3948947</v>
      </c>
      <c r="DF18" s="45">
        <f t="shared" si="57"/>
        <v>0</v>
      </c>
      <c r="DG18" s="45">
        <v>23948947</v>
      </c>
      <c r="DH18" s="47">
        <f t="shared" si="58"/>
        <v>0</v>
      </c>
      <c r="DI18" s="45">
        <f t="shared" si="59"/>
        <v>-3100000</v>
      </c>
      <c r="DJ18" s="45">
        <f t="shared" si="60"/>
        <v>0</v>
      </c>
      <c r="DK18" s="45">
        <f t="shared" si="61"/>
        <v>3948947</v>
      </c>
      <c r="DL18" s="45"/>
      <c r="DM18" s="45">
        <f t="shared" si="62"/>
        <v>23948947</v>
      </c>
      <c r="DN18" s="45">
        <v>23948947</v>
      </c>
      <c r="DO18" s="45">
        <f t="shared" si="63"/>
        <v>0</v>
      </c>
      <c r="DP18" s="45"/>
      <c r="DQ18" s="45">
        <v>-359234</v>
      </c>
      <c r="DR18" s="45">
        <f t="shared" si="64"/>
        <v>23589713</v>
      </c>
      <c r="DS18" s="45">
        <f t="shared" si="65"/>
        <v>-359234</v>
      </c>
      <c r="DT18" s="45">
        <v>-5000000</v>
      </c>
      <c r="DU18" s="45">
        <f t="shared" si="66"/>
        <v>18589713</v>
      </c>
      <c r="DV18" s="45">
        <f t="shared" si="67"/>
        <v>-5359234</v>
      </c>
      <c r="DW18" s="45">
        <v>18589713</v>
      </c>
      <c r="DX18" s="45">
        <v>0</v>
      </c>
      <c r="DY18" s="9"/>
      <c r="DZ18" s="8">
        <f t="shared" si="68"/>
        <v>-18589713</v>
      </c>
      <c r="EA18" s="47">
        <v>18589713</v>
      </c>
      <c r="EB18" s="8">
        <f t="shared" si="69"/>
        <v>0</v>
      </c>
      <c r="EC18" s="8">
        <f t="shared" si="70"/>
        <v>18589713</v>
      </c>
      <c r="ED18" s="73"/>
      <c r="EE18" s="44">
        <v>18589713</v>
      </c>
      <c r="EF18" s="30">
        <f t="shared" si="71"/>
        <v>0</v>
      </c>
      <c r="EG18" s="30">
        <f t="shared" si="72"/>
        <v>18589713</v>
      </c>
      <c r="EH18" s="30">
        <f t="shared" si="73"/>
        <v>0</v>
      </c>
      <c r="EI18" s="44">
        <v>1000000</v>
      </c>
      <c r="EJ18" s="30">
        <f t="shared" si="74"/>
        <v>-17589713</v>
      </c>
      <c r="EK18" s="30">
        <f t="shared" si="75"/>
        <v>1000000</v>
      </c>
      <c r="EL18" s="30">
        <f t="shared" si="76"/>
        <v>-17589713</v>
      </c>
      <c r="EM18" s="44">
        <v>1000000</v>
      </c>
      <c r="EN18" s="30">
        <f t="shared" si="90"/>
        <v>-17589713</v>
      </c>
      <c r="EO18" s="30">
        <f t="shared" si="91"/>
        <v>1000000</v>
      </c>
      <c r="EP18" s="30">
        <f t="shared" si="92"/>
        <v>-17589713</v>
      </c>
      <c r="EQ18" s="30">
        <f t="shared" si="77"/>
        <v>0</v>
      </c>
      <c r="ER18" s="44">
        <v>18589713</v>
      </c>
      <c r="ES18" s="30">
        <f t="shared" si="78"/>
        <v>0</v>
      </c>
      <c r="ET18" s="30">
        <f t="shared" si="79"/>
        <v>18589713</v>
      </c>
      <c r="EU18" s="30">
        <f t="shared" si="80"/>
        <v>0</v>
      </c>
      <c r="EV18" s="30">
        <f t="shared" si="81"/>
        <v>17589713</v>
      </c>
      <c r="EW18" s="44">
        <f>18589713-17589713</f>
        <v>1000000</v>
      </c>
      <c r="EX18" s="30">
        <f t="shared" si="82"/>
        <v>-17589713</v>
      </c>
      <c r="EY18" s="30">
        <f t="shared" si="83"/>
        <v>-17589713</v>
      </c>
      <c r="EZ18" s="31">
        <f>18589713</f>
        <v>18589713</v>
      </c>
      <c r="FA18" s="30">
        <f t="shared" si="84"/>
        <v>0</v>
      </c>
      <c r="FB18" s="30">
        <f t="shared" si="85"/>
        <v>17589713</v>
      </c>
    </row>
    <row r="19" spans="1:158" ht="12.75" x14ac:dyDescent="0.2">
      <c r="A19" s="22" t="s">
        <v>17</v>
      </c>
      <c r="B19" s="23"/>
      <c r="C19" s="61" t="s">
        <v>106</v>
      </c>
      <c r="D19" s="25">
        <v>2900000</v>
      </c>
      <c r="E19" s="26">
        <v>2900000</v>
      </c>
      <c r="F19" s="26">
        <v>2235705</v>
      </c>
      <c r="G19" s="26">
        <v>0</v>
      </c>
      <c r="H19" s="26"/>
      <c r="I19" s="26">
        <f t="shared" si="0"/>
        <v>0</v>
      </c>
      <c r="J19" s="33"/>
      <c r="K19" s="27"/>
      <c r="L19" s="27">
        <f t="shared" si="1"/>
        <v>0</v>
      </c>
      <c r="M19" s="28">
        <f t="shared" si="8"/>
        <v>0</v>
      </c>
      <c r="N19" s="28">
        <v>0</v>
      </c>
      <c r="O19" s="28">
        <v>0</v>
      </c>
      <c r="P19" s="28">
        <v>750000</v>
      </c>
      <c r="Q19" s="28">
        <v>0</v>
      </c>
      <c r="R19" s="28">
        <v>750000</v>
      </c>
      <c r="S19" s="28">
        <v>0.46666999999999997</v>
      </c>
      <c r="T19" s="28">
        <f t="shared" si="86"/>
        <v>-350002.5</v>
      </c>
      <c r="U19" s="28">
        <f t="shared" si="87"/>
        <v>399997.5</v>
      </c>
      <c r="V19" s="28">
        <f t="shared" si="2"/>
        <v>399997.5</v>
      </c>
      <c r="W19" s="29">
        <v>400000</v>
      </c>
      <c r="X19" s="29"/>
      <c r="Y19" s="29">
        <f t="shared" si="9"/>
        <v>400000</v>
      </c>
      <c r="Z19" s="30">
        <v>0</v>
      </c>
      <c r="AA19" s="30">
        <f t="shared" si="10"/>
        <v>-400000</v>
      </c>
      <c r="AB19" s="30">
        <v>400000</v>
      </c>
      <c r="AC19" s="30">
        <v>400000</v>
      </c>
      <c r="AD19" s="31">
        <v>392000</v>
      </c>
      <c r="AE19" s="30"/>
      <c r="AF19" s="30"/>
      <c r="AG19" s="30">
        <f>AC19-Z19</f>
        <v>400000</v>
      </c>
      <c r="AH19" s="31">
        <v>392000</v>
      </c>
      <c r="AI19" s="31">
        <v>400000</v>
      </c>
      <c r="AJ19" s="30">
        <f t="shared" si="93"/>
        <v>-8000</v>
      </c>
      <c r="AK19" s="30">
        <f t="shared" si="11"/>
        <v>392000</v>
      </c>
      <c r="AL19" s="30">
        <f t="shared" si="12"/>
        <v>-8000</v>
      </c>
      <c r="AM19" s="31">
        <f t="shared" si="13"/>
        <v>-8000</v>
      </c>
      <c r="AN19" s="31">
        <f t="shared" si="14"/>
        <v>392000</v>
      </c>
      <c r="AO19" s="31">
        <f t="shared" si="4"/>
        <v>-8000</v>
      </c>
      <c r="AP19" s="30">
        <v>400000</v>
      </c>
      <c r="AQ19" s="30">
        <f t="shared" si="5"/>
        <v>0</v>
      </c>
      <c r="AR19" s="30">
        <f t="shared" si="15"/>
        <v>400000</v>
      </c>
      <c r="AS19" s="30">
        <f t="shared" si="16"/>
        <v>0</v>
      </c>
      <c r="AT19" s="30"/>
      <c r="AU19" s="30">
        <f t="shared" si="17"/>
        <v>400000</v>
      </c>
      <c r="AV19" s="30">
        <v>400000</v>
      </c>
      <c r="AW19" s="30">
        <f t="shared" si="18"/>
        <v>0</v>
      </c>
      <c r="AX19" s="30">
        <v>400000</v>
      </c>
      <c r="AY19" s="31">
        <f t="shared" si="88"/>
        <v>0</v>
      </c>
      <c r="AZ19" s="31">
        <f t="shared" si="89"/>
        <v>0</v>
      </c>
      <c r="BA19" s="30">
        <v>400000</v>
      </c>
      <c r="BB19" s="30">
        <f t="shared" si="19"/>
        <v>0</v>
      </c>
      <c r="BC19" s="30">
        <f t="shared" si="20"/>
        <v>0</v>
      </c>
      <c r="BD19" s="30">
        <f t="shared" si="21"/>
        <v>0</v>
      </c>
      <c r="BE19" s="30">
        <v>400000</v>
      </c>
      <c r="BF19" s="30">
        <v>400000</v>
      </c>
      <c r="BG19" s="30">
        <v>400000</v>
      </c>
      <c r="BH19" s="30">
        <f t="shared" si="22"/>
        <v>0</v>
      </c>
      <c r="BI19" s="30">
        <f t="shared" si="23"/>
        <v>0</v>
      </c>
      <c r="BJ19" s="30">
        <f t="shared" si="24"/>
        <v>0</v>
      </c>
      <c r="BK19" s="8">
        <f t="shared" si="25"/>
        <v>0</v>
      </c>
      <c r="BL19" s="30"/>
      <c r="BM19" s="30">
        <f t="shared" si="26"/>
        <v>400000</v>
      </c>
      <c r="BN19" s="44">
        <v>400000</v>
      </c>
      <c r="BO19" s="31">
        <f t="shared" si="27"/>
        <v>0</v>
      </c>
      <c r="BP19" s="44">
        <v>100000</v>
      </c>
      <c r="BQ19" s="8">
        <f t="shared" si="28"/>
        <v>-300000</v>
      </c>
      <c r="BR19" s="8">
        <f t="shared" si="29"/>
        <v>-300000</v>
      </c>
      <c r="BS19" s="44">
        <f t="shared" si="94"/>
        <v>100000</v>
      </c>
      <c r="BT19" s="47">
        <f t="shared" si="30"/>
        <v>-300000</v>
      </c>
      <c r="BU19" s="47">
        <f t="shared" si="31"/>
        <v>-300000</v>
      </c>
      <c r="BV19" s="47">
        <f t="shared" si="32"/>
        <v>0</v>
      </c>
      <c r="BW19" s="45">
        <v>400000</v>
      </c>
      <c r="BX19" s="8">
        <f t="shared" si="33"/>
        <v>0</v>
      </c>
      <c r="BY19" s="8">
        <f t="shared" si="34"/>
        <v>0</v>
      </c>
      <c r="BZ19" s="8">
        <f t="shared" si="35"/>
        <v>300000</v>
      </c>
      <c r="CA19" s="45">
        <v>400000</v>
      </c>
      <c r="CB19" s="8">
        <f t="shared" si="36"/>
        <v>0</v>
      </c>
      <c r="CC19" s="8">
        <f t="shared" si="37"/>
        <v>0</v>
      </c>
      <c r="CD19" s="8">
        <f t="shared" si="6"/>
        <v>300000</v>
      </c>
      <c r="CE19" s="8">
        <f t="shared" si="38"/>
        <v>0</v>
      </c>
      <c r="CF19" s="45">
        <v>350000</v>
      </c>
      <c r="CG19" s="8">
        <f t="shared" si="39"/>
        <v>-50000</v>
      </c>
      <c r="CH19" s="8">
        <f t="shared" si="40"/>
        <v>-50000</v>
      </c>
      <c r="CI19" s="8">
        <f t="shared" si="41"/>
        <v>250000</v>
      </c>
      <c r="CJ19" s="8">
        <f t="shared" si="42"/>
        <v>-50000</v>
      </c>
      <c r="CK19" s="45">
        <v>350000</v>
      </c>
      <c r="CL19" s="8">
        <f t="shared" si="7"/>
        <v>-50000</v>
      </c>
      <c r="CM19" s="8">
        <f t="shared" si="43"/>
        <v>-50000</v>
      </c>
      <c r="CN19" s="8">
        <f t="shared" si="44"/>
        <v>0</v>
      </c>
      <c r="CO19" s="45">
        <v>0</v>
      </c>
      <c r="CP19" s="45">
        <f t="shared" si="45"/>
        <v>-400000</v>
      </c>
      <c r="CQ19" s="8">
        <f t="shared" si="46"/>
        <v>-350000</v>
      </c>
      <c r="CR19" s="45">
        <v>0</v>
      </c>
      <c r="CS19" s="32"/>
      <c r="CT19" s="45">
        <f t="shared" si="47"/>
        <v>0</v>
      </c>
      <c r="CU19" s="8">
        <f t="shared" si="48"/>
        <v>-350000</v>
      </c>
      <c r="CV19" s="45">
        <f t="shared" si="49"/>
        <v>0</v>
      </c>
      <c r="CW19" s="45">
        <f t="shared" si="50"/>
        <v>0</v>
      </c>
      <c r="CX19" s="45">
        <v>350000</v>
      </c>
      <c r="CY19" s="8">
        <f t="shared" si="51"/>
        <v>0</v>
      </c>
      <c r="CZ19" s="45">
        <f t="shared" si="52"/>
        <v>350000</v>
      </c>
      <c r="DA19" s="45">
        <f t="shared" si="53"/>
        <v>350000</v>
      </c>
      <c r="DB19" s="45">
        <v>350000</v>
      </c>
      <c r="DC19" s="8">
        <f t="shared" si="54"/>
        <v>0</v>
      </c>
      <c r="DD19" s="45">
        <f t="shared" si="55"/>
        <v>350000</v>
      </c>
      <c r="DE19" s="45">
        <f t="shared" si="56"/>
        <v>350000</v>
      </c>
      <c r="DF19" s="45">
        <f t="shared" si="57"/>
        <v>0</v>
      </c>
      <c r="DG19" s="45">
        <v>300000</v>
      </c>
      <c r="DH19" s="47">
        <f t="shared" si="58"/>
        <v>-50000</v>
      </c>
      <c r="DI19" s="45">
        <f t="shared" si="59"/>
        <v>300000</v>
      </c>
      <c r="DJ19" s="45">
        <f t="shared" si="60"/>
        <v>300000</v>
      </c>
      <c r="DK19" s="45">
        <f t="shared" si="61"/>
        <v>-50000</v>
      </c>
      <c r="DL19" s="45"/>
      <c r="DM19" s="45">
        <f t="shared" si="62"/>
        <v>300000</v>
      </c>
      <c r="DN19" s="45">
        <v>300000</v>
      </c>
      <c r="DO19" s="45">
        <f t="shared" si="63"/>
        <v>-50000</v>
      </c>
      <c r="DP19" s="45"/>
      <c r="DQ19" s="45">
        <v>-4500</v>
      </c>
      <c r="DR19" s="45">
        <f t="shared" si="64"/>
        <v>295500</v>
      </c>
      <c r="DS19" s="45">
        <f t="shared" si="65"/>
        <v>-54500</v>
      </c>
      <c r="DT19" s="45"/>
      <c r="DU19" s="45">
        <f t="shared" si="66"/>
        <v>295500</v>
      </c>
      <c r="DV19" s="45">
        <f t="shared" si="67"/>
        <v>-54500</v>
      </c>
      <c r="DW19" s="45">
        <v>295500</v>
      </c>
      <c r="DX19" s="45">
        <v>0</v>
      </c>
      <c r="DY19" s="9"/>
      <c r="DZ19" s="8">
        <f t="shared" si="68"/>
        <v>-295500</v>
      </c>
      <c r="EA19" s="47">
        <v>0</v>
      </c>
      <c r="EB19" s="8">
        <f t="shared" si="69"/>
        <v>-295500</v>
      </c>
      <c r="EC19" s="8">
        <f t="shared" si="70"/>
        <v>0</v>
      </c>
      <c r="ED19" s="71" t="s">
        <v>270</v>
      </c>
      <c r="EE19" s="44">
        <v>0</v>
      </c>
      <c r="EF19" s="30">
        <f t="shared" si="71"/>
        <v>-295500</v>
      </c>
      <c r="EG19" s="30">
        <f t="shared" si="72"/>
        <v>0</v>
      </c>
      <c r="EH19" s="30">
        <f t="shared" si="73"/>
        <v>0</v>
      </c>
      <c r="EI19" s="44">
        <v>0</v>
      </c>
      <c r="EJ19" s="30">
        <f t="shared" si="74"/>
        <v>-295500</v>
      </c>
      <c r="EK19" s="30">
        <f t="shared" si="75"/>
        <v>0</v>
      </c>
      <c r="EL19" s="30">
        <f t="shared" si="76"/>
        <v>0</v>
      </c>
      <c r="EM19" s="44">
        <v>0</v>
      </c>
      <c r="EN19" s="30">
        <f t="shared" si="90"/>
        <v>-295500</v>
      </c>
      <c r="EO19" s="30">
        <f t="shared" si="91"/>
        <v>0</v>
      </c>
      <c r="EP19" s="30">
        <f t="shared" si="92"/>
        <v>0</v>
      </c>
      <c r="EQ19" s="30">
        <f t="shared" si="77"/>
        <v>0</v>
      </c>
      <c r="ER19" s="44">
        <v>0</v>
      </c>
      <c r="ES19" s="30">
        <f t="shared" si="78"/>
        <v>-295500</v>
      </c>
      <c r="ET19" s="30">
        <f t="shared" si="79"/>
        <v>0</v>
      </c>
      <c r="EU19" s="30">
        <f t="shared" si="80"/>
        <v>0</v>
      </c>
      <c r="EV19" s="30">
        <f t="shared" si="81"/>
        <v>0</v>
      </c>
      <c r="EW19" s="44">
        <v>0</v>
      </c>
      <c r="EX19" s="30">
        <f t="shared" si="82"/>
        <v>-295500</v>
      </c>
      <c r="EY19" s="30">
        <f t="shared" si="83"/>
        <v>0</v>
      </c>
      <c r="EZ19" s="31">
        <v>0</v>
      </c>
      <c r="FA19" s="30">
        <f t="shared" si="84"/>
        <v>-295500</v>
      </c>
      <c r="FB19" s="30">
        <f t="shared" si="85"/>
        <v>0</v>
      </c>
    </row>
    <row r="20" spans="1:158" ht="12.75" x14ac:dyDescent="0.2">
      <c r="A20" s="22" t="s">
        <v>18</v>
      </c>
      <c r="B20" s="23"/>
      <c r="C20" s="60" t="s">
        <v>280</v>
      </c>
      <c r="D20" s="25">
        <v>30101348</v>
      </c>
      <c r="E20" s="26">
        <v>31176348</v>
      </c>
      <c r="F20" s="26">
        <v>29972208</v>
      </c>
      <c r="G20" s="26">
        <v>28085096</v>
      </c>
      <c r="H20" s="26"/>
      <c r="I20" s="26">
        <f t="shared" si="0"/>
        <v>28085096</v>
      </c>
      <c r="J20" s="27"/>
      <c r="K20" s="27"/>
      <c r="L20" s="27">
        <f t="shared" si="1"/>
        <v>0</v>
      </c>
      <c r="M20" s="28">
        <f t="shared" si="8"/>
        <v>28085096</v>
      </c>
      <c r="N20" s="28">
        <v>27957357</v>
      </c>
      <c r="O20" s="28">
        <v>27956636</v>
      </c>
      <c r="P20" s="28">
        <v>27956636</v>
      </c>
      <c r="Q20" s="28">
        <v>27957357</v>
      </c>
      <c r="R20" s="28">
        <v>27952108</v>
      </c>
      <c r="S20" s="28">
        <v>8.94E-3</v>
      </c>
      <c r="T20" s="28">
        <f t="shared" si="86"/>
        <v>-249891.84552</v>
      </c>
      <c r="U20" s="28">
        <f t="shared" si="87"/>
        <v>27702216.154479999</v>
      </c>
      <c r="V20" s="28">
        <f t="shared" si="2"/>
        <v>-382879.8455200009</v>
      </c>
      <c r="W20" s="29">
        <v>27702108</v>
      </c>
      <c r="X20" s="29"/>
      <c r="Y20" s="29">
        <f t="shared" si="9"/>
        <v>27702108</v>
      </c>
      <c r="Z20" s="30">
        <v>27702115</v>
      </c>
      <c r="AA20" s="30">
        <f t="shared" si="10"/>
        <v>7</v>
      </c>
      <c r="AB20" s="30">
        <v>27702108</v>
      </c>
      <c r="AC20" s="30">
        <v>27702108</v>
      </c>
      <c r="AD20" s="31">
        <v>27702108</v>
      </c>
      <c r="AE20" s="30"/>
      <c r="AF20" s="30"/>
      <c r="AG20" s="30">
        <f>AC20-Z20</f>
        <v>-7</v>
      </c>
      <c r="AH20" s="31">
        <v>27702108</v>
      </c>
      <c r="AI20" s="31">
        <v>27702108</v>
      </c>
      <c r="AJ20" s="30">
        <f t="shared" si="93"/>
        <v>0</v>
      </c>
      <c r="AK20" s="30">
        <f t="shared" si="11"/>
        <v>-7</v>
      </c>
      <c r="AL20" s="30">
        <f t="shared" si="12"/>
        <v>0</v>
      </c>
      <c r="AM20" s="31">
        <f t="shared" si="13"/>
        <v>0</v>
      </c>
      <c r="AN20" s="31">
        <f t="shared" si="14"/>
        <v>-7</v>
      </c>
      <c r="AO20" s="31">
        <f t="shared" si="4"/>
        <v>0</v>
      </c>
      <c r="AP20" s="30">
        <v>27702108</v>
      </c>
      <c r="AQ20" s="30">
        <f t="shared" si="5"/>
        <v>0</v>
      </c>
      <c r="AR20" s="30">
        <f t="shared" si="15"/>
        <v>-7</v>
      </c>
      <c r="AS20" s="30">
        <f t="shared" si="16"/>
        <v>0</v>
      </c>
      <c r="AT20" s="30">
        <v>3000000</v>
      </c>
      <c r="AU20" s="30">
        <f t="shared" si="17"/>
        <v>30702108</v>
      </c>
      <c r="AV20" s="30">
        <v>30707455</v>
      </c>
      <c r="AW20" s="30">
        <f t="shared" si="18"/>
        <v>5347</v>
      </c>
      <c r="AX20" s="30">
        <v>29173112</v>
      </c>
      <c r="AY20" s="31">
        <f t="shared" si="88"/>
        <v>-1528996</v>
      </c>
      <c r="AZ20" s="31">
        <f t="shared" si="89"/>
        <v>-1534343</v>
      </c>
      <c r="BA20" s="30">
        <v>29923112</v>
      </c>
      <c r="BB20" s="30">
        <f t="shared" si="19"/>
        <v>-778996</v>
      </c>
      <c r="BC20" s="30">
        <f t="shared" si="20"/>
        <v>-784343</v>
      </c>
      <c r="BD20" s="30">
        <f t="shared" si="21"/>
        <v>750000</v>
      </c>
      <c r="BE20" s="30">
        <v>30707455</v>
      </c>
      <c r="BF20" s="30">
        <v>30174160</v>
      </c>
      <c r="BG20" s="30">
        <v>30174160</v>
      </c>
      <c r="BH20" s="30">
        <f t="shared" si="22"/>
        <v>-527948</v>
      </c>
      <c r="BI20" s="30">
        <f t="shared" si="23"/>
        <v>-533295</v>
      </c>
      <c r="BJ20" s="30">
        <f t="shared" si="24"/>
        <v>251048</v>
      </c>
      <c r="BK20" s="8">
        <f t="shared" si="25"/>
        <v>-533295</v>
      </c>
      <c r="BL20" s="30"/>
      <c r="BM20" s="30">
        <f t="shared" si="26"/>
        <v>30174160</v>
      </c>
      <c r="BN20" s="44">
        <v>35178721</v>
      </c>
      <c r="BO20" s="31">
        <f t="shared" si="27"/>
        <v>5004561</v>
      </c>
      <c r="BP20" s="44">
        <v>29156340</v>
      </c>
      <c r="BQ20" s="8">
        <f t="shared" si="28"/>
        <v>-1017820</v>
      </c>
      <c r="BR20" s="8">
        <f t="shared" si="29"/>
        <v>-6022381</v>
      </c>
      <c r="BS20" s="44">
        <v>30174160</v>
      </c>
      <c r="BT20" s="47">
        <f t="shared" si="30"/>
        <v>0</v>
      </c>
      <c r="BU20" s="47">
        <f t="shared" si="31"/>
        <v>-5004561</v>
      </c>
      <c r="BV20" s="47">
        <f t="shared" si="32"/>
        <v>1017820</v>
      </c>
      <c r="BW20" s="45">
        <v>30024160</v>
      </c>
      <c r="BX20" s="8">
        <f t="shared" si="33"/>
        <v>-150000</v>
      </c>
      <c r="BY20" s="8">
        <f t="shared" si="34"/>
        <v>-5154561</v>
      </c>
      <c r="BZ20" s="8">
        <f t="shared" si="35"/>
        <v>-150000</v>
      </c>
      <c r="CA20" s="45">
        <f>30024160+150000</f>
        <v>30174160</v>
      </c>
      <c r="CB20" s="8">
        <f t="shared" si="36"/>
        <v>0</v>
      </c>
      <c r="CC20" s="8">
        <f t="shared" si="37"/>
        <v>-5004561</v>
      </c>
      <c r="CD20" s="8">
        <f t="shared" si="6"/>
        <v>0</v>
      </c>
      <c r="CE20" s="8">
        <f t="shared" si="38"/>
        <v>150000</v>
      </c>
      <c r="CF20" s="45">
        <v>30174160</v>
      </c>
      <c r="CG20" s="8">
        <f t="shared" si="39"/>
        <v>0</v>
      </c>
      <c r="CH20" s="8">
        <f t="shared" si="40"/>
        <v>-5004561</v>
      </c>
      <c r="CI20" s="8">
        <f t="shared" si="41"/>
        <v>0</v>
      </c>
      <c r="CJ20" s="8">
        <f t="shared" si="42"/>
        <v>0</v>
      </c>
      <c r="CK20" s="45">
        <v>30174160</v>
      </c>
      <c r="CL20" s="8">
        <f t="shared" si="7"/>
        <v>0</v>
      </c>
      <c r="CM20" s="8">
        <f t="shared" si="43"/>
        <v>-5004561</v>
      </c>
      <c r="CN20" s="8">
        <f t="shared" si="44"/>
        <v>0</v>
      </c>
      <c r="CO20" s="45">
        <v>30024160</v>
      </c>
      <c r="CP20" s="45">
        <f t="shared" si="45"/>
        <v>-5154561</v>
      </c>
      <c r="CQ20" s="8">
        <f t="shared" si="46"/>
        <v>-150000</v>
      </c>
      <c r="CR20" s="45">
        <v>29156340</v>
      </c>
      <c r="CS20" s="32">
        <v>1117820</v>
      </c>
      <c r="CT20" s="45">
        <f t="shared" si="47"/>
        <v>30274160</v>
      </c>
      <c r="CU20" s="8">
        <f t="shared" si="48"/>
        <v>100000</v>
      </c>
      <c r="CV20" s="45">
        <f t="shared" si="49"/>
        <v>250000</v>
      </c>
      <c r="CW20" s="45">
        <f t="shared" si="50"/>
        <v>1117820</v>
      </c>
      <c r="CX20" s="45">
        <v>29156340</v>
      </c>
      <c r="CY20" s="8">
        <f t="shared" si="51"/>
        <v>-1017820</v>
      </c>
      <c r="CZ20" s="45">
        <f t="shared" si="52"/>
        <v>-867820</v>
      </c>
      <c r="DA20" s="45">
        <f t="shared" si="53"/>
        <v>-1117820</v>
      </c>
      <c r="DB20" s="45">
        <f>29156340+250000</f>
        <v>29406340</v>
      </c>
      <c r="DC20" s="8">
        <f t="shared" si="54"/>
        <v>-767820</v>
      </c>
      <c r="DD20" s="45">
        <f t="shared" si="55"/>
        <v>-617820</v>
      </c>
      <c r="DE20" s="45">
        <f t="shared" si="56"/>
        <v>-867820</v>
      </c>
      <c r="DF20" s="45">
        <f t="shared" si="57"/>
        <v>250000</v>
      </c>
      <c r="DG20" s="45">
        <v>30374160</v>
      </c>
      <c r="DH20" s="47">
        <f t="shared" si="58"/>
        <v>200000</v>
      </c>
      <c r="DI20" s="45">
        <f t="shared" si="59"/>
        <v>350000</v>
      </c>
      <c r="DJ20" s="45">
        <f t="shared" si="60"/>
        <v>100000</v>
      </c>
      <c r="DK20" s="45">
        <f t="shared" si="61"/>
        <v>967820</v>
      </c>
      <c r="DL20" s="45"/>
      <c r="DM20" s="45">
        <f t="shared" si="62"/>
        <v>30374160</v>
      </c>
      <c r="DN20" s="45">
        <v>30374160</v>
      </c>
      <c r="DO20" s="45">
        <f t="shared" si="63"/>
        <v>200000</v>
      </c>
      <c r="DP20" s="45"/>
      <c r="DQ20" s="45">
        <v>-705513</v>
      </c>
      <c r="DR20" s="45">
        <f t="shared" si="64"/>
        <v>29668647</v>
      </c>
      <c r="DS20" s="45">
        <f t="shared" si="65"/>
        <v>-505513</v>
      </c>
      <c r="DT20" s="45"/>
      <c r="DU20" s="45">
        <f t="shared" si="66"/>
        <v>29668647</v>
      </c>
      <c r="DV20" s="45">
        <f t="shared" si="67"/>
        <v>-505513</v>
      </c>
      <c r="DW20" s="45">
        <v>29668647</v>
      </c>
      <c r="DX20" s="45">
        <v>30036166</v>
      </c>
      <c r="DY20" s="9"/>
      <c r="DZ20" s="8">
        <f t="shared" si="68"/>
        <v>367519</v>
      </c>
      <c r="EA20" s="47">
        <v>29156340</v>
      </c>
      <c r="EB20" s="8">
        <f t="shared" si="69"/>
        <v>-512307</v>
      </c>
      <c r="EC20" s="8">
        <f t="shared" si="70"/>
        <v>-879826</v>
      </c>
      <c r="ED20" s="73"/>
      <c r="EE20" s="44">
        <v>30431340</v>
      </c>
      <c r="EF20" s="30">
        <f t="shared" si="71"/>
        <v>762693</v>
      </c>
      <c r="EG20" s="30">
        <f t="shared" si="72"/>
        <v>395174</v>
      </c>
      <c r="EH20" s="30">
        <f t="shared" si="73"/>
        <v>1275000</v>
      </c>
      <c r="EI20" s="44">
        <v>30374160</v>
      </c>
      <c r="EJ20" s="30">
        <f t="shared" si="74"/>
        <v>705513</v>
      </c>
      <c r="EK20" s="30">
        <f t="shared" si="75"/>
        <v>337994</v>
      </c>
      <c r="EL20" s="30">
        <f t="shared" si="76"/>
        <v>-57180</v>
      </c>
      <c r="EM20" s="44">
        <f>30374160+100000+500000+250000</f>
        <v>31224160</v>
      </c>
      <c r="EN20" s="30">
        <f t="shared" si="90"/>
        <v>1555513</v>
      </c>
      <c r="EO20" s="30">
        <f t="shared" si="91"/>
        <v>1187994</v>
      </c>
      <c r="EP20" s="30">
        <f t="shared" si="92"/>
        <v>792820</v>
      </c>
      <c r="EQ20" s="30">
        <f t="shared" si="77"/>
        <v>850000</v>
      </c>
      <c r="ER20" s="44">
        <v>31249160</v>
      </c>
      <c r="ES20" s="30">
        <f t="shared" si="78"/>
        <v>1580513</v>
      </c>
      <c r="ET20" s="30">
        <f t="shared" si="79"/>
        <v>1212994</v>
      </c>
      <c r="EU20" s="30">
        <f t="shared" si="80"/>
        <v>817820</v>
      </c>
      <c r="EV20" s="30">
        <f t="shared" si="81"/>
        <v>25000</v>
      </c>
      <c r="EW20" s="44">
        <v>31249160</v>
      </c>
      <c r="EX20" s="30">
        <f t="shared" si="82"/>
        <v>1580513</v>
      </c>
      <c r="EY20" s="30">
        <f t="shared" si="83"/>
        <v>0</v>
      </c>
      <c r="EZ20" s="31">
        <v>31249160</v>
      </c>
      <c r="FA20" s="30">
        <f t="shared" si="84"/>
        <v>1580513</v>
      </c>
      <c r="FB20" s="30">
        <f t="shared" si="85"/>
        <v>0</v>
      </c>
    </row>
    <row r="21" spans="1:158" ht="12.75" x14ac:dyDescent="0.2">
      <c r="A21" s="22" t="s">
        <v>4</v>
      </c>
      <c r="B21" s="23"/>
      <c r="C21" s="61" t="s">
        <v>46</v>
      </c>
      <c r="D21" s="25">
        <v>58300000</v>
      </c>
      <c r="E21" s="26">
        <v>61300000</v>
      </c>
      <c r="F21" s="26">
        <v>58357600</v>
      </c>
      <c r="G21" s="26">
        <v>40521840</v>
      </c>
      <c r="H21" s="26"/>
      <c r="I21" s="26">
        <f t="shared" si="0"/>
        <v>40521840</v>
      </c>
      <c r="J21" s="27"/>
      <c r="K21" s="27"/>
      <c r="L21" s="27">
        <f t="shared" si="1"/>
        <v>0</v>
      </c>
      <c r="M21" s="28">
        <f t="shared" si="8"/>
        <v>40521840</v>
      </c>
      <c r="N21" s="28">
        <f>M21+J21</f>
        <v>40521840</v>
      </c>
      <c r="O21" s="28">
        <v>42547932</v>
      </c>
      <c r="P21" s="28">
        <v>42547932</v>
      </c>
      <c r="Q21" s="28">
        <v>40521840</v>
      </c>
      <c r="R21" s="28">
        <v>44074024</v>
      </c>
      <c r="S21" s="28">
        <v>8.0610000000000001E-2</v>
      </c>
      <c r="T21" s="28">
        <f t="shared" si="86"/>
        <v>-3552807.0746400002</v>
      </c>
      <c r="U21" s="28">
        <f t="shared" si="87"/>
        <v>40521216.925360002</v>
      </c>
      <c r="V21" s="28">
        <f t="shared" si="2"/>
        <v>-623.07463999837637</v>
      </c>
      <c r="W21" s="29">
        <v>40521000</v>
      </c>
      <c r="X21" s="29"/>
      <c r="Y21" s="29">
        <f t="shared" si="9"/>
        <v>40521000</v>
      </c>
      <c r="Z21" s="30">
        <v>40521000</v>
      </c>
      <c r="AA21" s="30">
        <f t="shared" si="10"/>
        <v>0</v>
      </c>
      <c r="AB21" s="30">
        <v>40521000</v>
      </c>
      <c r="AC21" s="30">
        <v>40521000</v>
      </c>
      <c r="AD21" s="31">
        <v>40521000</v>
      </c>
      <c r="AE21" s="30"/>
      <c r="AF21" s="30"/>
      <c r="AG21" s="30"/>
      <c r="AH21" s="32">
        <v>43521000</v>
      </c>
      <c r="AI21" s="32">
        <v>43521000</v>
      </c>
      <c r="AJ21" s="30">
        <f t="shared" si="93"/>
        <v>0</v>
      </c>
      <c r="AK21" s="30">
        <f t="shared" si="11"/>
        <v>0</v>
      </c>
      <c r="AL21" s="30">
        <f t="shared" si="12"/>
        <v>0</v>
      </c>
      <c r="AM21" s="31">
        <f t="shared" si="13"/>
        <v>3000000</v>
      </c>
      <c r="AN21" s="31">
        <f t="shared" si="14"/>
        <v>3000000</v>
      </c>
      <c r="AO21" s="31">
        <f t="shared" si="4"/>
        <v>3000000</v>
      </c>
      <c r="AP21" s="30">
        <v>43521000</v>
      </c>
      <c r="AQ21" s="30">
        <f t="shared" si="5"/>
        <v>3000000</v>
      </c>
      <c r="AR21" s="30">
        <f t="shared" si="15"/>
        <v>3000000</v>
      </c>
      <c r="AS21" s="30">
        <f t="shared" si="16"/>
        <v>3000000</v>
      </c>
      <c r="AT21" s="30"/>
      <c r="AU21" s="30">
        <f t="shared" si="17"/>
        <v>43521000</v>
      </c>
      <c r="AV21" s="30">
        <v>43521000</v>
      </c>
      <c r="AW21" s="30">
        <f t="shared" si="18"/>
        <v>0</v>
      </c>
      <c r="AX21" s="30">
        <v>45442445</v>
      </c>
      <c r="AY21" s="31">
        <f t="shared" si="88"/>
        <v>1921445</v>
      </c>
      <c r="AZ21" s="31">
        <f t="shared" si="89"/>
        <v>1921445</v>
      </c>
      <c r="BA21" s="30">
        <v>45442445</v>
      </c>
      <c r="BB21" s="30">
        <f t="shared" si="19"/>
        <v>1921445</v>
      </c>
      <c r="BC21" s="30">
        <f t="shared" si="20"/>
        <v>1921445</v>
      </c>
      <c r="BD21" s="30">
        <f t="shared" si="21"/>
        <v>0</v>
      </c>
      <c r="BE21" s="30">
        <f>43521000+2000000</f>
        <v>45521000</v>
      </c>
      <c r="BF21" s="30">
        <f>43521000+2000000</f>
        <v>45521000</v>
      </c>
      <c r="BG21" s="30">
        <f>43521000+2000000</f>
        <v>45521000</v>
      </c>
      <c r="BH21" s="30">
        <f t="shared" si="22"/>
        <v>2000000</v>
      </c>
      <c r="BI21" s="30">
        <f t="shared" si="23"/>
        <v>2000000</v>
      </c>
      <c r="BJ21" s="30">
        <f t="shared" si="24"/>
        <v>78555</v>
      </c>
      <c r="BK21" s="8">
        <f t="shared" si="25"/>
        <v>0</v>
      </c>
      <c r="BL21" s="30">
        <v>1000000</v>
      </c>
      <c r="BM21" s="34">
        <f>BG21-BL21+1000000</f>
        <v>45521000</v>
      </c>
      <c r="BN21" s="45">
        <v>44521000</v>
      </c>
      <c r="BO21" s="32">
        <f t="shared" si="27"/>
        <v>-1000000</v>
      </c>
      <c r="BP21" s="45">
        <v>45521000</v>
      </c>
      <c r="BQ21" s="48">
        <f t="shared" si="28"/>
        <v>0</v>
      </c>
      <c r="BR21" s="48">
        <f t="shared" si="29"/>
        <v>1000000</v>
      </c>
      <c r="BS21" s="45">
        <v>46021000</v>
      </c>
      <c r="BT21" s="49">
        <f t="shared" si="30"/>
        <v>500000</v>
      </c>
      <c r="BU21" s="49">
        <f t="shared" si="31"/>
        <v>1500000</v>
      </c>
      <c r="BV21" s="49">
        <f t="shared" si="32"/>
        <v>500000</v>
      </c>
      <c r="BW21" s="45">
        <v>49521000</v>
      </c>
      <c r="BX21" s="48">
        <f t="shared" si="33"/>
        <v>4000000</v>
      </c>
      <c r="BY21" s="48">
        <f t="shared" si="34"/>
        <v>5000000</v>
      </c>
      <c r="BZ21" s="48">
        <f t="shared" si="35"/>
        <v>3500000</v>
      </c>
      <c r="CA21" s="45">
        <f>49521000+2000000</f>
        <v>51521000</v>
      </c>
      <c r="CB21" s="8">
        <f t="shared" si="36"/>
        <v>6000000</v>
      </c>
      <c r="CC21" s="8">
        <f t="shared" si="37"/>
        <v>7000000</v>
      </c>
      <c r="CD21" s="8">
        <f t="shared" si="6"/>
        <v>5500000</v>
      </c>
      <c r="CE21" s="8">
        <f t="shared" si="38"/>
        <v>2000000</v>
      </c>
      <c r="CF21" s="45">
        <v>51521000</v>
      </c>
      <c r="CG21" s="8">
        <f t="shared" si="39"/>
        <v>6000000</v>
      </c>
      <c r="CH21" s="8">
        <f t="shared" si="40"/>
        <v>7000000</v>
      </c>
      <c r="CI21" s="8">
        <f t="shared" si="41"/>
        <v>5500000</v>
      </c>
      <c r="CJ21" s="8">
        <f t="shared" si="42"/>
        <v>0</v>
      </c>
      <c r="CK21" s="45">
        <v>51521000</v>
      </c>
      <c r="CL21" s="8">
        <f t="shared" si="7"/>
        <v>6000000</v>
      </c>
      <c r="CM21" s="8">
        <f t="shared" si="43"/>
        <v>7000000</v>
      </c>
      <c r="CN21" s="8">
        <f t="shared" si="44"/>
        <v>0</v>
      </c>
      <c r="CO21" s="45">
        <v>51521000</v>
      </c>
      <c r="CP21" s="45">
        <f t="shared" si="45"/>
        <v>7000000</v>
      </c>
      <c r="CQ21" s="8">
        <f t="shared" si="46"/>
        <v>0</v>
      </c>
      <c r="CR21" s="45">
        <v>53521000</v>
      </c>
      <c r="CS21" s="32"/>
      <c r="CT21" s="45">
        <f t="shared" si="47"/>
        <v>53521000</v>
      </c>
      <c r="CU21" s="8">
        <f t="shared" si="48"/>
        <v>2000000</v>
      </c>
      <c r="CV21" s="45">
        <f t="shared" si="49"/>
        <v>2000000</v>
      </c>
      <c r="CW21" s="45">
        <f t="shared" si="50"/>
        <v>0</v>
      </c>
      <c r="CX21" s="45">
        <v>70251563</v>
      </c>
      <c r="CY21" s="8">
        <f t="shared" si="51"/>
        <v>18730563</v>
      </c>
      <c r="CZ21" s="45">
        <f t="shared" si="52"/>
        <v>18730563</v>
      </c>
      <c r="DA21" s="45">
        <f t="shared" si="53"/>
        <v>16730563</v>
      </c>
      <c r="DB21" s="45">
        <v>70251563</v>
      </c>
      <c r="DC21" s="8">
        <f t="shared" si="54"/>
        <v>18730563</v>
      </c>
      <c r="DD21" s="45">
        <f t="shared" si="55"/>
        <v>18730563</v>
      </c>
      <c r="DE21" s="45">
        <f t="shared" si="56"/>
        <v>16730563</v>
      </c>
      <c r="DF21" s="45">
        <f t="shared" si="57"/>
        <v>0</v>
      </c>
      <c r="DG21" s="45">
        <v>70251563</v>
      </c>
      <c r="DH21" s="47">
        <f t="shared" si="58"/>
        <v>18730563</v>
      </c>
      <c r="DI21" s="45">
        <f t="shared" si="59"/>
        <v>18730563</v>
      </c>
      <c r="DJ21" s="45">
        <f t="shared" si="60"/>
        <v>16730563</v>
      </c>
      <c r="DK21" s="45">
        <f t="shared" si="61"/>
        <v>0</v>
      </c>
      <c r="DL21" s="45"/>
      <c r="DM21" s="45">
        <f t="shared" si="62"/>
        <v>70251563</v>
      </c>
      <c r="DN21" s="45">
        <v>70251563</v>
      </c>
      <c r="DO21" s="45">
        <f t="shared" si="63"/>
        <v>18730563</v>
      </c>
      <c r="DP21" s="45"/>
      <c r="DQ21" s="45">
        <v>-18730563</v>
      </c>
      <c r="DR21" s="45">
        <f t="shared" si="64"/>
        <v>51521000</v>
      </c>
      <c r="DS21" s="45">
        <f t="shared" si="65"/>
        <v>0</v>
      </c>
      <c r="DT21" s="45"/>
      <c r="DU21" s="45">
        <f>DR21+DT21</f>
        <v>51521000</v>
      </c>
      <c r="DV21" s="45">
        <f t="shared" si="67"/>
        <v>0</v>
      </c>
      <c r="DW21" s="45">
        <f>51521000+5000000</f>
        <v>56521000</v>
      </c>
      <c r="DX21" s="45">
        <v>51521000</v>
      </c>
      <c r="DY21" s="9"/>
      <c r="DZ21" s="8">
        <f t="shared" si="68"/>
        <v>0</v>
      </c>
      <c r="EA21" s="47">
        <v>56521000</v>
      </c>
      <c r="EB21" s="8">
        <f t="shared" si="69"/>
        <v>5000000</v>
      </c>
      <c r="EC21" s="8">
        <f t="shared" si="70"/>
        <v>5000000</v>
      </c>
      <c r="ED21" s="73"/>
      <c r="EE21" s="44">
        <v>56521000</v>
      </c>
      <c r="EF21" s="30">
        <f t="shared" si="71"/>
        <v>5000000</v>
      </c>
      <c r="EG21" s="30">
        <f t="shared" si="72"/>
        <v>5000000</v>
      </c>
      <c r="EH21" s="30">
        <f t="shared" si="73"/>
        <v>0</v>
      </c>
      <c r="EI21" s="44">
        <v>56521000</v>
      </c>
      <c r="EJ21" s="30">
        <f t="shared" si="74"/>
        <v>5000000</v>
      </c>
      <c r="EK21" s="30">
        <f t="shared" si="75"/>
        <v>5000000</v>
      </c>
      <c r="EL21" s="30">
        <f t="shared" si="76"/>
        <v>0</v>
      </c>
      <c r="EM21" s="44">
        <f>56521000+3000000</f>
        <v>59521000</v>
      </c>
      <c r="EN21" s="30">
        <f t="shared" si="90"/>
        <v>8000000</v>
      </c>
      <c r="EO21" s="30">
        <f t="shared" si="91"/>
        <v>8000000</v>
      </c>
      <c r="EP21" s="30">
        <f t="shared" si="92"/>
        <v>3000000</v>
      </c>
      <c r="EQ21" s="30">
        <f t="shared" si="77"/>
        <v>3000000</v>
      </c>
      <c r="ER21" s="44">
        <v>59021000</v>
      </c>
      <c r="ES21" s="30">
        <f t="shared" si="78"/>
        <v>2500000</v>
      </c>
      <c r="ET21" s="30">
        <f t="shared" si="79"/>
        <v>7500000</v>
      </c>
      <c r="EU21" s="30">
        <f t="shared" si="80"/>
        <v>2500000</v>
      </c>
      <c r="EV21" s="30">
        <f t="shared" si="81"/>
        <v>-500000</v>
      </c>
      <c r="EW21" s="44">
        <v>59021000</v>
      </c>
      <c r="EX21" s="30">
        <f t="shared" si="82"/>
        <v>2500000</v>
      </c>
      <c r="EY21" s="30">
        <f t="shared" si="83"/>
        <v>0</v>
      </c>
      <c r="EZ21" s="31">
        <v>59021000</v>
      </c>
      <c r="FA21" s="30">
        <f t="shared" si="84"/>
        <v>2500000</v>
      </c>
      <c r="FB21" s="30">
        <f t="shared" si="85"/>
        <v>0</v>
      </c>
    </row>
    <row r="22" spans="1:158" ht="25.5" customHeight="1" x14ac:dyDescent="0.2">
      <c r="A22" s="22" t="s">
        <v>27</v>
      </c>
      <c r="B22" s="23"/>
      <c r="C22" s="60" t="s">
        <v>212</v>
      </c>
      <c r="D22" s="25">
        <v>1950000</v>
      </c>
      <c r="E22" s="26">
        <v>2075000</v>
      </c>
      <c r="F22" s="26">
        <v>1975400</v>
      </c>
      <c r="G22" s="26">
        <v>646855</v>
      </c>
      <c r="H22" s="26"/>
      <c r="I22" s="26">
        <f t="shared" si="0"/>
        <v>646855</v>
      </c>
      <c r="J22" s="27">
        <v>-146855</v>
      </c>
      <c r="K22" s="27"/>
      <c r="L22" s="27">
        <f t="shared" si="1"/>
        <v>-146855</v>
      </c>
      <c r="M22" s="28">
        <f t="shared" si="8"/>
        <v>500000</v>
      </c>
      <c r="N22" s="28">
        <v>500000</v>
      </c>
      <c r="O22" s="28">
        <v>400000</v>
      </c>
      <c r="P22" s="28">
        <v>400000</v>
      </c>
      <c r="Q22" s="28"/>
      <c r="R22" s="28">
        <v>500000</v>
      </c>
      <c r="S22" s="28">
        <v>0.2</v>
      </c>
      <c r="T22" s="28">
        <f t="shared" si="86"/>
        <v>-100000</v>
      </c>
      <c r="U22" s="28">
        <f t="shared" si="87"/>
        <v>400000</v>
      </c>
      <c r="V22" s="28">
        <f t="shared" si="2"/>
        <v>-100000</v>
      </c>
      <c r="W22" s="29">
        <v>400000</v>
      </c>
      <c r="X22" s="29"/>
      <c r="Y22" s="29">
        <f t="shared" si="9"/>
        <v>400000</v>
      </c>
      <c r="Z22" s="30">
        <v>400000</v>
      </c>
      <c r="AA22" s="30">
        <f t="shared" si="10"/>
        <v>0</v>
      </c>
      <c r="AB22" s="30">
        <v>400000</v>
      </c>
      <c r="AC22" s="30">
        <v>400000</v>
      </c>
      <c r="AD22" s="31">
        <v>400000</v>
      </c>
      <c r="AE22" s="30"/>
      <c r="AF22" s="30"/>
      <c r="AG22" s="30"/>
      <c r="AH22" s="31">
        <v>400000</v>
      </c>
      <c r="AI22" s="31">
        <v>400000</v>
      </c>
      <c r="AJ22" s="30">
        <f t="shared" si="93"/>
        <v>0</v>
      </c>
      <c r="AK22" s="30">
        <f t="shared" si="11"/>
        <v>0</v>
      </c>
      <c r="AL22" s="30">
        <f t="shared" si="12"/>
        <v>0</v>
      </c>
      <c r="AM22" s="31">
        <f t="shared" si="13"/>
        <v>0</v>
      </c>
      <c r="AN22" s="31">
        <f t="shared" si="14"/>
        <v>0</v>
      </c>
      <c r="AO22" s="31">
        <f t="shared" si="4"/>
        <v>0</v>
      </c>
      <c r="AP22" s="30">
        <v>400000</v>
      </c>
      <c r="AQ22" s="30">
        <f t="shared" si="5"/>
        <v>0</v>
      </c>
      <c r="AR22" s="30">
        <f t="shared" si="15"/>
        <v>0</v>
      </c>
      <c r="AS22" s="30">
        <f t="shared" si="16"/>
        <v>0</v>
      </c>
      <c r="AT22" s="30"/>
      <c r="AU22" s="30">
        <f t="shared" si="17"/>
        <v>400000</v>
      </c>
      <c r="AV22" s="30">
        <v>400000</v>
      </c>
      <c r="AW22" s="30">
        <f t="shared" si="18"/>
        <v>0</v>
      </c>
      <c r="AX22" s="30">
        <v>200000</v>
      </c>
      <c r="AY22" s="31">
        <f t="shared" si="88"/>
        <v>-200000</v>
      </c>
      <c r="AZ22" s="31">
        <f t="shared" si="89"/>
        <v>-200000</v>
      </c>
      <c r="BA22" s="30">
        <v>200000</v>
      </c>
      <c r="BB22" s="30">
        <f t="shared" si="19"/>
        <v>-200000</v>
      </c>
      <c r="BC22" s="30">
        <f t="shared" si="20"/>
        <v>-200000</v>
      </c>
      <c r="BD22" s="30">
        <f t="shared" si="21"/>
        <v>0</v>
      </c>
      <c r="BE22" s="30">
        <v>400000</v>
      </c>
      <c r="BF22" s="30">
        <v>250000</v>
      </c>
      <c r="BG22" s="30">
        <v>250000</v>
      </c>
      <c r="BH22" s="30">
        <f t="shared" si="22"/>
        <v>-150000</v>
      </c>
      <c r="BI22" s="30">
        <f t="shared" si="23"/>
        <v>-150000</v>
      </c>
      <c r="BJ22" s="30">
        <f t="shared" si="24"/>
        <v>50000</v>
      </c>
      <c r="BK22" s="8">
        <f t="shared" si="25"/>
        <v>-150000</v>
      </c>
      <c r="BL22" s="30"/>
      <c r="BM22" s="34">
        <f t="shared" si="26"/>
        <v>250000</v>
      </c>
      <c r="BN22" s="45">
        <v>250000</v>
      </c>
      <c r="BO22" s="32">
        <f t="shared" si="27"/>
        <v>0</v>
      </c>
      <c r="BP22" s="45">
        <v>200000</v>
      </c>
      <c r="BQ22" s="48">
        <f t="shared" si="28"/>
        <v>-50000</v>
      </c>
      <c r="BR22" s="48">
        <f t="shared" si="29"/>
        <v>-50000</v>
      </c>
      <c r="BS22" s="45">
        <f>BP22</f>
        <v>200000</v>
      </c>
      <c r="BT22" s="49">
        <f t="shared" si="30"/>
        <v>-50000</v>
      </c>
      <c r="BU22" s="49">
        <f t="shared" si="31"/>
        <v>-50000</v>
      </c>
      <c r="BV22" s="49">
        <f t="shared" si="32"/>
        <v>0</v>
      </c>
      <c r="BW22" s="45">
        <v>3000000</v>
      </c>
      <c r="BX22" s="48">
        <f t="shared" si="33"/>
        <v>2750000</v>
      </c>
      <c r="BY22" s="48">
        <f t="shared" si="34"/>
        <v>2750000</v>
      </c>
      <c r="BZ22" s="48">
        <f t="shared" si="35"/>
        <v>2800000</v>
      </c>
      <c r="CA22" s="45">
        <v>3000000</v>
      </c>
      <c r="CB22" s="8">
        <f t="shared" si="36"/>
        <v>2750000</v>
      </c>
      <c r="CC22" s="8">
        <f t="shared" si="37"/>
        <v>2750000</v>
      </c>
      <c r="CD22" s="8">
        <f t="shared" si="6"/>
        <v>2800000</v>
      </c>
      <c r="CE22" s="8">
        <f t="shared" si="38"/>
        <v>0</v>
      </c>
      <c r="CF22" s="45">
        <v>3000000</v>
      </c>
      <c r="CG22" s="8">
        <f t="shared" si="39"/>
        <v>2750000</v>
      </c>
      <c r="CH22" s="8">
        <f t="shared" si="40"/>
        <v>2750000</v>
      </c>
      <c r="CI22" s="8">
        <f t="shared" si="41"/>
        <v>2800000</v>
      </c>
      <c r="CJ22" s="8">
        <f t="shared" si="42"/>
        <v>0</v>
      </c>
      <c r="CK22" s="45">
        <v>3000000</v>
      </c>
      <c r="CL22" s="8">
        <f t="shared" si="7"/>
        <v>2750000</v>
      </c>
      <c r="CM22" s="8">
        <f t="shared" si="43"/>
        <v>2750000</v>
      </c>
      <c r="CN22" s="8">
        <f t="shared" si="44"/>
        <v>0</v>
      </c>
      <c r="CO22" s="45">
        <v>0</v>
      </c>
      <c r="CP22" s="45">
        <f t="shared" si="45"/>
        <v>-250000</v>
      </c>
      <c r="CQ22" s="8">
        <f t="shared" si="46"/>
        <v>-3000000</v>
      </c>
      <c r="CR22" s="45">
        <v>1500000</v>
      </c>
      <c r="CS22" s="32"/>
      <c r="CT22" s="45">
        <f t="shared" si="47"/>
        <v>1500000</v>
      </c>
      <c r="CU22" s="8">
        <f t="shared" si="48"/>
        <v>-1500000</v>
      </c>
      <c r="CV22" s="45">
        <f t="shared" si="49"/>
        <v>1500000</v>
      </c>
      <c r="CW22" s="45">
        <f t="shared" si="50"/>
        <v>0</v>
      </c>
      <c r="CX22" s="45">
        <v>3020613</v>
      </c>
      <c r="CY22" s="8">
        <f t="shared" si="51"/>
        <v>20613</v>
      </c>
      <c r="CZ22" s="45">
        <f t="shared" si="52"/>
        <v>3020613</v>
      </c>
      <c r="DA22" s="45">
        <f t="shared" si="53"/>
        <v>1520613</v>
      </c>
      <c r="DB22" s="45">
        <v>3020613</v>
      </c>
      <c r="DC22" s="8">
        <f t="shared" si="54"/>
        <v>20613</v>
      </c>
      <c r="DD22" s="45">
        <f t="shared" si="55"/>
        <v>3020613</v>
      </c>
      <c r="DE22" s="45">
        <f t="shared" si="56"/>
        <v>1520613</v>
      </c>
      <c r="DF22" s="45">
        <f t="shared" si="57"/>
        <v>0</v>
      </c>
      <c r="DG22" s="45">
        <v>2244847</v>
      </c>
      <c r="DH22" s="47">
        <f t="shared" si="58"/>
        <v>-755153</v>
      </c>
      <c r="DI22" s="45">
        <f t="shared" si="59"/>
        <v>2244847</v>
      </c>
      <c r="DJ22" s="45">
        <f t="shared" si="60"/>
        <v>744847</v>
      </c>
      <c r="DK22" s="45">
        <f t="shared" si="61"/>
        <v>-775766</v>
      </c>
      <c r="DL22" s="45"/>
      <c r="DM22" s="45">
        <f t="shared" si="62"/>
        <v>2244847</v>
      </c>
      <c r="DN22" s="45">
        <v>2244847</v>
      </c>
      <c r="DO22" s="45">
        <f t="shared" si="63"/>
        <v>-755153</v>
      </c>
      <c r="DP22" s="45"/>
      <c r="DQ22" s="45">
        <v>-2244847</v>
      </c>
      <c r="DR22" s="45">
        <f t="shared" si="64"/>
        <v>0</v>
      </c>
      <c r="DS22" s="45">
        <f t="shared" si="65"/>
        <v>-3000000</v>
      </c>
      <c r="DT22" s="45"/>
      <c r="DU22" s="45">
        <f t="shared" si="66"/>
        <v>0</v>
      </c>
      <c r="DV22" s="45">
        <f t="shared" si="67"/>
        <v>-3000000</v>
      </c>
      <c r="DW22" s="45">
        <v>0</v>
      </c>
      <c r="DX22" s="45">
        <v>0</v>
      </c>
      <c r="DY22" s="9"/>
      <c r="DZ22" s="8">
        <f t="shared" si="68"/>
        <v>0</v>
      </c>
      <c r="EA22" s="47">
        <v>0</v>
      </c>
      <c r="EB22" s="8">
        <f t="shared" si="69"/>
        <v>0</v>
      </c>
      <c r="EC22" s="8">
        <f t="shared" si="70"/>
        <v>0</v>
      </c>
      <c r="ED22" s="73"/>
      <c r="EE22" s="44"/>
      <c r="EF22" s="30">
        <f t="shared" si="71"/>
        <v>0</v>
      </c>
      <c r="EG22" s="30">
        <f t="shared" si="72"/>
        <v>0</v>
      </c>
      <c r="EH22" s="30">
        <f t="shared" si="73"/>
        <v>0</v>
      </c>
      <c r="EI22" s="44">
        <v>2244847</v>
      </c>
      <c r="EJ22" s="30">
        <f t="shared" si="74"/>
        <v>2244847</v>
      </c>
      <c r="EK22" s="30">
        <f t="shared" si="75"/>
        <v>2244847</v>
      </c>
      <c r="EL22" s="30">
        <f t="shared" si="76"/>
        <v>2244847</v>
      </c>
      <c r="EM22" s="44">
        <v>2244847</v>
      </c>
      <c r="EN22" s="30">
        <f t="shared" si="90"/>
        <v>2244847</v>
      </c>
      <c r="EO22" s="30">
        <f t="shared" si="91"/>
        <v>2244847</v>
      </c>
      <c r="EP22" s="30">
        <f t="shared" si="92"/>
        <v>2244847</v>
      </c>
      <c r="EQ22" s="30">
        <f t="shared" si="77"/>
        <v>0</v>
      </c>
      <c r="ER22" s="44">
        <v>1750000</v>
      </c>
      <c r="ES22" s="30">
        <f t="shared" si="78"/>
        <v>1750000</v>
      </c>
      <c r="ET22" s="30">
        <f t="shared" si="79"/>
        <v>1750000</v>
      </c>
      <c r="EU22" s="30">
        <f t="shared" si="80"/>
        <v>1750000</v>
      </c>
      <c r="EV22" s="30">
        <f t="shared" si="81"/>
        <v>-494847</v>
      </c>
      <c r="EW22" s="44">
        <v>1750000</v>
      </c>
      <c r="EX22" s="30">
        <f t="shared" si="82"/>
        <v>1750000</v>
      </c>
      <c r="EY22" s="30">
        <f t="shared" si="83"/>
        <v>0</v>
      </c>
      <c r="EZ22" s="31">
        <v>1750000</v>
      </c>
      <c r="FA22" s="30">
        <f t="shared" si="84"/>
        <v>1750000</v>
      </c>
      <c r="FB22" s="30">
        <f t="shared" si="85"/>
        <v>0</v>
      </c>
    </row>
    <row r="23" spans="1:158" ht="25.5" x14ac:dyDescent="0.2">
      <c r="A23" s="46" t="s">
        <v>207</v>
      </c>
      <c r="B23" s="23"/>
      <c r="C23" s="61" t="s">
        <v>155</v>
      </c>
      <c r="D23" s="25"/>
      <c r="E23" s="26"/>
      <c r="F23" s="26"/>
      <c r="G23" s="26"/>
      <c r="H23" s="26"/>
      <c r="I23" s="26"/>
      <c r="J23" s="27"/>
      <c r="K23" s="27"/>
      <c r="L23" s="2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9"/>
      <c r="X23" s="29"/>
      <c r="Y23" s="29">
        <f>W23+X23</f>
        <v>0</v>
      </c>
      <c r="Z23" s="30"/>
      <c r="AA23" s="30"/>
      <c r="AB23" s="30"/>
      <c r="AC23" s="30"/>
      <c r="AD23" s="31"/>
      <c r="AE23" s="30"/>
      <c r="AF23" s="30"/>
      <c r="AG23" s="30"/>
      <c r="AH23" s="31"/>
      <c r="AI23" s="31"/>
      <c r="AJ23" s="30"/>
      <c r="AK23" s="30"/>
      <c r="AL23" s="30"/>
      <c r="AM23" s="31"/>
      <c r="AN23" s="31"/>
      <c r="AO23" s="31"/>
      <c r="AP23" s="30"/>
      <c r="AQ23" s="30"/>
      <c r="AR23" s="30"/>
      <c r="AS23" s="30"/>
      <c r="AT23" s="30"/>
      <c r="AU23" s="30">
        <f>AP23+AT23</f>
        <v>0</v>
      </c>
      <c r="AV23" s="30"/>
      <c r="AW23" s="30"/>
      <c r="AX23" s="30">
        <v>11300000</v>
      </c>
      <c r="AY23" s="31">
        <f>AX23-AP23-AT23</f>
        <v>11300000</v>
      </c>
      <c r="AZ23" s="31">
        <f>AX23-AV23</f>
        <v>11300000</v>
      </c>
      <c r="BA23" s="30">
        <v>11300000</v>
      </c>
      <c r="BB23" s="30">
        <f>BA23-AP23-AT23</f>
        <v>11300000</v>
      </c>
      <c r="BC23" s="30">
        <f>BA23-AV23</f>
        <v>11300000</v>
      </c>
      <c r="BD23" s="30">
        <f>BA23-AX23</f>
        <v>0</v>
      </c>
      <c r="BE23" s="30"/>
      <c r="BF23" s="30">
        <v>11300000</v>
      </c>
      <c r="BG23" s="30">
        <v>11300000</v>
      </c>
      <c r="BH23" s="30">
        <f>+BF23-AU23</f>
        <v>11300000</v>
      </c>
      <c r="BI23" s="30">
        <f>+BF23-AV23</f>
        <v>11300000</v>
      </c>
      <c r="BJ23" s="30">
        <f>+BF23-BA23</f>
        <v>0</v>
      </c>
      <c r="BK23" s="8">
        <f>+BF23-BE23</f>
        <v>11300000</v>
      </c>
      <c r="BL23" s="30">
        <v>5250000</v>
      </c>
      <c r="BM23" s="34">
        <f>BG23-BL23+5250000</f>
        <v>11300000</v>
      </c>
      <c r="BN23" s="45">
        <v>6050000</v>
      </c>
      <c r="BO23" s="32">
        <f>BN23-BM23</f>
        <v>-5250000</v>
      </c>
      <c r="BP23" s="45">
        <v>6050000</v>
      </c>
      <c r="BQ23" s="48">
        <f>BP23-BM23</f>
        <v>-5250000</v>
      </c>
      <c r="BR23" s="48">
        <f>BP23-BN23</f>
        <v>0</v>
      </c>
      <c r="BS23" s="45">
        <f>BP23</f>
        <v>6050000</v>
      </c>
      <c r="BT23" s="49">
        <f>BS23-BM23</f>
        <v>-5250000</v>
      </c>
      <c r="BU23" s="49">
        <f>BS23-BN23</f>
        <v>0</v>
      </c>
      <c r="BV23" s="49">
        <f>BS23-BP23</f>
        <v>0</v>
      </c>
      <c r="BW23" s="45">
        <v>6050000</v>
      </c>
      <c r="BX23" s="48">
        <f>BW23-BM23</f>
        <v>-5250000</v>
      </c>
      <c r="BY23" s="48">
        <f>BW23-BN23</f>
        <v>0</v>
      </c>
      <c r="BZ23" s="48">
        <f>BW23-BS23</f>
        <v>0</v>
      </c>
      <c r="CA23" s="45">
        <f>6050000+1300000</f>
        <v>7350000</v>
      </c>
      <c r="CB23" s="8">
        <f>CA23-BM23</f>
        <v>-3950000</v>
      </c>
      <c r="CC23" s="8">
        <f>CA23-BN23</f>
        <v>1300000</v>
      </c>
      <c r="CD23" s="8">
        <f>CA23-BS23</f>
        <v>1300000</v>
      </c>
      <c r="CE23" s="8">
        <f>CA23-BW23</f>
        <v>1300000</v>
      </c>
      <c r="CF23" s="45">
        <v>7350000</v>
      </c>
      <c r="CG23" s="8">
        <f>CF23-BM23</f>
        <v>-3950000</v>
      </c>
      <c r="CH23" s="8">
        <f>CF23-BN23</f>
        <v>1300000</v>
      </c>
      <c r="CI23" s="8">
        <f>CF23-BS23</f>
        <v>1300000</v>
      </c>
      <c r="CJ23" s="8">
        <f>CF23-CA23</f>
        <v>0</v>
      </c>
      <c r="CK23" s="45">
        <v>7350000</v>
      </c>
      <c r="CL23" s="8">
        <f>CK23-BM23</f>
        <v>-3950000</v>
      </c>
      <c r="CM23" s="8">
        <f>CK23-BN23</f>
        <v>1300000</v>
      </c>
      <c r="CN23" s="8">
        <f>CK23-CF23</f>
        <v>0</v>
      </c>
      <c r="CO23" s="45">
        <f>CK23</f>
        <v>7350000</v>
      </c>
      <c r="CP23" s="45">
        <f t="shared" si="45"/>
        <v>1300000</v>
      </c>
      <c r="CQ23" s="8">
        <f t="shared" si="46"/>
        <v>0</v>
      </c>
      <c r="CR23" s="45">
        <v>7350000</v>
      </c>
      <c r="CS23" s="32"/>
      <c r="CT23" s="45">
        <f t="shared" si="47"/>
        <v>7350000</v>
      </c>
      <c r="CU23" s="8">
        <f t="shared" si="48"/>
        <v>0</v>
      </c>
      <c r="CV23" s="45">
        <f t="shared" si="49"/>
        <v>0</v>
      </c>
      <c r="CW23" s="45">
        <f t="shared" si="50"/>
        <v>0</v>
      </c>
      <c r="CX23" s="45">
        <v>7350000</v>
      </c>
      <c r="CY23" s="8">
        <f t="shared" si="51"/>
        <v>0</v>
      </c>
      <c r="CZ23" s="45">
        <f t="shared" si="52"/>
        <v>0</v>
      </c>
      <c r="DA23" s="45">
        <f t="shared" si="53"/>
        <v>0</v>
      </c>
      <c r="DB23" s="45">
        <v>7350000</v>
      </c>
      <c r="DC23" s="8">
        <f t="shared" si="54"/>
        <v>0</v>
      </c>
      <c r="DD23" s="45">
        <f t="shared" si="55"/>
        <v>0</v>
      </c>
      <c r="DE23" s="45">
        <f t="shared" si="56"/>
        <v>0</v>
      </c>
      <c r="DF23" s="45">
        <f t="shared" si="57"/>
        <v>0</v>
      </c>
      <c r="DG23" s="45">
        <v>7350000</v>
      </c>
      <c r="DH23" s="47">
        <f t="shared" si="58"/>
        <v>0</v>
      </c>
      <c r="DI23" s="45">
        <f t="shared" si="59"/>
        <v>0</v>
      </c>
      <c r="DJ23" s="45">
        <f t="shared" si="60"/>
        <v>0</v>
      </c>
      <c r="DK23" s="45">
        <f t="shared" si="61"/>
        <v>0</v>
      </c>
      <c r="DL23" s="45"/>
      <c r="DM23" s="45">
        <f t="shared" si="62"/>
        <v>7350000</v>
      </c>
      <c r="DN23" s="45">
        <v>7350000</v>
      </c>
      <c r="DO23" s="45">
        <f t="shared" si="63"/>
        <v>0</v>
      </c>
      <c r="DP23" s="45"/>
      <c r="DQ23" s="45">
        <v>0</v>
      </c>
      <c r="DR23" s="45">
        <f t="shared" si="64"/>
        <v>7350000</v>
      </c>
      <c r="DS23" s="45">
        <f t="shared" si="65"/>
        <v>0</v>
      </c>
      <c r="DT23" s="45"/>
      <c r="DU23" s="45">
        <f t="shared" si="66"/>
        <v>7350000</v>
      </c>
      <c r="DV23" s="45">
        <f t="shared" si="67"/>
        <v>0</v>
      </c>
      <c r="DW23" s="45">
        <v>7350000</v>
      </c>
      <c r="DX23" s="45">
        <v>8350000</v>
      </c>
      <c r="DY23" s="9"/>
      <c r="DZ23" s="8">
        <f t="shared" si="68"/>
        <v>1000000</v>
      </c>
      <c r="EA23" s="47">
        <v>8350000</v>
      </c>
      <c r="EB23" s="8">
        <f t="shared" si="69"/>
        <v>1000000</v>
      </c>
      <c r="EC23" s="8">
        <f t="shared" si="70"/>
        <v>0</v>
      </c>
      <c r="ED23" s="73"/>
      <c r="EE23" s="44">
        <v>8350000</v>
      </c>
      <c r="EF23" s="30">
        <f t="shared" si="71"/>
        <v>1000000</v>
      </c>
      <c r="EG23" s="30">
        <f t="shared" si="72"/>
        <v>0</v>
      </c>
      <c r="EH23" s="30">
        <f t="shared" si="73"/>
        <v>0</v>
      </c>
      <c r="EI23" s="44">
        <v>7350000</v>
      </c>
      <c r="EJ23" s="30">
        <f t="shared" si="74"/>
        <v>0</v>
      </c>
      <c r="EK23" s="30">
        <f t="shared" si="75"/>
        <v>-1000000</v>
      </c>
      <c r="EL23" s="30">
        <f t="shared" si="76"/>
        <v>-1000000</v>
      </c>
      <c r="EM23" s="44">
        <f>7350000+1000000</f>
        <v>8350000</v>
      </c>
      <c r="EN23" s="30">
        <f t="shared" si="90"/>
        <v>1000000</v>
      </c>
      <c r="EO23" s="30">
        <f t="shared" si="91"/>
        <v>0</v>
      </c>
      <c r="EP23" s="30">
        <f t="shared" si="92"/>
        <v>0</v>
      </c>
      <c r="EQ23" s="30">
        <f t="shared" si="77"/>
        <v>1000000</v>
      </c>
      <c r="ER23" s="44">
        <f>7350000+1000000</f>
        <v>8350000</v>
      </c>
      <c r="ES23" s="30">
        <f t="shared" si="78"/>
        <v>1000000</v>
      </c>
      <c r="ET23" s="30">
        <f t="shared" si="79"/>
        <v>0</v>
      </c>
      <c r="EU23" s="30">
        <f t="shared" si="80"/>
        <v>0</v>
      </c>
      <c r="EV23" s="30">
        <f t="shared" si="81"/>
        <v>0</v>
      </c>
      <c r="EW23" s="44">
        <f>7350000+1000000</f>
        <v>8350000</v>
      </c>
      <c r="EX23" s="30">
        <f t="shared" si="82"/>
        <v>1000000</v>
      </c>
      <c r="EY23" s="30">
        <f t="shared" si="83"/>
        <v>0</v>
      </c>
      <c r="EZ23" s="31">
        <f>7350000+1000000</f>
        <v>8350000</v>
      </c>
      <c r="FA23" s="30">
        <f t="shared" si="84"/>
        <v>1000000</v>
      </c>
      <c r="FB23" s="30">
        <f t="shared" si="85"/>
        <v>0</v>
      </c>
    </row>
    <row r="24" spans="1:158" ht="25.5" x14ac:dyDescent="0.2">
      <c r="A24" s="22" t="s">
        <v>148</v>
      </c>
      <c r="B24" s="23"/>
      <c r="C24" s="61" t="s">
        <v>183</v>
      </c>
      <c r="D24" s="25"/>
      <c r="E24" s="26"/>
      <c r="F24" s="26"/>
      <c r="G24" s="26"/>
      <c r="H24" s="26"/>
      <c r="I24" s="26"/>
      <c r="J24" s="27"/>
      <c r="K24" s="27"/>
      <c r="L24" s="27"/>
      <c r="M24" s="28">
        <v>0</v>
      </c>
      <c r="N24" s="28"/>
      <c r="O24" s="28"/>
      <c r="P24" s="28"/>
      <c r="Q24" s="28"/>
      <c r="R24" s="28"/>
      <c r="S24" s="28"/>
      <c r="T24" s="28"/>
      <c r="U24" s="28"/>
      <c r="V24" s="28"/>
      <c r="W24" s="29">
        <v>0</v>
      </c>
      <c r="X24" s="29"/>
      <c r="Y24" s="29">
        <f t="shared" si="9"/>
        <v>0</v>
      </c>
      <c r="Z24" s="30">
        <v>0</v>
      </c>
      <c r="AA24" s="30">
        <f t="shared" si="10"/>
        <v>0</v>
      </c>
      <c r="AB24" s="30"/>
      <c r="AC24" s="30"/>
      <c r="AD24" s="31"/>
      <c r="AE24" s="30"/>
      <c r="AF24" s="30"/>
      <c r="AG24" s="30"/>
      <c r="AH24" s="31"/>
      <c r="AI24" s="31"/>
      <c r="AJ24" s="30"/>
      <c r="AK24" s="30"/>
      <c r="AL24" s="30"/>
      <c r="AM24" s="31"/>
      <c r="AN24" s="31"/>
      <c r="AO24" s="31"/>
      <c r="AP24" s="30">
        <v>0</v>
      </c>
      <c r="AQ24" s="30"/>
      <c r="AR24" s="30"/>
      <c r="AS24" s="30">
        <f t="shared" si="16"/>
        <v>0</v>
      </c>
      <c r="AT24" s="30"/>
      <c r="AU24" s="30">
        <f t="shared" si="17"/>
        <v>0</v>
      </c>
      <c r="AV24" s="30">
        <v>2400000</v>
      </c>
      <c r="AW24" s="30">
        <f t="shared" si="18"/>
        <v>2400000</v>
      </c>
      <c r="AX24" s="30">
        <v>1000000</v>
      </c>
      <c r="AY24" s="31">
        <f t="shared" si="88"/>
        <v>1000000</v>
      </c>
      <c r="AZ24" s="31">
        <f t="shared" si="89"/>
        <v>-1400000</v>
      </c>
      <c r="BA24" s="30">
        <v>1750000</v>
      </c>
      <c r="BB24" s="30">
        <f t="shared" si="19"/>
        <v>1750000</v>
      </c>
      <c r="BC24" s="30">
        <f t="shared" si="20"/>
        <v>-650000</v>
      </c>
      <c r="BD24" s="30">
        <f t="shared" si="21"/>
        <v>750000</v>
      </c>
      <c r="BE24" s="30">
        <v>2000000</v>
      </c>
      <c r="BF24" s="30">
        <v>2000000</v>
      </c>
      <c r="BG24" s="30">
        <v>2000000</v>
      </c>
      <c r="BH24" s="30">
        <f t="shared" si="22"/>
        <v>2000000</v>
      </c>
      <c r="BI24" s="30">
        <f t="shared" si="23"/>
        <v>-400000</v>
      </c>
      <c r="BJ24" s="30">
        <f t="shared" si="24"/>
        <v>250000</v>
      </c>
      <c r="BK24" s="8">
        <f t="shared" si="25"/>
        <v>0</v>
      </c>
      <c r="BL24" s="30"/>
      <c r="BM24" s="34">
        <f t="shared" si="26"/>
        <v>2000000</v>
      </c>
      <c r="BN24" s="45">
        <v>2000000</v>
      </c>
      <c r="BO24" s="32">
        <f t="shared" si="27"/>
        <v>0</v>
      </c>
      <c r="BP24" s="45">
        <v>1000000</v>
      </c>
      <c r="BQ24" s="48">
        <f t="shared" si="28"/>
        <v>-1000000</v>
      </c>
      <c r="BR24" s="48">
        <f t="shared" si="29"/>
        <v>-1000000</v>
      </c>
      <c r="BS24" s="45">
        <v>2000000</v>
      </c>
      <c r="BT24" s="49">
        <f t="shared" si="30"/>
        <v>0</v>
      </c>
      <c r="BU24" s="49">
        <f t="shared" si="31"/>
        <v>0</v>
      </c>
      <c r="BV24" s="49">
        <f t="shared" si="32"/>
        <v>1000000</v>
      </c>
      <c r="BW24" s="45">
        <v>2600000</v>
      </c>
      <c r="BX24" s="48">
        <f t="shared" si="33"/>
        <v>600000</v>
      </c>
      <c r="BY24" s="48">
        <f t="shared" si="34"/>
        <v>600000</v>
      </c>
      <c r="BZ24" s="48">
        <f t="shared" si="35"/>
        <v>600000</v>
      </c>
      <c r="CA24" s="45">
        <v>2600000</v>
      </c>
      <c r="CB24" s="8">
        <f t="shared" si="36"/>
        <v>600000</v>
      </c>
      <c r="CC24" s="8">
        <f t="shared" si="37"/>
        <v>600000</v>
      </c>
      <c r="CD24" s="8">
        <f t="shared" si="6"/>
        <v>600000</v>
      </c>
      <c r="CE24" s="8">
        <f t="shared" si="38"/>
        <v>0</v>
      </c>
      <c r="CF24" s="45">
        <v>2600000</v>
      </c>
      <c r="CG24" s="8">
        <f t="shared" si="39"/>
        <v>600000</v>
      </c>
      <c r="CH24" s="8">
        <f t="shared" si="40"/>
        <v>600000</v>
      </c>
      <c r="CI24" s="8">
        <f t="shared" si="41"/>
        <v>600000</v>
      </c>
      <c r="CJ24" s="8">
        <f t="shared" si="42"/>
        <v>0</v>
      </c>
      <c r="CK24" s="45">
        <v>2600000</v>
      </c>
      <c r="CL24" s="8">
        <f t="shared" si="7"/>
        <v>600000</v>
      </c>
      <c r="CM24" s="8">
        <f t="shared" si="43"/>
        <v>600000</v>
      </c>
      <c r="CN24" s="8">
        <f t="shared" si="44"/>
        <v>0</v>
      </c>
      <c r="CO24" s="45">
        <v>2000000</v>
      </c>
      <c r="CP24" s="45">
        <f t="shared" si="45"/>
        <v>0</v>
      </c>
      <c r="CQ24" s="8">
        <f t="shared" si="46"/>
        <v>-600000</v>
      </c>
      <c r="CR24" s="45">
        <v>2000000</v>
      </c>
      <c r="CS24" s="32">
        <v>600000</v>
      </c>
      <c r="CT24" s="45">
        <f t="shared" si="47"/>
        <v>2600000</v>
      </c>
      <c r="CU24" s="8">
        <f t="shared" si="48"/>
        <v>0</v>
      </c>
      <c r="CV24" s="45">
        <f t="shared" si="49"/>
        <v>600000</v>
      </c>
      <c r="CW24" s="45">
        <f t="shared" si="50"/>
        <v>600000</v>
      </c>
      <c r="CX24" s="45">
        <v>2600000</v>
      </c>
      <c r="CY24" s="8">
        <f t="shared" si="51"/>
        <v>0</v>
      </c>
      <c r="CZ24" s="45">
        <f t="shared" si="52"/>
        <v>600000</v>
      </c>
      <c r="DA24" s="45">
        <f t="shared" si="53"/>
        <v>0</v>
      </c>
      <c r="DB24" s="45">
        <v>2600000</v>
      </c>
      <c r="DC24" s="8">
        <f t="shared" si="54"/>
        <v>0</v>
      </c>
      <c r="DD24" s="45">
        <f t="shared" si="55"/>
        <v>600000</v>
      </c>
      <c r="DE24" s="45">
        <f t="shared" si="56"/>
        <v>0</v>
      </c>
      <c r="DF24" s="45">
        <f t="shared" si="57"/>
        <v>0</v>
      </c>
      <c r="DG24" s="45">
        <v>2600000</v>
      </c>
      <c r="DH24" s="47">
        <f t="shared" si="58"/>
        <v>0</v>
      </c>
      <c r="DI24" s="45">
        <f t="shared" si="59"/>
        <v>600000</v>
      </c>
      <c r="DJ24" s="45">
        <f t="shared" si="60"/>
        <v>0</v>
      </c>
      <c r="DK24" s="45">
        <f t="shared" si="61"/>
        <v>0</v>
      </c>
      <c r="DL24" s="45"/>
      <c r="DM24" s="45">
        <f t="shared" si="62"/>
        <v>2600000</v>
      </c>
      <c r="DN24" s="45">
        <v>2600000</v>
      </c>
      <c r="DO24" s="45">
        <f t="shared" si="63"/>
        <v>0</v>
      </c>
      <c r="DP24" s="45"/>
      <c r="DQ24" s="45">
        <v>-46803</v>
      </c>
      <c r="DR24" s="45">
        <f t="shared" si="64"/>
        <v>2553197</v>
      </c>
      <c r="DS24" s="45">
        <f t="shared" si="65"/>
        <v>-46803</v>
      </c>
      <c r="DT24" s="45"/>
      <c r="DU24" s="45">
        <f t="shared" si="66"/>
        <v>2553197</v>
      </c>
      <c r="DV24" s="45">
        <f t="shared" si="67"/>
        <v>-46803</v>
      </c>
      <c r="DW24" s="45">
        <v>2553197</v>
      </c>
      <c r="DX24" s="45">
        <v>2553197</v>
      </c>
      <c r="DY24" s="9"/>
      <c r="DZ24" s="8">
        <f t="shared" si="68"/>
        <v>0</v>
      </c>
      <c r="EA24" s="47">
        <v>2553197</v>
      </c>
      <c r="EB24" s="8">
        <f t="shared" si="69"/>
        <v>0</v>
      </c>
      <c r="EC24" s="8">
        <f t="shared" si="70"/>
        <v>0</v>
      </c>
      <c r="ED24" s="71" t="s">
        <v>273</v>
      </c>
      <c r="EE24" s="44">
        <v>2700000</v>
      </c>
      <c r="EF24" s="30">
        <f t="shared" si="71"/>
        <v>146803</v>
      </c>
      <c r="EG24" s="30">
        <f t="shared" si="72"/>
        <v>146803</v>
      </c>
      <c r="EH24" s="30">
        <f t="shared" si="73"/>
        <v>146803</v>
      </c>
      <c r="EI24" s="44">
        <v>2553197</v>
      </c>
      <c r="EJ24" s="30">
        <f t="shared" si="74"/>
        <v>0</v>
      </c>
      <c r="EK24" s="30">
        <f t="shared" si="75"/>
        <v>0</v>
      </c>
      <c r="EL24" s="30">
        <f t="shared" si="76"/>
        <v>-146803</v>
      </c>
      <c r="EM24" s="44">
        <v>2553197</v>
      </c>
      <c r="EN24" s="30">
        <f t="shared" si="90"/>
        <v>0</v>
      </c>
      <c r="EO24" s="30">
        <f t="shared" si="91"/>
        <v>0</v>
      </c>
      <c r="EP24" s="30">
        <f t="shared" si="92"/>
        <v>-146803</v>
      </c>
      <c r="EQ24" s="30">
        <f t="shared" si="77"/>
        <v>0</v>
      </c>
      <c r="ER24" s="44">
        <v>2700000</v>
      </c>
      <c r="ES24" s="30">
        <f t="shared" si="78"/>
        <v>146803</v>
      </c>
      <c r="ET24" s="30">
        <f t="shared" si="79"/>
        <v>146803</v>
      </c>
      <c r="EU24" s="30">
        <f t="shared" si="80"/>
        <v>0</v>
      </c>
      <c r="EV24" s="30">
        <f t="shared" si="81"/>
        <v>146803</v>
      </c>
      <c r="EW24" s="44">
        <v>2700000</v>
      </c>
      <c r="EX24" s="30">
        <f t="shared" si="82"/>
        <v>146803</v>
      </c>
      <c r="EY24" s="30">
        <f t="shared" si="83"/>
        <v>0</v>
      </c>
      <c r="EZ24" s="31">
        <v>2700000</v>
      </c>
      <c r="FA24" s="30">
        <f t="shared" si="84"/>
        <v>146803</v>
      </c>
      <c r="FB24" s="30">
        <f t="shared" si="85"/>
        <v>0</v>
      </c>
    </row>
    <row r="25" spans="1:158" ht="12.75" hidden="1" customHeight="1" x14ac:dyDescent="0.2">
      <c r="A25" s="22" t="s">
        <v>10</v>
      </c>
      <c r="B25" s="23"/>
      <c r="C25" s="61" t="s">
        <v>26</v>
      </c>
      <c r="D25" s="25">
        <v>1247000</v>
      </c>
      <c r="E25" s="26">
        <v>1247000</v>
      </c>
      <c r="F25" s="26">
        <v>1239518</v>
      </c>
      <c r="G25" s="26">
        <v>1239518</v>
      </c>
      <c r="H25" s="26"/>
      <c r="I25" s="26">
        <f t="shared" si="0"/>
        <v>1239518</v>
      </c>
      <c r="J25" s="27"/>
      <c r="K25" s="27"/>
      <c r="L25" s="27">
        <f t="shared" si="1"/>
        <v>0</v>
      </c>
      <c r="M25" s="28">
        <f t="shared" si="8"/>
        <v>1239518</v>
      </c>
      <c r="N25" s="28">
        <f>M25+J25</f>
        <v>1239518</v>
      </c>
      <c r="O25" s="28">
        <v>1000000</v>
      </c>
      <c r="P25" s="28">
        <v>1000000</v>
      </c>
      <c r="Q25" s="28">
        <v>1239518</v>
      </c>
      <c r="R25" s="28">
        <v>1239518</v>
      </c>
      <c r="S25" s="28">
        <v>0.19323000000000001</v>
      </c>
      <c r="T25" s="28">
        <f t="shared" si="86"/>
        <v>-239512.06314000001</v>
      </c>
      <c r="U25" s="28">
        <f t="shared" si="87"/>
        <v>1000005.93686</v>
      </c>
      <c r="V25" s="28">
        <f t="shared" si="2"/>
        <v>-239512.06313999998</v>
      </c>
      <c r="W25" s="29">
        <v>1000000</v>
      </c>
      <c r="X25" s="29"/>
      <c r="Y25" s="29">
        <f t="shared" si="9"/>
        <v>1000000</v>
      </c>
      <c r="Z25" s="30">
        <v>1000000</v>
      </c>
      <c r="AA25" s="30">
        <f t="shared" si="10"/>
        <v>0</v>
      </c>
      <c r="AB25" s="30">
        <v>1000000</v>
      </c>
      <c r="AC25" s="30">
        <v>1000000</v>
      </c>
      <c r="AD25" s="31">
        <v>1000000</v>
      </c>
      <c r="AE25" s="30"/>
      <c r="AF25" s="30"/>
      <c r="AG25" s="30"/>
      <c r="AH25" s="31">
        <v>1000000</v>
      </c>
      <c r="AI25" s="31">
        <v>1000000</v>
      </c>
      <c r="AJ25" s="30">
        <f t="shared" si="93"/>
        <v>0</v>
      </c>
      <c r="AK25" s="30">
        <f t="shared" si="11"/>
        <v>0</v>
      </c>
      <c r="AL25" s="30">
        <f t="shared" si="12"/>
        <v>0</v>
      </c>
      <c r="AM25" s="31">
        <f t="shared" si="13"/>
        <v>0</v>
      </c>
      <c r="AN25" s="31">
        <f t="shared" si="14"/>
        <v>0</v>
      </c>
      <c r="AO25" s="31">
        <f t="shared" si="4"/>
        <v>0</v>
      </c>
      <c r="AP25" s="30">
        <v>1000000</v>
      </c>
      <c r="AQ25" s="30">
        <f t="shared" si="5"/>
        <v>0</v>
      </c>
      <c r="AR25" s="30">
        <f t="shared" si="15"/>
        <v>0</v>
      </c>
      <c r="AS25" s="30">
        <f t="shared" si="16"/>
        <v>0</v>
      </c>
      <c r="AT25" s="30"/>
      <c r="AU25" s="30">
        <f t="shared" si="17"/>
        <v>1000000</v>
      </c>
      <c r="AV25" s="30">
        <v>1000000</v>
      </c>
      <c r="AW25" s="30">
        <f t="shared" si="18"/>
        <v>0</v>
      </c>
      <c r="AX25" s="30">
        <v>0</v>
      </c>
      <c r="AY25" s="31">
        <f t="shared" si="88"/>
        <v>-1000000</v>
      </c>
      <c r="AZ25" s="31">
        <f t="shared" si="89"/>
        <v>-1000000</v>
      </c>
      <c r="BA25" s="30">
        <v>0</v>
      </c>
      <c r="BB25" s="30">
        <f t="shared" si="19"/>
        <v>-1000000</v>
      </c>
      <c r="BC25" s="30">
        <f t="shared" si="20"/>
        <v>-1000000</v>
      </c>
      <c r="BD25" s="30">
        <f t="shared" si="21"/>
        <v>0</v>
      </c>
      <c r="BE25" s="30">
        <v>1000000</v>
      </c>
      <c r="BF25" s="30">
        <v>0</v>
      </c>
      <c r="BG25" s="30">
        <v>0</v>
      </c>
      <c r="BH25" s="30">
        <f t="shared" si="22"/>
        <v>-1000000</v>
      </c>
      <c r="BI25" s="30">
        <f t="shared" si="23"/>
        <v>-1000000</v>
      </c>
      <c r="BJ25" s="30">
        <f t="shared" si="24"/>
        <v>0</v>
      </c>
      <c r="BK25" s="8">
        <f t="shared" si="25"/>
        <v>-1000000</v>
      </c>
      <c r="BL25" s="30"/>
      <c r="BM25" s="34">
        <f t="shared" si="26"/>
        <v>0</v>
      </c>
      <c r="BN25" s="45">
        <v>0</v>
      </c>
      <c r="BO25" s="32">
        <f t="shared" si="27"/>
        <v>0</v>
      </c>
      <c r="BP25" s="45">
        <v>0</v>
      </c>
      <c r="BQ25" s="48">
        <f t="shared" si="28"/>
        <v>0</v>
      </c>
      <c r="BR25" s="48">
        <f t="shared" si="29"/>
        <v>0</v>
      </c>
      <c r="BS25" s="45"/>
      <c r="BT25" s="49">
        <f t="shared" si="30"/>
        <v>0</v>
      </c>
      <c r="BU25" s="49">
        <f t="shared" si="31"/>
        <v>0</v>
      </c>
      <c r="BV25" s="49">
        <f t="shared" si="32"/>
        <v>0</v>
      </c>
      <c r="BW25" s="45">
        <v>0</v>
      </c>
      <c r="BX25" s="48">
        <f t="shared" si="33"/>
        <v>0</v>
      </c>
      <c r="BY25" s="48">
        <f t="shared" si="34"/>
        <v>0</v>
      </c>
      <c r="BZ25" s="48">
        <f t="shared" si="35"/>
        <v>0</v>
      </c>
      <c r="CA25" s="45">
        <v>0</v>
      </c>
      <c r="CB25" s="8">
        <f t="shared" si="36"/>
        <v>0</v>
      </c>
      <c r="CC25" s="8">
        <f t="shared" si="37"/>
        <v>0</v>
      </c>
      <c r="CD25" s="8">
        <f t="shared" si="6"/>
        <v>0</v>
      </c>
      <c r="CE25" s="8">
        <f t="shared" si="38"/>
        <v>0</v>
      </c>
      <c r="CF25" s="45"/>
      <c r="CG25" s="8">
        <f t="shared" si="39"/>
        <v>0</v>
      </c>
      <c r="CH25" s="8">
        <f t="shared" si="40"/>
        <v>0</v>
      </c>
      <c r="CI25" s="8">
        <f t="shared" si="41"/>
        <v>0</v>
      </c>
      <c r="CJ25" s="8">
        <f t="shared" si="42"/>
        <v>0</v>
      </c>
      <c r="CK25" s="45"/>
      <c r="CL25" s="8">
        <f t="shared" si="7"/>
        <v>0</v>
      </c>
      <c r="CM25" s="8">
        <f t="shared" si="43"/>
        <v>0</v>
      </c>
      <c r="CN25" s="8">
        <f t="shared" si="44"/>
        <v>0</v>
      </c>
      <c r="CO25" s="45"/>
      <c r="CP25" s="45">
        <f t="shared" si="45"/>
        <v>0</v>
      </c>
      <c r="CQ25" s="8">
        <f t="shared" si="46"/>
        <v>0</v>
      </c>
      <c r="CR25" s="45">
        <v>0</v>
      </c>
      <c r="CS25" s="32"/>
      <c r="CT25" s="45">
        <f t="shared" si="47"/>
        <v>0</v>
      </c>
      <c r="CU25" s="8">
        <f t="shared" si="48"/>
        <v>0</v>
      </c>
      <c r="CV25" s="45">
        <f t="shared" si="49"/>
        <v>0</v>
      </c>
      <c r="CW25" s="45">
        <f t="shared" si="50"/>
        <v>0</v>
      </c>
      <c r="CX25" s="45"/>
      <c r="CY25" s="8">
        <f t="shared" si="51"/>
        <v>0</v>
      </c>
      <c r="CZ25" s="45">
        <f t="shared" si="52"/>
        <v>0</v>
      </c>
      <c r="DA25" s="45">
        <f t="shared" si="53"/>
        <v>0</v>
      </c>
      <c r="DB25" s="45"/>
      <c r="DC25" s="8">
        <f t="shared" si="54"/>
        <v>0</v>
      </c>
      <c r="DD25" s="45">
        <f t="shared" si="55"/>
        <v>0</v>
      </c>
      <c r="DE25" s="45">
        <f t="shared" si="56"/>
        <v>0</v>
      </c>
      <c r="DF25" s="45">
        <f t="shared" si="57"/>
        <v>0</v>
      </c>
      <c r="DG25" s="45"/>
      <c r="DH25" s="47">
        <f t="shared" si="58"/>
        <v>0</v>
      </c>
      <c r="DI25" s="45">
        <f t="shared" si="59"/>
        <v>0</v>
      </c>
      <c r="DJ25" s="45">
        <f t="shared" si="60"/>
        <v>0</v>
      </c>
      <c r="DK25" s="45">
        <f t="shared" si="61"/>
        <v>0</v>
      </c>
      <c r="DL25" s="45"/>
      <c r="DM25" s="45">
        <f t="shared" si="62"/>
        <v>0</v>
      </c>
      <c r="DN25" s="45"/>
      <c r="DO25" s="45">
        <f t="shared" si="63"/>
        <v>0</v>
      </c>
      <c r="DP25" s="45"/>
      <c r="DQ25" s="45"/>
      <c r="DR25" s="45">
        <f t="shared" si="64"/>
        <v>0</v>
      </c>
      <c r="DS25" s="45">
        <f t="shared" si="65"/>
        <v>0</v>
      </c>
      <c r="DT25" s="45"/>
      <c r="DU25" s="45">
        <f t="shared" si="66"/>
        <v>0</v>
      </c>
      <c r="DV25" s="45">
        <f t="shared" si="67"/>
        <v>0</v>
      </c>
      <c r="DW25" s="45">
        <v>0</v>
      </c>
      <c r="DX25" s="45"/>
      <c r="DY25" s="9"/>
      <c r="DZ25" s="8">
        <f t="shared" si="68"/>
        <v>0</v>
      </c>
      <c r="EA25" s="47"/>
      <c r="EB25" s="8">
        <f t="shared" si="69"/>
        <v>0</v>
      </c>
      <c r="EC25" s="8">
        <f t="shared" si="70"/>
        <v>0</v>
      </c>
      <c r="ED25" s="73"/>
      <c r="EE25" s="44"/>
      <c r="EF25" s="30">
        <f t="shared" si="71"/>
        <v>0</v>
      </c>
      <c r="EG25" s="30">
        <f t="shared" si="72"/>
        <v>0</v>
      </c>
      <c r="EH25" s="30">
        <f t="shared" si="73"/>
        <v>0</v>
      </c>
      <c r="EI25" s="44">
        <v>0</v>
      </c>
      <c r="EJ25" s="30">
        <f t="shared" si="74"/>
        <v>0</v>
      </c>
      <c r="EK25" s="30">
        <f t="shared" si="75"/>
        <v>0</v>
      </c>
      <c r="EL25" s="30">
        <f t="shared" si="76"/>
        <v>0</v>
      </c>
      <c r="EM25" s="44">
        <v>0</v>
      </c>
      <c r="EN25" s="30">
        <f t="shared" si="90"/>
        <v>0</v>
      </c>
      <c r="EO25" s="30">
        <f t="shared" si="91"/>
        <v>0</v>
      </c>
      <c r="EP25" s="30">
        <f t="shared" si="92"/>
        <v>0</v>
      </c>
      <c r="EQ25" s="30">
        <f t="shared" si="77"/>
        <v>0</v>
      </c>
      <c r="ER25" s="44">
        <v>0</v>
      </c>
      <c r="ES25" s="30">
        <f t="shared" si="78"/>
        <v>0</v>
      </c>
      <c r="ET25" s="30">
        <f t="shared" si="79"/>
        <v>0</v>
      </c>
      <c r="EU25" s="30">
        <f t="shared" si="80"/>
        <v>0</v>
      </c>
      <c r="EV25" s="30">
        <f t="shared" si="81"/>
        <v>0</v>
      </c>
      <c r="EW25" s="44">
        <v>0</v>
      </c>
      <c r="EX25" s="30">
        <f t="shared" si="82"/>
        <v>0</v>
      </c>
      <c r="EY25" s="30">
        <f t="shared" si="83"/>
        <v>0</v>
      </c>
      <c r="EZ25" s="31">
        <v>0</v>
      </c>
      <c r="FA25" s="30">
        <f t="shared" si="84"/>
        <v>0</v>
      </c>
      <c r="FB25" s="30">
        <f t="shared" si="85"/>
        <v>0</v>
      </c>
    </row>
    <row r="26" spans="1:158" ht="12.75" x14ac:dyDescent="0.2">
      <c r="A26" s="24" t="s">
        <v>19</v>
      </c>
      <c r="B26" s="24"/>
      <c r="C26" s="61" t="s">
        <v>184</v>
      </c>
      <c r="D26" s="25">
        <v>5426986</v>
      </c>
      <c r="E26" s="26">
        <v>5426986</v>
      </c>
      <c r="F26" s="26">
        <v>5426986</v>
      </c>
      <c r="G26" s="26">
        <v>5426986</v>
      </c>
      <c r="H26" s="26"/>
      <c r="I26" s="26">
        <f t="shared" si="0"/>
        <v>5426986</v>
      </c>
      <c r="J26" s="27"/>
      <c r="K26" s="27"/>
      <c r="L26" s="27">
        <f t="shared" si="1"/>
        <v>0</v>
      </c>
      <c r="M26" s="28">
        <f t="shared" si="8"/>
        <v>5426986</v>
      </c>
      <c r="N26" s="28">
        <f>M26+J26</f>
        <v>5426986</v>
      </c>
      <c r="O26" s="28">
        <v>5426986</v>
      </c>
      <c r="P26" s="28">
        <v>5426986</v>
      </c>
      <c r="Q26" s="28">
        <v>5426986</v>
      </c>
      <c r="R26" s="28">
        <v>5426986</v>
      </c>
      <c r="S26" s="28">
        <v>0</v>
      </c>
      <c r="T26" s="28">
        <f t="shared" si="86"/>
        <v>0</v>
      </c>
      <c r="U26" s="28">
        <f t="shared" si="87"/>
        <v>5426986</v>
      </c>
      <c r="V26" s="28">
        <f t="shared" si="2"/>
        <v>0</v>
      </c>
      <c r="W26" s="29">
        <v>5426986</v>
      </c>
      <c r="X26" s="29"/>
      <c r="Y26" s="29">
        <f t="shared" si="9"/>
        <v>5426986</v>
      </c>
      <c r="Z26" s="30">
        <v>5426986</v>
      </c>
      <c r="AA26" s="30">
        <f t="shared" si="10"/>
        <v>0</v>
      </c>
      <c r="AB26" s="30">
        <v>5426986</v>
      </c>
      <c r="AC26" s="30">
        <v>5426986</v>
      </c>
      <c r="AD26" s="31">
        <v>5426986</v>
      </c>
      <c r="AE26" s="30"/>
      <c r="AF26" s="30"/>
      <c r="AG26" s="30"/>
      <c r="AH26" s="31">
        <v>5426986</v>
      </c>
      <c r="AI26" s="31">
        <v>5426986</v>
      </c>
      <c r="AJ26" s="30">
        <f t="shared" si="93"/>
        <v>0</v>
      </c>
      <c r="AK26" s="30">
        <f t="shared" si="11"/>
        <v>0</v>
      </c>
      <c r="AL26" s="30">
        <f t="shared" si="12"/>
        <v>0</v>
      </c>
      <c r="AM26" s="31">
        <f t="shared" si="13"/>
        <v>0</v>
      </c>
      <c r="AN26" s="31">
        <f t="shared" si="14"/>
        <v>0</v>
      </c>
      <c r="AO26" s="31">
        <f t="shared" si="4"/>
        <v>0</v>
      </c>
      <c r="AP26" s="30">
        <v>5426986</v>
      </c>
      <c r="AQ26" s="30">
        <f t="shared" si="5"/>
        <v>0</v>
      </c>
      <c r="AR26" s="30">
        <f t="shared" si="15"/>
        <v>0</v>
      </c>
      <c r="AS26" s="30">
        <f t="shared" si="16"/>
        <v>0</v>
      </c>
      <c r="AT26" s="30"/>
      <c r="AU26" s="30">
        <f t="shared" si="17"/>
        <v>5426986</v>
      </c>
      <c r="AV26" s="30">
        <v>5426986</v>
      </c>
      <c r="AW26" s="30">
        <f t="shared" si="18"/>
        <v>0</v>
      </c>
      <c r="AX26" s="30">
        <v>5426986</v>
      </c>
      <c r="AY26" s="31">
        <f t="shared" si="88"/>
        <v>0</v>
      </c>
      <c r="AZ26" s="31">
        <f t="shared" si="89"/>
        <v>0</v>
      </c>
      <c r="BA26" s="30">
        <v>5426986</v>
      </c>
      <c r="BB26" s="30">
        <f t="shared" si="19"/>
        <v>0</v>
      </c>
      <c r="BC26" s="30">
        <f t="shared" si="20"/>
        <v>0</v>
      </c>
      <c r="BD26" s="30">
        <f t="shared" si="21"/>
        <v>0</v>
      </c>
      <c r="BE26" s="30">
        <v>5426986</v>
      </c>
      <c r="BF26" s="30">
        <v>5426986</v>
      </c>
      <c r="BG26" s="30">
        <v>5426986</v>
      </c>
      <c r="BH26" s="30">
        <f t="shared" si="22"/>
        <v>0</v>
      </c>
      <c r="BI26" s="30">
        <f t="shared" si="23"/>
        <v>0</v>
      </c>
      <c r="BJ26" s="30">
        <f t="shared" si="24"/>
        <v>0</v>
      </c>
      <c r="BK26" s="8">
        <f t="shared" si="25"/>
        <v>0</v>
      </c>
      <c r="BL26" s="30"/>
      <c r="BM26" s="34">
        <f t="shared" si="26"/>
        <v>5426986</v>
      </c>
      <c r="BN26" s="45">
        <v>5426986</v>
      </c>
      <c r="BO26" s="32">
        <f t="shared" si="27"/>
        <v>0</v>
      </c>
      <c r="BP26" s="45">
        <v>5426986</v>
      </c>
      <c r="BQ26" s="48">
        <f t="shared" si="28"/>
        <v>0</v>
      </c>
      <c r="BR26" s="48">
        <f t="shared" si="29"/>
        <v>0</v>
      </c>
      <c r="BS26" s="45">
        <f>BP26</f>
        <v>5426986</v>
      </c>
      <c r="BT26" s="49">
        <f t="shared" si="30"/>
        <v>0</v>
      </c>
      <c r="BU26" s="49">
        <f t="shared" si="31"/>
        <v>0</v>
      </c>
      <c r="BV26" s="49">
        <f t="shared" si="32"/>
        <v>0</v>
      </c>
      <c r="BW26" s="45">
        <v>5426986</v>
      </c>
      <c r="BX26" s="48">
        <f t="shared" si="33"/>
        <v>0</v>
      </c>
      <c r="BY26" s="48">
        <f t="shared" si="34"/>
        <v>0</v>
      </c>
      <c r="BZ26" s="48">
        <f t="shared" si="35"/>
        <v>0</v>
      </c>
      <c r="CA26" s="45">
        <v>5426986</v>
      </c>
      <c r="CB26" s="8">
        <f t="shared" si="36"/>
        <v>0</v>
      </c>
      <c r="CC26" s="8">
        <f t="shared" si="37"/>
        <v>0</v>
      </c>
      <c r="CD26" s="8">
        <f t="shared" si="6"/>
        <v>0</v>
      </c>
      <c r="CE26" s="8">
        <f t="shared" si="38"/>
        <v>0</v>
      </c>
      <c r="CF26" s="45">
        <v>5426986</v>
      </c>
      <c r="CG26" s="8">
        <f t="shared" si="39"/>
        <v>0</v>
      </c>
      <c r="CH26" s="8">
        <f t="shared" si="40"/>
        <v>0</v>
      </c>
      <c r="CI26" s="8">
        <f t="shared" si="41"/>
        <v>0</v>
      </c>
      <c r="CJ26" s="8">
        <f t="shared" si="42"/>
        <v>0</v>
      </c>
      <c r="CK26" s="45">
        <v>5426986</v>
      </c>
      <c r="CL26" s="8">
        <f t="shared" si="7"/>
        <v>0</v>
      </c>
      <c r="CM26" s="8">
        <f t="shared" si="43"/>
        <v>0</v>
      </c>
      <c r="CN26" s="8">
        <f t="shared" si="44"/>
        <v>0</v>
      </c>
      <c r="CO26" s="45">
        <v>5426986</v>
      </c>
      <c r="CP26" s="45">
        <f t="shared" si="45"/>
        <v>0</v>
      </c>
      <c r="CQ26" s="8">
        <f t="shared" si="46"/>
        <v>0</v>
      </c>
      <c r="CR26" s="45">
        <v>5426986</v>
      </c>
      <c r="CS26" s="32"/>
      <c r="CT26" s="45">
        <f t="shared" si="47"/>
        <v>5426986</v>
      </c>
      <c r="CU26" s="8">
        <f t="shared" si="48"/>
        <v>0</v>
      </c>
      <c r="CV26" s="45">
        <f t="shared" si="49"/>
        <v>0</v>
      </c>
      <c r="CW26" s="45">
        <f t="shared" si="50"/>
        <v>0</v>
      </c>
      <c r="CX26" s="45">
        <v>5426986</v>
      </c>
      <c r="CY26" s="8">
        <f t="shared" si="51"/>
        <v>0</v>
      </c>
      <c r="CZ26" s="45">
        <f t="shared" si="52"/>
        <v>0</v>
      </c>
      <c r="DA26" s="45">
        <f t="shared" si="53"/>
        <v>0</v>
      </c>
      <c r="DB26" s="45">
        <v>5426986</v>
      </c>
      <c r="DC26" s="8">
        <f t="shared" si="54"/>
        <v>0</v>
      </c>
      <c r="DD26" s="45">
        <f t="shared" si="55"/>
        <v>0</v>
      </c>
      <c r="DE26" s="45">
        <f t="shared" si="56"/>
        <v>0</v>
      </c>
      <c r="DF26" s="45">
        <f t="shared" si="57"/>
        <v>0</v>
      </c>
      <c r="DG26" s="45">
        <v>5426986</v>
      </c>
      <c r="DH26" s="47">
        <f t="shared" si="58"/>
        <v>0</v>
      </c>
      <c r="DI26" s="45">
        <f t="shared" si="59"/>
        <v>0</v>
      </c>
      <c r="DJ26" s="45">
        <f t="shared" si="60"/>
        <v>0</v>
      </c>
      <c r="DK26" s="45">
        <f t="shared" si="61"/>
        <v>0</v>
      </c>
      <c r="DL26" s="45"/>
      <c r="DM26" s="45">
        <f t="shared" si="62"/>
        <v>5426986</v>
      </c>
      <c r="DN26" s="45">
        <v>5426986</v>
      </c>
      <c r="DO26" s="45">
        <f t="shared" si="63"/>
        <v>0</v>
      </c>
      <c r="DP26" s="45"/>
      <c r="DQ26" s="45">
        <v>0</v>
      </c>
      <c r="DR26" s="45">
        <f t="shared" si="64"/>
        <v>5426986</v>
      </c>
      <c r="DS26" s="45">
        <f t="shared" si="65"/>
        <v>0</v>
      </c>
      <c r="DT26" s="45"/>
      <c r="DU26" s="45">
        <f t="shared" si="66"/>
        <v>5426986</v>
      </c>
      <c r="DV26" s="45">
        <f t="shared" si="67"/>
        <v>0</v>
      </c>
      <c r="DW26" s="45">
        <v>5426986</v>
      </c>
      <c r="DX26" s="45">
        <v>5426986</v>
      </c>
      <c r="DY26" s="9"/>
      <c r="DZ26" s="8">
        <f t="shared" si="68"/>
        <v>0</v>
      </c>
      <c r="EA26" s="47">
        <v>5426986</v>
      </c>
      <c r="EB26" s="8">
        <f t="shared" si="69"/>
        <v>0</v>
      </c>
      <c r="EC26" s="8">
        <f t="shared" si="70"/>
        <v>0</v>
      </c>
      <c r="ED26" s="73"/>
      <c r="EE26" s="44">
        <v>5426986</v>
      </c>
      <c r="EF26" s="30">
        <f t="shared" si="71"/>
        <v>0</v>
      </c>
      <c r="EG26" s="30">
        <f t="shared" si="72"/>
        <v>0</v>
      </c>
      <c r="EH26" s="30">
        <f t="shared" si="73"/>
        <v>0</v>
      </c>
      <c r="EI26" s="44">
        <v>5426986</v>
      </c>
      <c r="EJ26" s="30">
        <f t="shared" si="74"/>
        <v>0</v>
      </c>
      <c r="EK26" s="30">
        <f t="shared" si="75"/>
        <v>0</v>
      </c>
      <c r="EL26" s="30">
        <f t="shared" si="76"/>
        <v>0</v>
      </c>
      <c r="EM26" s="44">
        <v>5426986</v>
      </c>
      <c r="EN26" s="30">
        <f t="shared" si="90"/>
        <v>0</v>
      </c>
      <c r="EO26" s="30">
        <f t="shared" si="91"/>
        <v>0</v>
      </c>
      <c r="EP26" s="30">
        <f t="shared" si="92"/>
        <v>0</v>
      </c>
      <c r="EQ26" s="30">
        <f t="shared" si="77"/>
        <v>0</v>
      </c>
      <c r="ER26" s="44">
        <v>5426986</v>
      </c>
      <c r="ES26" s="30">
        <f t="shared" si="78"/>
        <v>0</v>
      </c>
      <c r="ET26" s="30">
        <f t="shared" si="79"/>
        <v>0</v>
      </c>
      <c r="EU26" s="30">
        <f t="shared" si="80"/>
        <v>0</v>
      </c>
      <c r="EV26" s="30">
        <f t="shared" si="81"/>
        <v>0</v>
      </c>
      <c r="EW26" s="44">
        <v>5426986</v>
      </c>
      <c r="EX26" s="30">
        <f t="shared" si="82"/>
        <v>0</v>
      </c>
      <c r="EY26" s="30">
        <f t="shared" si="83"/>
        <v>0</v>
      </c>
      <c r="EZ26" s="31">
        <v>5426986</v>
      </c>
      <c r="FA26" s="30">
        <f t="shared" si="84"/>
        <v>0</v>
      </c>
      <c r="FB26" s="30">
        <f t="shared" si="85"/>
        <v>0</v>
      </c>
    </row>
    <row r="27" spans="1:158" ht="12.75" x14ac:dyDescent="0.2">
      <c r="A27" s="22" t="s">
        <v>20</v>
      </c>
      <c r="B27" s="23"/>
      <c r="C27" s="61" t="s">
        <v>31</v>
      </c>
      <c r="D27" s="25">
        <v>4277635</v>
      </c>
      <c r="E27" s="26">
        <v>4277635</v>
      </c>
      <c r="F27" s="26">
        <v>4177635</v>
      </c>
      <c r="G27" s="26">
        <v>4177632</v>
      </c>
      <c r="H27" s="26"/>
      <c r="I27" s="26">
        <f t="shared" si="0"/>
        <v>4177632</v>
      </c>
      <c r="J27" s="27"/>
      <c r="K27" s="27"/>
      <c r="L27" s="27">
        <f t="shared" si="1"/>
        <v>0</v>
      </c>
      <c r="M27" s="28">
        <f t="shared" si="8"/>
        <v>4177632</v>
      </c>
      <c r="N27" s="28">
        <v>4177632</v>
      </c>
      <c r="O27" s="28">
        <v>4121215</v>
      </c>
      <c r="P27" s="28">
        <v>4121215</v>
      </c>
      <c r="Q27" s="28">
        <v>4177632</v>
      </c>
      <c r="R27" s="28">
        <v>4121215</v>
      </c>
      <c r="S27" s="28">
        <v>0</v>
      </c>
      <c r="T27" s="28">
        <f t="shared" si="86"/>
        <v>0</v>
      </c>
      <c r="U27" s="28">
        <f t="shared" si="87"/>
        <v>4121215</v>
      </c>
      <c r="V27" s="28">
        <f t="shared" si="2"/>
        <v>-56417</v>
      </c>
      <c r="W27" s="29">
        <v>4121215</v>
      </c>
      <c r="X27" s="29"/>
      <c r="Y27" s="29">
        <f t="shared" si="9"/>
        <v>4121215</v>
      </c>
      <c r="Z27" s="30">
        <v>4411611</v>
      </c>
      <c r="AA27" s="30">
        <f t="shared" si="10"/>
        <v>290396</v>
      </c>
      <c r="AB27" s="30">
        <v>4121215</v>
      </c>
      <c r="AC27" s="30">
        <v>4121215</v>
      </c>
      <c r="AD27" s="31">
        <v>4121215</v>
      </c>
      <c r="AE27" s="30"/>
      <c r="AF27" s="30"/>
      <c r="AG27" s="30">
        <f>AC27-Z27</f>
        <v>-290396</v>
      </c>
      <c r="AH27" s="31">
        <v>4121215</v>
      </c>
      <c r="AI27" s="31">
        <v>4121215</v>
      </c>
      <c r="AJ27" s="30">
        <f t="shared" si="93"/>
        <v>0</v>
      </c>
      <c r="AK27" s="30">
        <f t="shared" si="11"/>
        <v>-290396</v>
      </c>
      <c r="AL27" s="30">
        <f t="shared" si="12"/>
        <v>0</v>
      </c>
      <c r="AM27" s="31">
        <f t="shared" si="13"/>
        <v>0</v>
      </c>
      <c r="AN27" s="31">
        <f t="shared" si="14"/>
        <v>-290396</v>
      </c>
      <c r="AO27" s="31">
        <f t="shared" si="4"/>
        <v>0</v>
      </c>
      <c r="AP27" s="30">
        <v>4121215</v>
      </c>
      <c r="AQ27" s="30">
        <f t="shared" si="5"/>
        <v>0</v>
      </c>
      <c r="AR27" s="30">
        <f t="shared" si="15"/>
        <v>-290396</v>
      </c>
      <c r="AS27" s="30">
        <f t="shared" si="16"/>
        <v>0</v>
      </c>
      <c r="AT27" s="30"/>
      <c r="AU27" s="30">
        <f t="shared" si="17"/>
        <v>4121215</v>
      </c>
      <c r="AV27" s="30">
        <v>4121215</v>
      </c>
      <c r="AW27" s="30">
        <f t="shared" si="18"/>
        <v>0</v>
      </c>
      <c r="AX27" s="30">
        <v>4121216</v>
      </c>
      <c r="AY27" s="31">
        <f t="shared" si="88"/>
        <v>1</v>
      </c>
      <c r="AZ27" s="31">
        <f t="shared" si="89"/>
        <v>1</v>
      </c>
      <c r="BA27" s="30">
        <v>4121216</v>
      </c>
      <c r="BB27" s="30">
        <f t="shared" si="19"/>
        <v>1</v>
      </c>
      <c r="BC27" s="30">
        <f t="shared" si="20"/>
        <v>1</v>
      </c>
      <c r="BD27" s="30">
        <f t="shared" si="21"/>
        <v>0</v>
      </c>
      <c r="BE27" s="30">
        <v>4121215</v>
      </c>
      <c r="BF27" s="30">
        <v>4121215</v>
      </c>
      <c r="BG27" s="30">
        <v>4121215</v>
      </c>
      <c r="BH27" s="30">
        <f t="shared" si="22"/>
        <v>0</v>
      </c>
      <c r="BI27" s="30">
        <f t="shared" si="23"/>
        <v>0</v>
      </c>
      <c r="BJ27" s="30">
        <f t="shared" si="24"/>
        <v>-1</v>
      </c>
      <c r="BK27" s="8">
        <f t="shared" si="25"/>
        <v>0</v>
      </c>
      <c r="BL27" s="30"/>
      <c r="BM27" s="34">
        <f t="shared" si="26"/>
        <v>4121215</v>
      </c>
      <c r="BN27" s="45">
        <v>4121215</v>
      </c>
      <c r="BO27" s="32">
        <f t="shared" si="27"/>
        <v>0</v>
      </c>
      <c r="BP27" s="45">
        <v>4396215</v>
      </c>
      <c r="BQ27" s="48">
        <f t="shared" si="28"/>
        <v>275000</v>
      </c>
      <c r="BR27" s="48">
        <f t="shared" si="29"/>
        <v>275000</v>
      </c>
      <c r="BS27" s="45">
        <f>BP27</f>
        <v>4396215</v>
      </c>
      <c r="BT27" s="49">
        <f t="shared" si="30"/>
        <v>275000</v>
      </c>
      <c r="BU27" s="49">
        <f t="shared" si="31"/>
        <v>275000</v>
      </c>
      <c r="BV27" s="49">
        <f t="shared" si="32"/>
        <v>0</v>
      </c>
      <c r="BW27" s="45">
        <v>4121215</v>
      </c>
      <c r="BX27" s="48">
        <f t="shared" si="33"/>
        <v>0</v>
      </c>
      <c r="BY27" s="48">
        <f t="shared" si="34"/>
        <v>0</v>
      </c>
      <c r="BZ27" s="48">
        <f t="shared" si="35"/>
        <v>-275000</v>
      </c>
      <c r="CA27" s="45">
        <v>4121215</v>
      </c>
      <c r="CB27" s="8">
        <f t="shared" si="36"/>
        <v>0</v>
      </c>
      <c r="CC27" s="8">
        <f t="shared" si="37"/>
        <v>0</v>
      </c>
      <c r="CD27" s="8">
        <f t="shared" si="6"/>
        <v>-275000</v>
      </c>
      <c r="CE27" s="8">
        <f t="shared" si="38"/>
        <v>0</v>
      </c>
      <c r="CF27" s="45">
        <v>4396215</v>
      </c>
      <c r="CG27" s="8">
        <f t="shared" si="39"/>
        <v>275000</v>
      </c>
      <c r="CH27" s="8">
        <f t="shared" si="40"/>
        <v>275000</v>
      </c>
      <c r="CI27" s="8">
        <f t="shared" si="41"/>
        <v>0</v>
      </c>
      <c r="CJ27" s="8">
        <f t="shared" si="42"/>
        <v>275000</v>
      </c>
      <c r="CK27" s="45">
        <f>4396215</f>
        <v>4396215</v>
      </c>
      <c r="CL27" s="8">
        <f t="shared" si="7"/>
        <v>275000</v>
      </c>
      <c r="CM27" s="8">
        <f t="shared" si="43"/>
        <v>275000</v>
      </c>
      <c r="CN27" s="8">
        <f t="shared" si="44"/>
        <v>0</v>
      </c>
      <c r="CO27" s="45">
        <v>4321324</v>
      </c>
      <c r="CP27" s="45">
        <f t="shared" si="45"/>
        <v>200109</v>
      </c>
      <c r="CQ27" s="8">
        <f t="shared" si="46"/>
        <v>-74891</v>
      </c>
      <c r="CR27" s="45">
        <v>4421323</v>
      </c>
      <c r="CS27" s="32"/>
      <c r="CT27" s="45">
        <f t="shared" si="47"/>
        <v>4421323</v>
      </c>
      <c r="CU27" s="8">
        <f t="shared" si="48"/>
        <v>25108</v>
      </c>
      <c r="CV27" s="45">
        <f t="shared" si="49"/>
        <v>99999</v>
      </c>
      <c r="CW27" s="45">
        <f t="shared" si="50"/>
        <v>0</v>
      </c>
      <c r="CX27" s="45">
        <v>4121215</v>
      </c>
      <c r="CY27" s="8">
        <f t="shared" si="51"/>
        <v>-275000</v>
      </c>
      <c r="CZ27" s="45">
        <f t="shared" si="52"/>
        <v>-200109</v>
      </c>
      <c r="DA27" s="45">
        <f t="shared" si="53"/>
        <v>-300108</v>
      </c>
      <c r="DB27" s="45">
        <v>4121215</v>
      </c>
      <c r="DC27" s="8">
        <f t="shared" si="54"/>
        <v>-275000</v>
      </c>
      <c r="DD27" s="45">
        <f t="shared" si="55"/>
        <v>-200109</v>
      </c>
      <c r="DE27" s="45">
        <f t="shared" si="56"/>
        <v>-300108</v>
      </c>
      <c r="DF27" s="45">
        <f t="shared" si="57"/>
        <v>0</v>
      </c>
      <c r="DG27" s="45">
        <v>4421323</v>
      </c>
      <c r="DH27" s="47">
        <f t="shared" si="58"/>
        <v>25108</v>
      </c>
      <c r="DI27" s="45">
        <f t="shared" si="59"/>
        <v>99999</v>
      </c>
      <c r="DJ27" s="45">
        <f t="shared" si="60"/>
        <v>0</v>
      </c>
      <c r="DK27" s="45">
        <f t="shared" si="61"/>
        <v>300108</v>
      </c>
      <c r="DL27" s="45"/>
      <c r="DM27" s="45">
        <f t="shared" si="62"/>
        <v>4421323</v>
      </c>
      <c r="DN27" s="45">
        <v>4421323</v>
      </c>
      <c r="DO27" s="45">
        <f t="shared" si="63"/>
        <v>25108</v>
      </c>
      <c r="DP27" s="45"/>
      <c r="DQ27" s="45">
        <v>0</v>
      </c>
      <c r="DR27" s="45">
        <f t="shared" si="64"/>
        <v>4421323</v>
      </c>
      <c r="DS27" s="45">
        <f t="shared" si="65"/>
        <v>25108</v>
      </c>
      <c r="DT27" s="45"/>
      <c r="DU27" s="45">
        <f t="shared" si="66"/>
        <v>4421323</v>
      </c>
      <c r="DV27" s="45">
        <f t="shared" si="67"/>
        <v>25108</v>
      </c>
      <c r="DW27" s="45">
        <v>4421323</v>
      </c>
      <c r="DX27" s="45">
        <v>4396323</v>
      </c>
      <c r="DY27" s="9"/>
      <c r="DZ27" s="8">
        <f t="shared" si="68"/>
        <v>-25000</v>
      </c>
      <c r="EA27" s="47">
        <v>4671323</v>
      </c>
      <c r="EB27" s="8">
        <f t="shared" si="69"/>
        <v>250000</v>
      </c>
      <c r="EC27" s="8">
        <f t="shared" si="70"/>
        <v>275000</v>
      </c>
      <c r="ED27" s="73"/>
      <c r="EE27" s="44">
        <v>4671323</v>
      </c>
      <c r="EF27" s="30">
        <f t="shared" si="71"/>
        <v>250000</v>
      </c>
      <c r="EG27" s="30">
        <f t="shared" si="72"/>
        <v>275000</v>
      </c>
      <c r="EH27" s="30">
        <f t="shared" si="73"/>
        <v>0</v>
      </c>
      <c r="EI27" s="44">
        <v>4396323</v>
      </c>
      <c r="EJ27" s="30">
        <f t="shared" si="74"/>
        <v>-25000</v>
      </c>
      <c r="EK27" s="30">
        <f t="shared" si="75"/>
        <v>0</v>
      </c>
      <c r="EL27" s="30">
        <f t="shared" si="76"/>
        <v>-275000</v>
      </c>
      <c r="EM27" s="44">
        <v>4396323</v>
      </c>
      <c r="EN27" s="30">
        <f t="shared" si="90"/>
        <v>-25000</v>
      </c>
      <c r="EO27" s="30">
        <f t="shared" si="91"/>
        <v>0</v>
      </c>
      <c r="EP27" s="30">
        <f t="shared" si="92"/>
        <v>-275000</v>
      </c>
      <c r="EQ27" s="30">
        <f t="shared" si="77"/>
        <v>0</v>
      </c>
      <c r="ER27" s="44">
        <v>4671323</v>
      </c>
      <c r="ES27" s="30">
        <f t="shared" si="78"/>
        <v>250000</v>
      </c>
      <c r="ET27" s="30">
        <f t="shared" si="79"/>
        <v>275000</v>
      </c>
      <c r="EU27" s="30">
        <f t="shared" si="80"/>
        <v>0</v>
      </c>
      <c r="EV27" s="30">
        <f t="shared" si="81"/>
        <v>275000</v>
      </c>
      <c r="EW27" s="44">
        <v>4671323</v>
      </c>
      <c r="EX27" s="30">
        <f t="shared" si="82"/>
        <v>250000</v>
      </c>
      <c r="EY27" s="30">
        <f t="shared" si="83"/>
        <v>0</v>
      </c>
      <c r="EZ27" s="31">
        <v>4671323</v>
      </c>
      <c r="FA27" s="30">
        <f t="shared" si="84"/>
        <v>250000</v>
      </c>
      <c r="FB27" s="30">
        <f t="shared" si="85"/>
        <v>0</v>
      </c>
    </row>
    <row r="28" spans="1:158" ht="12.75" x14ac:dyDescent="0.2">
      <c r="A28" s="22" t="s">
        <v>2</v>
      </c>
      <c r="B28" s="23"/>
      <c r="C28" s="61" t="s">
        <v>145</v>
      </c>
      <c r="D28" s="25">
        <v>3725671328</v>
      </c>
      <c r="E28" s="26">
        <v>3948824061</v>
      </c>
      <c r="F28" s="26">
        <v>3536824063</v>
      </c>
      <c r="G28" s="26">
        <v>3869847585</v>
      </c>
      <c r="H28" s="26"/>
      <c r="I28" s="26">
        <f t="shared" si="0"/>
        <v>3869847585</v>
      </c>
      <c r="J28" s="33"/>
      <c r="K28" s="27"/>
      <c r="L28" s="27">
        <f t="shared" si="1"/>
        <v>0</v>
      </c>
      <c r="M28" s="28">
        <f t="shared" si="8"/>
        <v>3869847585</v>
      </c>
      <c r="N28" s="28">
        <v>4048324258</v>
      </c>
      <c r="O28" s="28">
        <v>3851193043</v>
      </c>
      <c r="P28" s="28">
        <v>3851193043</v>
      </c>
      <c r="Q28" s="28">
        <v>3878464421</v>
      </c>
      <c r="R28" s="28">
        <v>3851193043</v>
      </c>
      <c r="S28" s="28">
        <v>0</v>
      </c>
      <c r="T28" s="28">
        <f t="shared" si="86"/>
        <v>0</v>
      </c>
      <c r="U28" s="28">
        <f t="shared" si="87"/>
        <v>3851193043</v>
      </c>
      <c r="V28" s="28">
        <f t="shared" si="2"/>
        <v>-18654542</v>
      </c>
      <c r="W28" s="29">
        <v>3851193043</v>
      </c>
      <c r="X28" s="29"/>
      <c r="Y28" s="29">
        <f t="shared" si="9"/>
        <v>3851193043</v>
      </c>
      <c r="Z28" s="30">
        <v>3990519337</v>
      </c>
      <c r="AA28" s="30">
        <f t="shared" si="10"/>
        <v>139326294</v>
      </c>
      <c r="AB28" s="30">
        <v>3990812680</v>
      </c>
      <c r="AC28" s="30">
        <v>3990812680</v>
      </c>
      <c r="AD28" s="31">
        <v>3990812680</v>
      </c>
      <c r="AE28" s="30"/>
      <c r="AF28" s="30">
        <f>AC28-SUM(W28:X28)</f>
        <v>139619637</v>
      </c>
      <c r="AG28" s="30">
        <f>AC28-Z28</f>
        <v>293343</v>
      </c>
      <c r="AH28" s="31">
        <v>3990812680</v>
      </c>
      <c r="AI28" s="31">
        <v>3990812680</v>
      </c>
      <c r="AJ28" s="30">
        <f t="shared" si="93"/>
        <v>139619637</v>
      </c>
      <c r="AK28" s="30">
        <f t="shared" si="11"/>
        <v>293343</v>
      </c>
      <c r="AL28" s="30">
        <f t="shared" si="12"/>
        <v>0</v>
      </c>
      <c r="AM28" s="31">
        <f t="shared" si="13"/>
        <v>139619637</v>
      </c>
      <c r="AN28" s="31">
        <f t="shared" si="14"/>
        <v>293343</v>
      </c>
      <c r="AO28" s="31">
        <f t="shared" si="4"/>
        <v>0</v>
      </c>
      <c r="AP28" s="30">
        <v>3990812680</v>
      </c>
      <c r="AQ28" s="30">
        <f t="shared" si="5"/>
        <v>139619637</v>
      </c>
      <c r="AR28" s="30">
        <f t="shared" si="15"/>
        <v>293343</v>
      </c>
      <c r="AS28" s="30">
        <f t="shared" si="16"/>
        <v>139619637</v>
      </c>
      <c r="AT28" s="30"/>
      <c r="AU28" s="30">
        <f t="shared" si="17"/>
        <v>3990812680</v>
      </c>
      <c r="AV28" s="30">
        <v>4136391547</v>
      </c>
      <c r="AW28" s="30">
        <f t="shared" si="18"/>
        <v>145578867</v>
      </c>
      <c r="AX28" s="30">
        <v>4154611977</v>
      </c>
      <c r="AY28" s="31">
        <f t="shared" si="88"/>
        <v>163799297</v>
      </c>
      <c r="AZ28" s="31">
        <f t="shared" si="89"/>
        <v>18220430</v>
      </c>
      <c r="BA28" s="30">
        <v>4154611977</v>
      </c>
      <c r="BB28" s="30">
        <f t="shared" si="19"/>
        <v>163799297</v>
      </c>
      <c r="BC28" s="30">
        <f t="shared" si="20"/>
        <v>18220430</v>
      </c>
      <c r="BD28" s="30">
        <f t="shared" si="21"/>
        <v>0</v>
      </c>
      <c r="BE28" s="30">
        <v>4171078492</v>
      </c>
      <c r="BF28" s="30">
        <v>4171079892</v>
      </c>
      <c r="BG28" s="30">
        <v>4171079892</v>
      </c>
      <c r="BH28" s="30">
        <f t="shared" si="22"/>
        <v>180267212</v>
      </c>
      <c r="BI28" s="30">
        <f t="shared" si="23"/>
        <v>34688345</v>
      </c>
      <c r="BJ28" s="30">
        <f t="shared" si="24"/>
        <v>16467915</v>
      </c>
      <c r="BK28" s="8">
        <f t="shared" si="25"/>
        <v>1400</v>
      </c>
      <c r="BL28" s="30"/>
      <c r="BM28" s="34">
        <f t="shared" si="26"/>
        <v>4171079892</v>
      </c>
      <c r="BN28" s="45">
        <v>4397257332</v>
      </c>
      <c r="BO28" s="32">
        <f t="shared" si="27"/>
        <v>226177440</v>
      </c>
      <c r="BP28" s="45">
        <v>4280637005</v>
      </c>
      <c r="BQ28" s="48">
        <f t="shared" si="28"/>
        <v>109557113</v>
      </c>
      <c r="BR28" s="48">
        <f t="shared" si="29"/>
        <v>-116620327</v>
      </c>
      <c r="BS28" s="45">
        <v>4285945528</v>
      </c>
      <c r="BT28" s="49">
        <f t="shared" si="30"/>
        <v>114865636</v>
      </c>
      <c r="BU28" s="49">
        <f t="shared" si="31"/>
        <v>-111311804</v>
      </c>
      <c r="BV28" s="49">
        <f t="shared" si="32"/>
        <v>5308523</v>
      </c>
      <c r="BW28" s="45">
        <v>4301214591</v>
      </c>
      <c r="BX28" s="48">
        <f t="shared" si="33"/>
        <v>130134699</v>
      </c>
      <c r="BY28" s="48">
        <f t="shared" si="34"/>
        <v>-96042741</v>
      </c>
      <c r="BZ28" s="48">
        <f t="shared" si="35"/>
        <v>15269063</v>
      </c>
      <c r="CA28" s="45">
        <v>4301214591</v>
      </c>
      <c r="CB28" s="8">
        <f t="shared" si="36"/>
        <v>130134699</v>
      </c>
      <c r="CC28" s="8">
        <f t="shared" si="37"/>
        <v>-96042741</v>
      </c>
      <c r="CD28" s="8">
        <f t="shared" si="6"/>
        <v>15269063</v>
      </c>
      <c r="CE28" s="8">
        <f t="shared" si="38"/>
        <v>0</v>
      </c>
      <c r="CF28" s="45">
        <v>4301214591</v>
      </c>
      <c r="CG28" s="8">
        <f t="shared" si="39"/>
        <v>130134699</v>
      </c>
      <c r="CH28" s="8">
        <f t="shared" si="40"/>
        <v>-96042741</v>
      </c>
      <c r="CI28" s="8">
        <f t="shared" si="41"/>
        <v>15269063</v>
      </c>
      <c r="CJ28" s="8">
        <f t="shared" si="42"/>
        <v>0</v>
      </c>
      <c r="CK28" s="45">
        <v>4301214591</v>
      </c>
      <c r="CL28" s="8">
        <f t="shared" si="7"/>
        <v>130134699</v>
      </c>
      <c r="CM28" s="8">
        <f t="shared" si="43"/>
        <v>-96042741</v>
      </c>
      <c r="CN28" s="8">
        <f t="shared" si="44"/>
        <v>0</v>
      </c>
      <c r="CO28" s="45">
        <v>4400696186</v>
      </c>
      <c r="CP28" s="45">
        <f t="shared" si="45"/>
        <v>3438854</v>
      </c>
      <c r="CQ28" s="8">
        <f t="shared" si="46"/>
        <v>99481595</v>
      </c>
      <c r="CR28" s="45">
        <v>4400696186</v>
      </c>
      <c r="CS28" s="32"/>
      <c r="CT28" s="45">
        <f t="shared" si="47"/>
        <v>4400696186</v>
      </c>
      <c r="CU28" s="8">
        <f t="shared" si="48"/>
        <v>99481595</v>
      </c>
      <c r="CV28" s="45">
        <f t="shared" si="49"/>
        <v>0</v>
      </c>
      <c r="CW28" s="45">
        <f t="shared" si="50"/>
        <v>0</v>
      </c>
      <c r="CX28" s="45">
        <v>4400696186</v>
      </c>
      <c r="CY28" s="8">
        <f t="shared" si="51"/>
        <v>99481595</v>
      </c>
      <c r="CZ28" s="45">
        <f t="shared" si="52"/>
        <v>0</v>
      </c>
      <c r="DA28" s="45">
        <f t="shared" si="53"/>
        <v>0</v>
      </c>
      <c r="DB28" s="45">
        <v>4400696186</v>
      </c>
      <c r="DC28" s="8">
        <f t="shared" si="54"/>
        <v>99481595</v>
      </c>
      <c r="DD28" s="45">
        <f t="shared" si="55"/>
        <v>0</v>
      </c>
      <c r="DE28" s="45">
        <f t="shared" si="56"/>
        <v>0</v>
      </c>
      <c r="DF28" s="45">
        <f t="shared" si="57"/>
        <v>0</v>
      </c>
      <c r="DG28" s="45">
        <v>4400696186</v>
      </c>
      <c r="DH28" s="47">
        <f t="shared" si="58"/>
        <v>99481595</v>
      </c>
      <c r="DI28" s="45">
        <f t="shared" si="59"/>
        <v>0</v>
      </c>
      <c r="DJ28" s="45">
        <f t="shared" si="60"/>
        <v>0</v>
      </c>
      <c r="DK28" s="45">
        <f t="shared" si="61"/>
        <v>0</v>
      </c>
      <c r="DL28" s="45"/>
      <c r="DM28" s="45">
        <f t="shared" si="62"/>
        <v>4400696186</v>
      </c>
      <c r="DN28" s="45">
        <v>4400696186</v>
      </c>
      <c r="DO28" s="45">
        <f t="shared" si="63"/>
        <v>99481595</v>
      </c>
      <c r="DP28" s="45"/>
      <c r="DQ28" s="45">
        <v>0</v>
      </c>
      <c r="DR28" s="45">
        <f t="shared" si="64"/>
        <v>4400696186</v>
      </c>
      <c r="DS28" s="45">
        <f t="shared" si="65"/>
        <v>99481595</v>
      </c>
      <c r="DT28" s="45"/>
      <c r="DU28" s="45">
        <f t="shared" si="66"/>
        <v>4400696186</v>
      </c>
      <c r="DV28" s="45">
        <f t="shared" si="67"/>
        <v>99481595</v>
      </c>
      <c r="DW28" s="45">
        <v>4400696186</v>
      </c>
      <c r="DX28" s="45">
        <v>4505983532</v>
      </c>
      <c r="DY28" s="9"/>
      <c r="DZ28" s="8">
        <f t="shared" si="68"/>
        <v>105287346</v>
      </c>
      <c r="EA28" s="47">
        <v>4508861025</v>
      </c>
      <c r="EB28" s="8">
        <f t="shared" si="69"/>
        <v>108164839</v>
      </c>
      <c r="EC28" s="8">
        <f t="shared" si="70"/>
        <v>2877493</v>
      </c>
      <c r="ED28" s="73"/>
      <c r="EE28" s="44">
        <v>4508861025</v>
      </c>
      <c r="EF28" s="30">
        <f t="shared" si="71"/>
        <v>108164839</v>
      </c>
      <c r="EG28" s="30">
        <f t="shared" si="72"/>
        <v>2877493</v>
      </c>
      <c r="EH28" s="30">
        <f t="shared" si="73"/>
        <v>0</v>
      </c>
      <c r="EI28" s="44">
        <v>4511882199</v>
      </c>
      <c r="EJ28" s="30">
        <f t="shared" si="74"/>
        <v>111186013</v>
      </c>
      <c r="EK28" s="30">
        <f t="shared" si="75"/>
        <v>5898667</v>
      </c>
      <c r="EL28" s="30">
        <f t="shared" si="76"/>
        <v>3021174</v>
      </c>
      <c r="EM28" s="44">
        <v>4511882199</v>
      </c>
      <c r="EN28" s="30">
        <f t="shared" si="90"/>
        <v>111186013</v>
      </c>
      <c r="EO28" s="30">
        <f t="shared" si="91"/>
        <v>5898667</v>
      </c>
      <c r="EP28" s="30">
        <f t="shared" si="92"/>
        <v>3021174</v>
      </c>
      <c r="EQ28" s="30">
        <f t="shared" si="77"/>
        <v>0</v>
      </c>
      <c r="ER28" s="44">
        <v>4511882199</v>
      </c>
      <c r="ES28" s="30">
        <f t="shared" si="78"/>
        <v>111186013</v>
      </c>
      <c r="ET28" s="30">
        <f t="shared" si="79"/>
        <v>5898667</v>
      </c>
      <c r="EU28" s="30">
        <f t="shared" si="80"/>
        <v>3021174</v>
      </c>
      <c r="EV28" s="30">
        <f t="shared" si="81"/>
        <v>0</v>
      </c>
      <c r="EW28" s="44">
        <v>4511882199</v>
      </c>
      <c r="EX28" s="30">
        <f t="shared" si="82"/>
        <v>111186013</v>
      </c>
      <c r="EY28" s="30">
        <f t="shared" si="83"/>
        <v>0</v>
      </c>
      <c r="EZ28" s="31">
        <v>4511882199</v>
      </c>
      <c r="FA28" s="30">
        <f t="shared" si="84"/>
        <v>111186013</v>
      </c>
      <c r="FB28" s="30">
        <f t="shared" si="85"/>
        <v>0</v>
      </c>
    </row>
    <row r="29" spans="1:158" ht="12.75" x14ac:dyDescent="0.2">
      <c r="A29" s="22" t="s">
        <v>5</v>
      </c>
      <c r="B29" s="23"/>
      <c r="C29" s="61" t="s">
        <v>180</v>
      </c>
      <c r="D29" s="25">
        <v>5500000</v>
      </c>
      <c r="E29" s="26">
        <v>5500000</v>
      </c>
      <c r="F29" s="26">
        <v>4312000</v>
      </c>
      <c r="G29" s="26">
        <v>2000000</v>
      </c>
      <c r="H29" s="27">
        <v>-2000000</v>
      </c>
      <c r="I29" s="26">
        <f t="shared" si="0"/>
        <v>0</v>
      </c>
      <c r="J29" s="33"/>
      <c r="K29" s="27"/>
      <c r="L29" s="27">
        <f t="shared" si="1"/>
        <v>0</v>
      </c>
      <c r="M29" s="28">
        <f t="shared" si="8"/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/>
      <c r="T29" s="28">
        <f t="shared" si="86"/>
        <v>0</v>
      </c>
      <c r="U29" s="28">
        <f t="shared" si="87"/>
        <v>0</v>
      </c>
      <c r="V29" s="28">
        <f t="shared" si="2"/>
        <v>0</v>
      </c>
      <c r="W29" s="29"/>
      <c r="X29" s="29"/>
      <c r="Y29" s="29">
        <f t="shared" si="9"/>
        <v>0</v>
      </c>
      <c r="Z29" s="30"/>
      <c r="AA29" s="30">
        <f t="shared" si="10"/>
        <v>0</v>
      </c>
      <c r="AB29" s="30"/>
      <c r="AC29" s="30"/>
      <c r="AD29" s="31"/>
      <c r="AE29" s="30"/>
      <c r="AF29" s="30">
        <f>AC29-W29+X29</f>
        <v>0</v>
      </c>
      <c r="AG29" s="30">
        <f>AC29-Z29</f>
        <v>0</v>
      </c>
      <c r="AH29" s="31"/>
      <c r="AI29" s="31"/>
      <c r="AJ29" s="30">
        <f t="shared" si="93"/>
        <v>0</v>
      </c>
      <c r="AK29" s="30">
        <f t="shared" si="11"/>
        <v>0</v>
      </c>
      <c r="AL29" s="30">
        <f t="shared" si="12"/>
        <v>0</v>
      </c>
      <c r="AM29" s="31">
        <f t="shared" si="13"/>
        <v>0</v>
      </c>
      <c r="AN29" s="31">
        <f t="shared" si="14"/>
        <v>0</v>
      </c>
      <c r="AO29" s="31">
        <f t="shared" si="4"/>
        <v>0</v>
      </c>
      <c r="AP29" s="30"/>
      <c r="AQ29" s="30">
        <f t="shared" si="5"/>
        <v>0</v>
      </c>
      <c r="AR29" s="30">
        <f t="shared" si="15"/>
        <v>0</v>
      </c>
      <c r="AS29" s="30">
        <f t="shared" si="16"/>
        <v>0</v>
      </c>
      <c r="AT29" s="30"/>
      <c r="AU29" s="30">
        <f t="shared" si="17"/>
        <v>0</v>
      </c>
      <c r="AV29" s="30"/>
      <c r="AW29" s="30">
        <f t="shared" si="18"/>
        <v>0</v>
      </c>
      <c r="AX29" s="30"/>
      <c r="AY29" s="31">
        <f t="shared" si="88"/>
        <v>0</v>
      </c>
      <c r="AZ29" s="31">
        <f t="shared" si="89"/>
        <v>0</v>
      </c>
      <c r="BA29" s="30"/>
      <c r="BB29" s="30">
        <f t="shared" si="19"/>
        <v>0</v>
      </c>
      <c r="BC29" s="30">
        <f t="shared" si="20"/>
        <v>0</v>
      </c>
      <c r="BD29" s="30">
        <f t="shared" si="21"/>
        <v>0</v>
      </c>
      <c r="BE29" s="34">
        <v>3500000</v>
      </c>
      <c r="BF29" s="34">
        <v>3500000</v>
      </c>
      <c r="BG29" s="34">
        <v>3500000</v>
      </c>
      <c r="BH29" s="30">
        <f>+BG29-AU29</f>
        <v>3500000</v>
      </c>
      <c r="BI29" s="30">
        <f>+BG29-AV29</f>
        <v>3500000</v>
      </c>
      <c r="BJ29" s="30">
        <f>+BG29-BA29</f>
        <v>3500000</v>
      </c>
      <c r="BK29" s="8">
        <f>+BG29-BE29</f>
        <v>0</v>
      </c>
      <c r="BL29" s="34">
        <v>2500000</v>
      </c>
      <c r="BM29" s="34">
        <f t="shared" si="26"/>
        <v>1000000</v>
      </c>
      <c r="BN29" s="45">
        <v>0</v>
      </c>
      <c r="BO29" s="32">
        <f t="shared" si="27"/>
        <v>-1000000</v>
      </c>
      <c r="BP29" s="45">
        <v>0</v>
      </c>
      <c r="BQ29" s="48">
        <f t="shared" si="28"/>
        <v>-1000000</v>
      </c>
      <c r="BR29" s="48">
        <f t="shared" si="29"/>
        <v>0</v>
      </c>
      <c r="BS29" s="45"/>
      <c r="BT29" s="49">
        <f t="shared" si="30"/>
        <v>-1000000</v>
      </c>
      <c r="BU29" s="49">
        <f t="shared" si="31"/>
        <v>0</v>
      </c>
      <c r="BV29" s="49">
        <f t="shared" si="32"/>
        <v>0</v>
      </c>
      <c r="BW29" s="45">
        <v>1000000</v>
      </c>
      <c r="BX29" s="48">
        <f t="shared" si="33"/>
        <v>0</v>
      </c>
      <c r="BY29" s="48">
        <f t="shared" si="34"/>
        <v>1000000</v>
      </c>
      <c r="BZ29" s="48">
        <f t="shared" si="35"/>
        <v>1000000</v>
      </c>
      <c r="CA29" s="45">
        <f>1000000+1000000</f>
        <v>2000000</v>
      </c>
      <c r="CB29" s="8">
        <f t="shared" si="36"/>
        <v>1000000</v>
      </c>
      <c r="CC29" s="8">
        <f t="shared" si="37"/>
        <v>2000000</v>
      </c>
      <c r="CD29" s="8">
        <f t="shared" si="6"/>
        <v>2000000</v>
      </c>
      <c r="CE29" s="8">
        <f t="shared" si="38"/>
        <v>1000000</v>
      </c>
      <c r="CF29" s="45">
        <v>2000000</v>
      </c>
      <c r="CG29" s="8">
        <f t="shared" si="39"/>
        <v>1000000</v>
      </c>
      <c r="CH29" s="8">
        <f t="shared" si="40"/>
        <v>2000000</v>
      </c>
      <c r="CI29" s="8">
        <f t="shared" si="41"/>
        <v>2000000</v>
      </c>
      <c r="CJ29" s="8">
        <f t="shared" si="42"/>
        <v>0</v>
      </c>
      <c r="CK29" s="45">
        <v>2000000</v>
      </c>
      <c r="CL29" s="8">
        <f t="shared" si="7"/>
        <v>1000000</v>
      </c>
      <c r="CM29" s="8">
        <f t="shared" si="43"/>
        <v>2000000</v>
      </c>
      <c r="CN29" s="8">
        <f t="shared" si="44"/>
        <v>0</v>
      </c>
      <c r="CO29" s="45">
        <v>0</v>
      </c>
      <c r="CP29" s="45">
        <f t="shared" si="45"/>
        <v>0</v>
      </c>
      <c r="CQ29" s="8">
        <f t="shared" si="46"/>
        <v>-2000000</v>
      </c>
      <c r="CR29" s="45">
        <v>1000000</v>
      </c>
      <c r="CS29" s="32">
        <v>786319</v>
      </c>
      <c r="CT29" s="45">
        <f t="shared" si="47"/>
        <v>1786319</v>
      </c>
      <c r="CU29" s="8">
        <f t="shared" si="48"/>
        <v>-213681</v>
      </c>
      <c r="CV29" s="45">
        <f t="shared" si="49"/>
        <v>1786319</v>
      </c>
      <c r="CW29" s="45">
        <f t="shared" si="50"/>
        <v>786319</v>
      </c>
      <c r="CX29" s="45">
        <v>2000000</v>
      </c>
      <c r="CY29" s="8">
        <f t="shared" si="51"/>
        <v>0</v>
      </c>
      <c r="CZ29" s="45">
        <f t="shared" si="52"/>
        <v>2000000</v>
      </c>
      <c r="DA29" s="45">
        <f t="shared" si="53"/>
        <v>213681</v>
      </c>
      <c r="DB29" s="45">
        <v>3350000</v>
      </c>
      <c r="DC29" s="8">
        <f t="shared" si="54"/>
        <v>1350000</v>
      </c>
      <c r="DD29" s="45">
        <f t="shared" si="55"/>
        <v>3350000</v>
      </c>
      <c r="DE29" s="45">
        <f t="shared" si="56"/>
        <v>1563681</v>
      </c>
      <c r="DF29" s="45">
        <f t="shared" si="57"/>
        <v>1350000</v>
      </c>
      <c r="DG29" s="45">
        <v>3383233</v>
      </c>
      <c r="DH29" s="47">
        <f t="shared" si="58"/>
        <v>1383233</v>
      </c>
      <c r="DI29" s="45">
        <f t="shared" si="59"/>
        <v>3383233</v>
      </c>
      <c r="DJ29" s="45">
        <f t="shared" si="60"/>
        <v>1596914</v>
      </c>
      <c r="DK29" s="45">
        <f t="shared" si="61"/>
        <v>33233</v>
      </c>
      <c r="DL29" s="45">
        <v>-1000000</v>
      </c>
      <c r="DM29" s="45">
        <f t="shared" si="62"/>
        <v>2383233</v>
      </c>
      <c r="DN29" s="45">
        <v>3383233</v>
      </c>
      <c r="DO29" s="45">
        <f t="shared" si="63"/>
        <v>1383233</v>
      </c>
      <c r="DP29" s="45"/>
      <c r="DQ29" s="45">
        <v>-2883233</v>
      </c>
      <c r="DR29" s="45">
        <f t="shared" si="64"/>
        <v>500000</v>
      </c>
      <c r="DS29" s="45">
        <f t="shared" si="65"/>
        <v>-1500000</v>
      </c>
      <c r="DT29" s="45"/>
      <c r="DU29" s="45">
        <f t="shared" si="66"/>
        <v>500000</v>
      </c>
      <c r="DV29" s="45">
        <f t="shared" si="67"/>
        <v>-1500000</v>
      </c>
      <c r="DW29" s="45">
        <v>500000</v>
      </c>
      <c r="DX29" s="45">
        <v>0</v>
      </c>
      <c r="DY29" s="9"/>
      <c r="DZ29" s="8">
        <f t="shared" si="68"/>
        <v>-500000</v>
      </c>
      <c r="EA29" s="47">
        <v>0</v>
      </c>
      <c r="EB29" s="8">
        <f t="shared" si="69"/>
        <v>-500000</v>
      </c>
      <c r="EC29" s="8">
        <f t="shared" si="70"/>
        <v>0</v>
      </c>
      <c r="ED29" s="73"/>
      <c r="EE29" s="44">
        <v>250000</v>
      </c>
      <c r="EF29" s="30">
        <f t="shared" si="71"/>
        <v>-250000</v>
      </c>
      <c r="EG29" s="30">
        <f t="shared" si="72"/>
        <v>250000</v>
      </c>
      <c r="EH29" s="30">
        <f t="shared" si="73"/>
        <v>250000</v>
      </c>
      <c r="EI29" s="44">
        <v>2000000</v>
      </c>
      <c r="EJ29" s="30">
        <f t="shared" si="74"/>
        <v>1500000</v>
      </c>
      <c r="EK29" s="30">
        <f t="shared" si="75"/>
        <v>2000000</v>
      </c>
      <c r="EL29" s="30">
        <f t="shared" si="76"/>
        <v>1750000</v>
      </c>
      <c r="EM29" s="44">
        <f>2000000+500000</f>
        <v>2500000</v>
      </c>
      <c r="EN29" s="30">
        <f t="shared" si="90"/>
        <v>2000000</v>
      </c>
      <c r="EO29" s="30">
        <f t="shared" si="91"/>
        <v>2500000</v>
      </c>
      <c r="EP29" s="30">
        <f t="shared" si="92"/>
        <v>2250000</v>
      </c>
      <c r="EQ29" s="30">
        <f t="shared" si="77"/>
        <v>500000</v>
      </c>
      <c r="ER29" s="44">
        <f>2000000+500000</f>
        <v>2500000</v>
      </c>
      <c r="ES29" s="30">
        <f t="shared" si="78"/>
        <v>2000000</v>
      </c>
      <c r="ET29" s="30">
        <f t="shared" si="79"/>
        <v>2500000</v>
      </c>
      <c r="EU29" s="30">
        <f t="shared" si="80"/>
        <v>2250000</v>
      </c>
      <c r="EV29" s="30">
        <f t="shared" si="81"/>
        <v>0</v>
      </c>
      <c r="EW29" s="44">
        <f>2000000+500000</f>
        <v>2500000</v>
      </c>
      <c r="EX29" s="30">
        <f t="shared" si="82"/>
        <v>2000000</v>
      </c>
      <c r="EY29" s="30">
        <f t="shared" si="83"/>
        <v>0</v>
      </c>
      <c r="EZ29" s="31">
        <f>2000000+500000</f>
        <v>2500000</v>
      </c>
      <c r="FA29" s="30">
        <f t="shared" si="84"/>
        <v>2000000</v>
      </c>
      <c r="FB29" s="30">
        <f t="shared" si="85"/>
        <v>0</v>
      </c>
    </row>
    <row r="30" spans="1:158" ht="12.75" x14ac:dyDescent="0.2">
      <c r="A30" s="22" t="s">
        <v>6</v>
      </c>
      <c r="B30" s="23"/>
      <c r="C30" s="61" t="s">
        <v>160</v>
      </c>
      <c r="D30" s="25">
        <v>220000000</v>
      </c>
      <c r="E30" s="26">
        <v>230043700</v>
      </c>
      <c r="F30" s="26">
        <v>215337070</v>
      </c>
      <c r="G30" s="26">
        <f>140113160+200000</f>
        <v>140313160</v>
      </c>
      <c r="H30" s="27">
        <v>-200000</v>
      </c>
      <c r="I30" s="26">
        <f t="shared" si="0"/>
        <v>140113160</v>
      </c>
      <c r="J30" s="27">
        <v>-6994000</v>
      </c>
      <c r="K30" s="27"/>
      <c r="L30" s="27">
        <f t="shared" si="1"/>
        <v>-6994000</v>
      </c>
      <c r="M30" s="28">
        <f t="shared" si="8"/>
        <v>133119160</v>
      </c>
      <c r="N30" s="28">
        <v>135019170</v>
      </c>
      <c r="O30" s="28">
        <v>135019170</v>
      </c>
      <c r="P30" s="28">
        <v>135019170</v>
      </c>
      <c r="Q30" s="28">
        <v>133119160</v>
      </c>
      <c r="R30" s="28">
        <v>145673366</v>
      </c>
      <c r="S30" s="28">
        <v>8.6180000000000007E-2</v>
      </c>
      <c r="T30" s="28">
        <f t="shared" si="86"/>
        <v>-12554130.681880001</v>
      </c>
      <c r="U30" s="28">
        <f t="shared" si="87"/>
        <v>133119235.31812</v>
      </c>
      <c r="V30" s="28">
        <f t="shared" si="2"/>
        <v>75.318120002746582</v>
      </c>
      <c r="W30" s="29">
        <v>133119160</v>
      </c>
      <c r="X30" s="29"/>
      <c r="Y30" s="29">
        <f t="shared" si="9"/>
        <v>133119160</v>
      </c>
      <c r="Z30" s="30">
        <v>213119160</v>
      </c>
      <c r="AA30" s="30">
        <f t="shared" si="10"/>
        <v>80000000</v>
      </c>
      <c r="AB30" s="30">
        <v>213119160</v>
      </c>
      <c r="AC30" s="30">
        <v>213119160</v>
      </c>
      <c r="AD30" s="31">
        <v>183119160</v>
      </c>
      <c r="AE30" s="30"/>
      <c r="AF30" s="30">
        <f>AC30-SUM(W30:X30)</f>
        <v>80000000</v>
      </c>
      <c r="AG30" s="30"/>
      <c r="AH30" s="32">
        <v>194119160</v>
      </c>
      <c r="AI30" s="32">
        <v>213119160</v>
      </c>
      <c r="AJ30" s="30">
        <f t="shared" si="93"/>
        <v>50000000</v>
      </c>
      <c r="AK30" s="30">
        <f t="shared" si="11"/>
        <v>-30000000</v>
      </c>
      <c r="AL30" s="30">
        <f t="shared" si="12"/>
        <v>-30000000</v>
      </c>
      <c r="AM30" s="31">
        <f t="shared" si="13"/>
        <v>61000000</v>
      </c>
      <c r="AN30" s="31">
        <f t="shared" si="14"/>
        <v>-19000000</v>
      </c>
      <c r="AO30" s="31">
        <f t="shared" si="4"/>
        <v>-19000000</v>
      </c>
      <c r="AP30" s="30">
        <v>213119160</v>
      </c>
      <c r="AQ30" s="30">
        <f t="shared" si="5"/>
        <v>80000000</v>
      </c>
      <c r="AR30" s="30">
        <f t="shared" si="15"/>
        <v>0</v>
      </c>
      <c r="AS30" s="30">
        <f t="shared" si="16"/>
        <v>80000000</v>
      </c>
      <c r="AT30" s="30"/>
      <c r="AU30" s="30">
        <f t="shared" si="17"/>
        <v>213119160</v>
      </c>
      <c r="AV30" s="30">
        <v>213150377</v>
      </c>
      <c r="AW30" s="30">
        <f t="shared" si="18"/>
        <v>31217</v>
      </c>
      <c r="AX30" s="30">
        <v>221575000</v>
      </c>
      <c r="AY30" s="31">
        <f t="shared" si="88"/>
        <v>8455840</v>
      </c>
      <c r="AZ30" s="31">
        <f t="shared" si="89"/>
        <v>8424623</v>
      </c>
      <c r="BA30" s="30">
        <v>221575000</v>
      </c>
      <c r="BB30" s="30">
        <f t="shared" si="19"/>
        <v>8455840</v>
      </c>
      <c r="BC30" s="30">
        <f t="shared" si="20"/>
        <v>8424623</v>
      </c>
      <c r="BD30" s="30">
        <f t="shared" si="21"/>
        <v>0</v>
      </c>
      <c r="BE30" s="30">
        <v>242182288</v>
      </c>
      <c r="BF30" s="30">
        <v>241932288</v>
      </c>
      <c r="BG30" s="30">
        <v>241932288</v>
      </c>
      <c r="BH30" s="30">
        <f t="shared" si="22"/>
        <v>28813128</v>
      </c>
      <c r="BI30" s="30">
        <f t="shared" si="23"/>
        <v>28781911</v>
      </c>
      <c r="BJ30" s="30">
        <f t="shared" si="24"/>
        <v>20357288</v>
      </c>
      <c r="BK30" s="8">
        <f t="shared" si="25"/>
        <v>-250000</v>
      </c>
      <c r="BL30" s="30">
        <f>75000+11425000</f>
        <v>11500000</v>
      </c>
      <c r="BM30" s="34">
        <f>BG30-BL30+11500000</f>
        <v>241932288</v>
      </c>
      <c r="BN30" s="45">
        <v>230489223</v>
      </c>
      <c r="BO30" s="32">
        <f t="shared" si="27"/>
        <v>-11443065</v>
      </c>
      <c r="BP30" s="45">
        <v>235489224</v>
      </c>
      <c r="BQ30" s="48">
        <f t="shared" si="28"/>
        <v>-6443064</v>
      </c>
      <c r="BR30" s="48">
        <f t="shared" si="29"/>
        <v>5000001</v>
      </c>
      <c r="BS30" s="45">
        <v>238489224</v>
      </c>
      <c r="BT30" s="49">
        <f t="shared" si="30"/>
        <v>-3443064</v>
      </c>
      <c r="BU30" s="49">
        <f t="shared" si="31"/>
        <v>8000001</v>
      </c>
      <c r="BV30" s="49">
        <f t="shared" si="32"/>
        <v>3000000</v>
      </c>
      <c r="BW30" s="45">
        <v>252819241</v>
      </c>
      <c r="BX30" s="48">
        <f t="shared" si="33"/>
        <v>10886953</v>
      </c>
      <c r="BY30" s="48">
        <f t="shared" si="34"/>
        <v>22330018</v>
      </c>
      <c r="BZ30" s="48">
        <f t="shared" si="35"/>
        <v>14330017</v>
      </c>
      <c r="CA30" s="45">
        <v>252819241</v>
      </c>
      <c r="CB30" s="8">
        <f t="shared" si="36"/>
        <v>10886953</v>
      </c>
      <c r="CC30" s="8">
        <f t="shared" si="37"/>
        <v>22330018</v>
      </c>
      <c r="CD30" s="8">
        <f t="shared" si="6"/>
        <v>14330017</v>
      </c>
      <c r="CE30" s="8">
        <f t="shared" si="38"/>
        <v>0</v>
      </c>
      <c r="CF30" s="45">
        <v>252489224</v>
      </c>
      <c r="CG30" s="8">
        <f t="shared" si="39"/>
        <v>10556936</v>
      </c>
      <c r="CH30" s="8">
        <f t="shared" si="40"/>
        <v>22000001</v>
      </c>
      <c r="CI30" s="8">
        <f t="shared" si="41"/>
        <v>14000000</v>
      </c>
      <c r="CJ30" s="8">
        <f t="shared" si="42"/>
        <v>-330017</v>
      </c>
      <c r="CK30" s="45">
        <v>252489224</v>
      </c>
      <c r="CL30" s="8">
        <f t="shared" si="7"/>
        <v>10556936</v>
      </c>
      <c r="CM30" s="8">
        <f t="shared" si="43"/>
        <v>22000001</v>
      </c>
      <c r="CN30" s="8">
        <f t="shared" si="44"/>
        <v>0</v>
      </c>
      <c r="CO30" s="45">
        <v>252513276</v>
      </c>
      <c r="CP30" s="45">
        <f t="shared" si="45"/>
        <v>22024053</v>
      </c>
      <c r="CQ30" s="8">
        <f t="shared" si="46"/>
        <v>24052</v>
      </c>
      <c r="CR30" s="45">
        <v>257513275</v>
      </c>
      <c r="CS30" s="32"/>
      <c r="CT30" s="45">
        <f t="shared" si="47"/>
        <v>257513275</v>
      </c>
      <c r="CU30" s="8">
        <f t="shared" si="48"/>
        <v>5024051</v>
      </c>
      <c r="CV30" s="45">
        <f t="shared" si="49"/>
        <v>4999999</v>
      </c>
      <c r="CW30" s="45">
        <f t="shared" si="50"/>
        <v>0</v>
      </c>
      <c r="CX30" s="45">
        <v>260395342</v>
      </c>
      <c r="CY30" s="8">
        <f t="shared" si="51"/>
        <v>7906118</v>
      </c>
      <c r="CZ30" s="45">
        <f t="shared" si="52"/>
        <v>7882066</v>
      </c>
      <c r="DA30" s="45">
        <f t="shared" si="53"/>
        <v>2882067</v>
      </c>
      <c r="DB30" s="45">
        <v>260395342</v>
      </c>
      <c r="DC30" s="8">
        <f t="shared" si="54"/>
        <v>7906118</v>
      </c>
      <c r="DD30" s="45">
        <f t="shared" si="55"/>
        <v>7882066</v>
      </c>
      <c r="DE30" s="45">
        <f t="shared" si="56"/>
        <v>2882067</v>
      </c>
      <c r="DF30" s="45">
        <f t="shared" si="57"/>
        <v>0</v>
      </c>
      <c r="DG30" s="45">
        <v>257513275</v>
      </c>
      <c r="DH30" s="47">
        <f t="shared" si="58"/>
        <v>5024051</v>
      </c>
      <c r="DI30" s="45">
        <f t="shared" si="59"/>
        <v>4999999</v>
      </c>
      <c r="DJ30" s="45">
        <f t="shared" si="60"/>
        <v>0</v>
      </c>
      <c r="DK30" s="45">
        <f t="shared" si="61"/>
        <v>-2882067</v>
      </c>
      <c r="DL30" s="45"/>
      <c r="DM30" s="45">
        <f t="shared" si="62"/>
        <v>257513275</v>
      </c>
      <c r="DN30" s="45">
        <v>257513275</v>
      </c>
      <c r="DO30" s="45">
        <f t="shared" si="63"/>
        <v>5024051</v>
      </c>
      <c r="DP30" s="45"/>
      <c r="DQ30" s="45">
        <v>-3862699</v>
      </c>
      <c r="DR30" s="45">
        <f t="shared" si="64"/>
        <v>253650576</v>
      </c>
      <c r="DS30" s="45">
        <f t="shared" si="65"/>
        <v>1161352</v>
      </c>
      <c r="DT30" s="45">
        <v>-250000</v>
      </c>
      <c r="DU30" s="45">
        <f t="shared" si="66"/>
        <v>253400576</v>
      </c>
      <c r="DV30" s="45">
        <f t="shared" si="67"/>
        <v>911352</v>
      </c>
      <c r="DW30" s="45">
        <v>253400576</v>
      </c>
      <c r="DX30" s="45">
        <v>253400576</v>
      </c>
      <c r="DY30" s="9"/>
      <c r="DZ30" s="8">
        <f t="shared" si="68"/>
        <v>0</v>
      </c>
      <c r="EA30" s="47">
        <v>261651610</v>
      </c>
      <c r="EB30" s="8">
        <f t="shared" si="69"/>
        <v>8251034</v>
      </c>
      <c r="EC30" s="8">
        <f t="shared" si="70"/>
        <v>8251034</v>
      </c>
      <c r="ED30" s="73"/>
      <c r="EE30" s="44">
        <v>261651610</v>
      </c>
      <c r="EF30" s="30">
        <f t="shared" si="71"/>
        <v>8251034</v>
      </c>
      <c r="EG30" s="30">
        <f t="shared" si="72"/>
        <v>8251034</v>
      </c>
      <c r="EH30" s="30">
        <f t="shared" si="73"/>
        <v>0</v>
      </c>
      <c r="EI30" s="44">
        <v>271572425</v>
      </c>
      <c r="EJ30" s="30">
        <f t="shared" si="74"/>
        <v>18171849</v>
      </c>
      <c r="EK30" s="30">
        <f t="shared" si="75"/>
        <v>18171849</v>
      </c>
      <c r="EL30" s="30">
        <f t="shared" si="76"/>
        <v>9920815</v>
      </c>
      <c r="EM30" s="44">
        <f>271572425+150000</f>
        <v>271722425</v>
      </c>
      <c r="EN30" s="30">
        <f t="shared" si="90"/>
        <v>18321849</v>
      </c>
      <c r="EO30" s="30">
        <f t="shared" si="91"/>
        <v>18321849</v>
      </c>
      <c r="EP30" s="30">
        <f t="shared" si="92"/>
        <v>10070815</v>
      </c>
      <c r="EQ30" s="30">
        <f t="shared" si="77"/>
        <v>150000</v>
      </c>
      <c r="ER30" s="44">
        <f>271572425+150000</f>
        <v>271722425</v>
      </c>
      <c r="ES30" s="30">
        <f t="shared" si="78"/>
        <v>18321849</v>
      </c>
      <c r="ET30" s="30">
        <f t="shared" si="79"/>
        <v>18321849</v>
      </c>
      <c r="EU30" s="30">
        <f t="shared" si="80"/>
        <v>10070815</v>
      </c>
      <c r="EV30" s="30">
        <f t="shared" si="81"/>
        <v>0</v>
      </c>
      <c r="EW30" s="44">
        <f>271572425+150000</f>
        <v>271722425</v>
      </c>
      <c r="EX30" s="30">
        <f t="shared" si="82"/>
        <v>18321849</v>
      </c>
      <c r="EY30" s="30">
        <f t="shared" si="83"/>
        <v>0</v>
      </c>
      <c r="EZ30" s="31">
        <f>271572425+150000</f>
        <v>271722425</v>
      </c>
      <c r="FA30" s="30">
        <f t="shared" si="84"/>
        <v>18321849</v>
      </c>
      <c r="FB30" s="30">
        <f t="shared" si="85"/>
        <v>0</v>
      </c>
    </row>
    <row r="31" spans="1:158" ht="25.5" x14ac:dyDescent="0.2">
      <c r="A31" s="22" t="s">
        <v>35</v>
      </c>
      <c r="B31" s="23"/>
      <c r="C31" s="61" t="s">
        <v>185</v>
      </c>
      <c r="D31" s="25">
        <v>2974554</v>
      </c>
      <c r="E31" s="26">
        <v>2974554</v>
      </c>
      <c r="F31" s="26">
        <v>1572442</v>
      </c>
      <c r="G31" s="26">
        <v>1373226</v>
      </c>
      <c r="H31" s="26"/>
      <c r="I31" s="26">
        <f t="shared" si="0"/>
        <v>1373226</v>
      </c>
      <c r="J31" s="27">
        <v>-184143</v>
      </c>
      <c r="K31" s="27"/>
      <c r="L31" s="27">
        <f t="shared" si="1"/>
        <v>-184143</v>
      </c>
      <c r="M31" s="28">
        <f t="shared" si="8"/>
        <v>1189083</v>
      </c>
      <c r="N31" s="28">
        <v>1189083</v>
      </c>
      <c r="O31" s="28">
        <v>1072134</v>
      </c>
      <c r="P31" s="28">
        <v>1072134</v>
      </c>
      <c r="Q31" s="28">
        <v>989083</v>
      </c>
      <c r="R31" s="28">
        <v>1072134</v>
      </c>
      <c r="S31" s="28">
        <v>0.1241</v>
      </c>
      <c r="T31" s="28">
        <f t="shared" si="86"/>
        <v>-133051.82939999999</v>
      </c>
      <c r="U31" s="28">
        <f t="shared" si="87"/>
        <v>939082.17060000007</v>
      </c>
      <c r="V31" s="28">
        <f t="shared" si="2"/>
        <v>-250000.82939999993</v>
      </c>
      <c r="W31" s="29">
        <v>939083</v>
      </c>
      <c r="X31" s="29"/>
      <c r="Y31" s="29">
        <f t="shared" si="9"/>
        <v>939083</v>
      </c>
      <c r="Z31" s="30">
        <v>942704</v>
      </c>
      <c r="AA31" s="30">
        <f t="shared" si="10"/>
        <v>3621</v>
      </c>
      <c r="AB31" s="30">
        <v>939083</v>
      </c>
      <c r="AC31" s="30">
        <v>939083</v>
      </c>
      <c r="AD31" s="31">
        <v>939083</v>
      </c>
      <c r="AE31" s="30"/>
      <c r="AF31" s="30"/>
      <c r="AG31" s="30">
        <f>AC31-Z31</f>
        <v>-3621</v>
      </c>
      <c r="AH31" s="31">
        <v>939083</v>
      </c>
      <c r="AI31" s="31">
        <v>939083</v>
      </c>
      <c r="AJ31" s="30">
        <f t="shared" si="93"/>
        <v>0</v>
      </c>
      <c r="AK31" s="30">
        <f t="shared" si="11"/>
        <v>-3621</v>
      </c>
      <c r="AL31" s="30">
        <f t="shared" si="12"/>
        <v>0</v>
      </c>
      <c r="AM31" s="31">
        <f t="shared" si="13"/>
        <v>0</v>
      </c>
      <c r="AN31" s="31">
        <f t="shared" si="14"/>
        <v>-3621</v>
      </c>
      <c r="AO31" s="31">
        <f t="shared" si="4"/>
        <v>0</v>
      </c>
      <c r="AP31" s="30">
        <v>939083</v>
      </c>
      <c r="AQ31" s="30">
        <f t="shared" si="5"/>
        <v>0</v>
      </c>
      <c r="AR31" s="30">
        <f t="shared" si="15"/>
        <v>-3621</v>
      </c>
      <c r="AS31" s="30">
        <f t="shared" si="16"/>
        <v>0</v>
      </c>
      <c r="AT31" s="30"/>
      <c r="AU31" s="30">
        <f t="shared" si="17"/>
        <v>939083</v>
      </c>
      <c r="AV31" s="30">
        <v>1710118</v>
      </c>
      <c r="AW31" s="30">
        <f t="shared" si="18"/>
        <v>771035</v>
      </c>
      <c r="AX31" s="30">
        <v>949289</v>
      </c>
      <c r="AY31" s="31">
        <f t="shared" si="88"/>
        <v>10206</v>
      </c>
      <c r="AZ31" s="31">
        <f t="shared" si="89"/>
        <v>-760829</v>
      </c>
      <c r="BA31" s="30">
        <v>949289</v>
      </c>
      <c r="BB31" s="30">
        <f t="shared" si="19"/>
        <v>10206</v>
      </c>
      <c r="BC31" s="30">
        <f t="shared" si="20"/>
        <v>-760829</v>
      </c>
      <c r="BD31" s="30">
        <f t="shared" si="21"/>
        <v>0</v>
      </c>
      <c r="BE31" s="30">
        <v>959028</v>
      </c>
      <c r="BF31" s="30">
        <v>955641</v>
      </c>
      <c r="BG31" s="30">
        <v>955641</v>
      </c>
      <c r="BH31" s="30">
        <f t="shared" si="22"/>
        <v>16558</v>
      </c>
      <c r="BI31" s="30">
        <f t="shared" si="23"/>
        <v>-754477</v>
      </c>
      <c r="BJ31" s="30">
        <f t="shared" si="24"/>
        <v>6352</v>
      </c>
      <c r="BK31" s="8">
        <f t="shared" si="25"/>
        <v>-3387</v>
      </c>
      <c r="BL31" s="30"/>
      <c r="BM31" s="34">
        <f t="shared" si="26"/>
        <v>955641</v>
      </c>
      <c r="BN31" s="45">
        <v>2979388</v>
      </c>
      <c r="BO31" s="32">
        <f t="shared" si="27"/>
        <v>2023747</v>
      </c>
      <c r="BP31" s="45">
        <v>974150</v>
      </c>
      <c r="BQ31" s="48">
        <f t="shared" si="28"/>
        <v>18509</v>
      </c>
      <c r="BR31" s="48">
        <f t="shared" si="29"/>
        <v>-2005238</v>
      </c>
      <c r="BS31" s="45">
        <f>BP31</f>
        <v>974150</v>
      </c>
      <c r="BT31" s="49">
        <f t="shared" si="30"/>
        <v>18509</v>
      </c>
      <c r="BU31" s="49">
        <f t="shared" si="31"/>
        <v>-2005238</v>
      </c>
      <c r="BV31" s="49">
        <f t="shared" si="32"/>
        <v>0</v>
      </c>
      <c r="BW31" s="45">
        <v>974150</v>
      </c>
      <c r="BX31" s="48">
        <f t="shared" si="33"/>
        <v>18509</v>
      </c>
      <c r="BY31" s="48">
        <f t="shared" si="34"/>
        <v>-2005238</v>
      </c>
      <c r="BZ31" s="48">
        <f t="shared" si="35"/>
        <v>0</v>
      </c>
      <c r="CA31" s="45">
        <v>974150</v>
      </c>
      <c r="CB31" s="8">
        <f t="shared" si="36"/>
        <v>18509</v>
      </c>
      <c r="CC31" s="8">
        <f t="shared" si="37"/>
        <v>-2005238</v>
      </c>
      <c r="CD31" s="8">
        <f t="shared" si="6"/>
        <v>0</v>
      </c>
      <c r="CE31" s="8">
        <f t="shared" si="38"/>
        <v>0</v>
      </c>
      <c r="CF31" s="45">
        <v>974150</v>
      </c>
      <c r="CG31" s="8">
        <f t="shared" si="39"/>
        <v>18509</v>
      </c>
      <c r="CH31" s="8">
        <f t="shared" si="40"/>
        <v>-2005238</v>
      </c>
      <c r="CI31" s="8">
        <f t="shared" si="41"/>
        <v>0</v>
      </c>
      <c r="CJ31" s="8">
        <f t="shared" si="42"/>
        <v>0</v>
      </c>
      <c r="CK31" s="45">
        <v>974150</v>
      </c>
      <c r="CL31" s="8">
        <f t="shared" si="7"/>
        <v>18509</v>
      </c>
      <c r="CM31" s="8">
        <f t="shared" si="43"/>
        <v>-2005238</v>
      </c>
      <c r="CN31" s="8">
        <f t="shared" si="44"/>
        <v>0</v>
      </c>
      <c r="CO31" s="45">
        <v>985749</v>
      </c>
      <c r="CP31" s="45">
        <f t="shared" si="45"/>
        <v>-1993639</v>
      </c>
      <c r="CQ31" s="8">
        <f t="shared" si="46"/>
        <v>11599</v>
      </c>
      <c r="CR31" s="45">
        <v>979650</v>
      </c>
      <c r="CS31" s="32"/>
      <c r="CT31" s="45">
        <f t="shared" si="47"/>
        <v>979650</v>
      </c>
      <c r="CU31" s="8">
        <f t="shared" si="48"/>
        <v>5500</v>
      </c>
      <c r="CV31" s="45">
        <f t="shared" si="49"/>
        <v>-6099</v>
      </c>
      <c r="CW31" s="45">
        <f t="shared" si="50"/>
        <v>0</v>
      </c>
      <c r="CX31" s="45">
        <v>979651</v>
      </c>
      <c r="CY31" s="8">
        <f t="shared" si="51"/>
        <v>5501</v>
      </c>
      <c r="CZ31" s="45">
        <f t="shared" si="52"/>
        <v>-6098</v>
      </c>
      <c r="DA31" s="45">
        <f t="shared" si="53"/>
        <v>1</v>
      </c>
      <c r="DB31" s="45">
        <v>979651</v>
      </c>
      <c r="DC31" s="8">
        <f t="shared" si="54"/>
        <v>5501</v>
      </c>
      <c r="DD31" s="45">
        <f t="shared" si="55"/>
        <v>-6098</v>
      </c>
      <c r="DE31" s="45">
        <f t="shared" si="56"/>
        <v>1</v>
      </c>
      <c r="DF31" s="45">
        <f t="shared" si="57"/>
        <v>0</v>
      </c>
      <c r="DG31" s="45">
        <v>979650</v>
      </c>
      <c r="DH31" s="47">
        <f t="shared" si="58"/>
        <v>5500</v>
      </c>
      <c r="DI31" s="45">
        <f t="shared" si="59"/>
        <v>-6099</v>
      </c>
      <c r="DJ31" s="45">
        <f t="shared" si="60"/>
        <v>0</v>
      </c>
      <c r="DK31" s="45">
        <f t="shared" si="61"/>
        <v>-1</v>
      </c>
      <c r="DL31" s="45"/>
      <c r="DM31" s="45">
        <f t="shared" si="62"/>
        <v>979650</v>
      </c>
      <c r="DN31" s="45">
        <v>979650</v>
      </c>
      <c r="DO31" s="45">
        <f t="shared" si="63"/>
        <v>5500</v>
      </c>
      <c r="DP31" s="45"/>
      <c r="DQ31" s="45">
        <v>0</v>
      </c>
      <c r="DR31" s="45">
        <f t="shared" si="64"/>
        <v>979650</v>
      </c>
      <c r="DS31" s="45">
        <f t="shared" si="65"/>
        <v>5500</v>
      </c>
      <c r="DT31" s="45"/>
      <c r="DU31" s="45">
        <f t="shared" si="66"/>
        <v>979650</v>
      </c>
      <c r="DV31" s="45">
        <f t="shared" si="67"/>
        <v>5500</v>
      </c>
      <c r="DW31" s="45">
        <v>979650</v>
      </c>
      <c r="DX31" s="45">
        <v>0</v>
      </c>
      <c r="DY31" s="9"/>
      <c r="DZ31" s="8">
        <f t="shared" si="68"/>
        <v>-979650</v>
      </c>
      <c r="EA31" s="47">
        <v>979650</v>
      </c>
      <c r="EB31" s="8">
        <f t="shared" si="69"/>
        <v>0</v>
      </c>
      <c r="EC31" s="8">
        <f t="shared" si="70"/>
        <v>979650</v>
      </c>
      <c r="ED31" s="71" t="s">
        <v>270</v>
      </c>
      <c r="EE31" s="44">
        <v>979650</v>
      </c>
      <c r="EF31" s="30">
        <f t="shared" si="71"/>
        <v>0</v>
      </c>
      <c r="EG31" s="30">
        <f t="shared" si="72"/>
        <v>979650</v>
      </c>
      <c r="EH31" s="30">
        <f t="shared" si="73"/>
        <v>0</v>
      </c>
      <c r="EI31" s="44">
        <v>978747</v>
      </c>
      <c r="EJ31" s="30">
        <f t="shared" si="74"/>
        <v>-903</v>
      </c>
      <c r="EK31" s="30">
        <f t="shared" si="75"/>
        <v>978747</v>
      </c>
      <c r="EL31" s="30">
        <f t="shared" si="76"/>
        <v>-903</v>
      </c>
      <c r="EM31" s="44">
        <v>978747</v>
      </c>
      <c r="EN31" s="30">
        <f t="shared" si="90"/>
        <v>-903</v>
      </c>
      <c r="EO31" s="30">
        <f t="shared" si="91"/>
        <v>978747</v>
      </c>
      <c r="EP31" s="30">
        <f t="shared" si="92"/>
        <v>-903</v>
      </c>
      <c r="EQ31" s="30">
        <f t="shared" si="77"/>
        <v>0</v>
      </c>
      <c r="ER31" s="44">
        <v>978747</v>
      </c>
      <c r="ES31" s="30">
        <f t="shared" si="78"/>
        <v>-903</v>
      </c>
      <c r="ET31" s="30">
        <f t="shared" si="79"/>
        <v>978747</v>
      </c>
      <c r="EU31" s="30">
        <f t="shared" si="80"/>
        <v>-903</v>
      </c>
      <c r="EV31" s="30">
        <f t="shared" si="81"/>
        <v>0</v>
      </c>
      <c r="EW31" s="44">
        <v>978747</v>
      </c>
      <c r="EX31" s="30">
        <f t="shared" si="82"/>
        <v>-903</v>
      </c>
      <c r="EY31" s="30">
        <f t="shared" si="83"/>
        <v>0</v>
      </c>
      <c r="EZ31" s="31">
        <v>978747</v>
      </c>
      <c r="FA31" s="30">
        <f t="shared" si="84"/>
        <v>-903</v>
      </c>
      <c r="FB31" s="30">
        <f t="shared" si="85"/>
        <v>0</v>
      </c>
    </row>
    <row r="32" spans="1:158" ht="12.75" x14ac:dyDescent="0.2">
      <c r="A32" s="22" t="s">
        <v>71</v>
      </c>
      <c r="B32" s="23"/>
      <c r="C32" s="60" t="s">
        <v>281</v>
      </c>
      <c r="D32" s="25"/>
      <c r="E32" s="26"/>
      <c r="F32" s="26"/>
      <c r="G32" s="26"/>
      <c r="H32" s="26"/>
      <c r="I32" s="26"/>
      <c r="J32" s="27"/>
      <c r="K32" s="27"/>
      <c r="L32" s="27"/>
      <c r="M32" s="28">
        <v>0</v>
      </c>
      <c r="N32" s="28">
        <v>0</v>
      </c>
      <c r="O32" s="28">
        <v>1700000</v>
      </c>
      <c r="P32" s="28">
        <v>1700000</v>
      </c>
      <c r="Q32" s="28">
        <v>1700000</v>
      </c>
      <c r="R32" s="28">
        <v>1700000</v>
      </c>
      <c r="S32" s="28">
        <v>0.23529</v>
      </c>
      <c r="T32" s="28">
        <f t="shared" si="86"/>
        <v>-399993</v>
      </c>
      <c r="U32" s="28">
        <f t="shared" si="87"/>
        <v>1300007</v>
      </c>
      <c r="V32" s="28">
        <f t="shared" si="2"/>
        <v>1300007</v>
      </c>
      <c r="W32" s="29">
        <v>1300000</v>
      </c>
      <c r="X32" s="29"/>
      <c r="Y32" s="29">
        <f t="shared" si="9"/>
        <v>1300000</v>
      </c>
      <c r="Z32" s="30">
        <v>0</v>
      </c>
      <c r="AA32" s="30">
        <f t="shared" si="10"/>
        <v>-1300000</v>
      </c>
      <c r="AB32" s="30">
        <v>1300000</v>
      </c>
      <c r="AC32" s="30">
        <v>1300000</v>
      </c>
      <c r="AD32" s="31">
        <v>1300000</v>
      </c>
      <c r="AE32" s="30"/>
      <c r="AF32" s="30"/>
      <c r="AG32" s="30">
        <f>AC32-Z32</f>
        <v>1300000</v>
      </c>
      <c r="AH32" s="31">
        <v>1300000</v>
      </c>
      <c r="AI32" s="31">
        <v>1300000</v>
      </c>
      <c r="AJ32" s="30">
        <f t="shared" si="93"/>
        <v>0</v>
      </c>
      <c r="AK32" s="30">
        <f t="shared" si="11"/>
        <v>1300000</v>
      </c>
      <c r="AL32" s="30">
        <f t="shared" si="12"/>
        <v>0</v>
      </c>
      <c r="AM32" s="31">
        <f t="shared" si="13"/>
        <v>0</v>
      </c>
      <c r="AN32" s="31">
        <f t="shared" si="14"/>
        <v>1300000</v>
      </c>
      <c r="AO32" s="31">
        <f t="shared" si="4"/>
        <v>0</v>
      </c>
      <c r="AP32" s="30">
        <v>1300000</v>
      </c>
      <c r="AQ32" s="30">
        <f t="shared" si="5"/>
        <v>0</v>
      </c>
      <c r="AR32" s="30">
        <f t="shared" si="15"/>
        <v>1300000</v>
      </c>
      <c r="AS32" s="30">
        <f t="shared" si="16"/>
        <v>0</v>
      </c>
      <c r="AT32" s="30"/>
      <c r="AU32" s="30">
        <f t="shared" si="17"/>
        <v>1300000</v>
      </c>
      <c r="AV32" s="30">
        <v>0</v>
      </c>
      <c r="AW32" s="30">
        <f t="shared" si="18"/>
        <v>-1300000</v>
      </c>
      <c r="AX32" s="30">
        <v>0</v>
      </c>
      <c r="AY32" s="31">
        <f t="shared" si="88"/>
        <v>-1300000</v>
      </c>
      <c r="AZ32" s="31">
        <f t="shared" si="89"/>
        <v>0</v>
      </c>
      <c r="BA32" s="30">
        <v>1300000</v>
      </c>
      <c r="BB32" s="30">
        <f t="shared" si="19"/>
        <v>0</v>
      </c>
      <c r="BC32" s="30">
        <f t="shared" si="20"/>
        <v>1300000</v>
      </c>
      <c r="BD32" s="30">
        <f t="shared" si="21"/>
        <v>1300000</v>
      </c>
      <c r="BE32" s="30">
        <v>1300000</v>
      </c>
      <c r="BF32" s="30">
        <v>1300000</v>
      </c>
      <c r="BG32" s="30">
        <v>1300000</v>
      </c>
      <c r="BH32" s="30">
        <f t="shared" si="22"/>
        <v>0</v>
      </c>
      <c r="BI32" s="30">
        <f t="shared" si="23"/>
        <v>1300000</v>
      </c>
      <c r="BJ32" s="30">
        <f t="shared" si="24"/>
        <v>0</v>
      </c>
      <c r="BK32" s="8">
        <f t="shared" si="25"/>
        <v>0</v>
      </c>
      <c r="BL32" s="30"/>
      <c r="BM32" s="34">
        <f t="shared" si="26"/>
        <v>1300000</v>
      </c>
      <c r="BN32" s="45">
        <v>0</v>
      </c>
      <c r="BO32" s="32">
        <f t="shared" si="27"/>
        <v>-1300000</v>
      </c>
      <c r="BP32" s="45">
        <v>0</v>
      </c>
      <c r="BQ32" s="48">
        <f t="shared" si="28"/>
        <v>-1300000</v>
      </c>
      <c r="BR32" s="48">
        <f t="shared" si="29"/>
        <v>0</v>
      </c>
      <c r="BS32" s="45">
        <v>400000</v>
      </c>
      <c r="BT32" s="49">
        <f t="shared" si="30"/>
        <v>-900000</v>
      </c>
      <c r="BU32" s="49">
        <f t="shared" si="31"/>
        <v>400000</v>
      </c>
      <c r="BV32" s="49">
        <f t="shared" si="32"/>
        <v>400000</v>
      </c>
      <c r="BW32" s="45">
        <v>900000</v>
      </c>
      <c r="BX32" s="48">
        <f t="shared" si="33"/>
        <v>-400000</v>
      </c>
      <c r="BY32" s="48">
        <f t="shared" si="34"/>
        <v>900000</v>
      </c>
      <c r="BZ32" s="48">
        <f t="shared" si="35"/>
        <v>500000</v>
      </c>
      <c r="CA32" s="45">
        <f>900000+400000</f>
        <v>1300000</v>
      </c>
      <c r="CB32" s="8">
        <f t="shared" si="36"/>
        <v>0</v>
      </c>
      <c r="CC32" s="8">
        <f t="shared" si="37"/>
        <v>1300000</v>
      </c>
      <c r="CD32" s="8">
        <f t="shared" si="6"/>
        <v>900000</v>
      </c>
      <c r="CE32" s="8">
        <f t="shared" si="38"/>
        <v>400000</v>
      </c>
      <c r="CF32" s="45">
        <v>1300000</v>
      </c>
      <c r="CG32" s="8">
        <f t="shared" si="39"/>
        <v>0</v>
      </c>
      <c r="CH32" s="8">
        <f t="shared" si="40"/>
        <v>1300000</v>
      </c>
      <c r="CI32" s="8">
        <f t="shared" si="41"/>
        <v>900000</v>
      </c>
      <c r="CJ32" s="8">
        <f t="shared" si="42"/>
        <v>0</v>
      </c>
      <c r="CK32" s="45">
        <v>1300000</v>
      </c>
      <c r="CL32" s="8">
        <f t="shared" si="7"/>
        <v>0</v>
      </c>
      <c r="CM32" s="8">
        <f t="shared" si="43"/>
        <v>1300000</v>
      </c>
      <c r="CN32" s="8">
        <f t="shared" si="44"/>
        <v>0</v>
      </c>
      <c r="CO32" s="45">
        <v>0</v>
      </c>
      <c r="CP32" s="45">
        <f t="shared" si="45"/>
        <v>0</v>
      </c>
      <c r="CQ32" s="8">
        <f t="shared" si="46"/>
        <v>-1300000</v>
      </c>
      <c r="CR32" s="45">
        <v>0</v>
      </c>
      <c r="CS32" s="32">
        <v>400000</v>
      </c>
      <c r="CT32" s="45">
        <f t="shared" si="47"/>
        <v>400000</v>
      </c>
      <c r="CU32" s="8">
        <f t="shared" si="48"/>
        <v>-900000</v>
      </c>
      <c r="CV32" s="45">
        <f t="shared" si="49"/>
        <v>400000</v>
      </c>
      <c r="CW32" s="45">
        <f t="shared" si="50"/>
        <v>400000</v>
      </c>
      <c r="CX32" s="45">
        <v>1300000</v>
      </c>
      <c r="CY32" s="8">
        <f t="shared" si="51"/>
        <v>0</v>
      </c>
      <c r="CZ32" s="45">
        <f t="shared" si="52"/>
        <v>1300000</v>
      </c>
      <c r="DA32" s="45">
        <f t="shared" si="53"/>
        <v>900000</v>
      </c>
      <c r="DB32" s="45">
        <v>1300000</v>
      </c>
      <c r="DC32" s="8">
        <f t="shared" si="54"/>
        <v>0</v>
      </c>
      <c r="DD32" s="45">
        <f t="shared" si="55"/>
        <v>1300000</v>
      </c>
      <c r="DE32" s="45">
        <f t="shared" si="56"/>
        <v>900000</v>
      </c>
      <c r="DF32" s="45">
        <f t="shared" si="57"/>
        <v>0</v>
      </c>
      <c r="DG32" s="45">
        <v>1300000</v>
      </c>
      <c r="DH32" s="47">
        <f t="shared" si="58"/>
        <v>0</v>
      </c>
      <c r="DI32" s="45">
        <f t="shared" si="59"/>
        <v>1300000</v>
      </c>
      <c r="DJ32" s="45">
        <f t="shared" si="60"/>
        <v>900000</v>
      </c>
      <c r="DK32" s="45">
        <f t="shared" si="61"/>
        <v>0</v>
      </c>
      <c r="DL32" s="45"/>
      <c r="DM32" s="45">
        <f t="shared" si="62"/>
        <v>1300000</v>
      </c>
      <c r="DN32" s="45">
        <v>1300000</v>
      </c>
      <c r="DO32" s="45">
        <f t="shared" si="63"/>
        <v>0</v>
      </c>
      <c r="DP32" s="45"/>
      <c r="DQ32" s="45">
        <v>-1300000</v>
      </c>
      <c r="DR32" s="45">
        <f t="shared" si="64"/>
        <v>0</v>
      </c>
      <c r="DS32" s="45">
        <f t="shared" si="65"/>
        <v>-1300000</v>
      </c>
      <c r="DT32" s="45"/>
      <c r="DU32" s="45">
        <f t="shared" si="66"/>
        <v>0</v>
      </c>
      <c r="DV32" s="45">
        <f t="shared" si="67"/>
        <v>-1300000</v>
      </c>
      <c r="DW32" s="45">
        <v>0</v>
      </c>
      <c r="DX32" s="45">
        <v>0</v>
      </c>
      <c r="DY32" s="9"/>
      <c r="DZ32" s="8">
        <f t="shared" si="68"/>
        <v>0</v>
      </c>
      <c r="EA32" s="47">
        <v>0</v>
      </c>
      <c r="EB32" s="8">
        <f t="shared" si="69"/>
        <v>0</v>
      </c>
      <c r="EC32" s="8">
        <f t="shared" si="70"/>
        <v>0</v>
      </c>
      <c r="ED32" s="73"/>
      <c r="EE32" s="44">
        <v>400000</v>
      </c>
      <c r="EF32" s="30">
        <f t="shared" si="71"/>
        <v>400000</v>
      </c>
      <c r="EG32" s="30">
        <f t="shared" si="72"/>
        <v>400000</v>
      </c>
      <c r="EH32" s="30">
        <f t="shared" si="73"/>
        <v>400000</v>
      </c>
      <c r="EI32" s="44">
        <v>1300000</v>
      </c>
      <c r="EJ32" s="30">
        <f t="shared" si="74"/>
        <v>1300000</v>
      </c>
      <c r="EK32" s="30">
        <f t="shared" si="75"/>
        <v>1300000</v>
      </c>
      <c r="EL32" s="30">
        <f t="shared" si="76"/>
        <v>900000</v>
      </c>
      <c r="EM32" s="44">
        <v>1300000</v>
      </c>
      <c r="EN32" s="30">
        <f t="shared" si="90"/>
        <v>1300000</v>
      </c>
      <c r="EO32" s="30">
        <f t="shared" si="91"/>
        <v>1300000</v>
      </c>
      <c r="EP32" s="30">
        <f t="shared" si="92"/>
        <v>900000</v>
      </c>
      <c r="EQ32" s="30">
        <f t="shared" si="77"/>
        <v>0</v>
      </c>
      <c r="ER32" s="44">
        <v>1300000</v>
      </c>
      <c r="ES32" s="30">
        <f t="shared" si="78"/>
        <v>1300000</v>
      </c>
      <c r="ET32" s="30">
        <f t="shared" si="79"/>
        <v>1300000</v>
      </c>
      <c r="EU32" s="30">
        <f t="shared" si="80"/>
        <v>900000</v>
      </c>
      <c r="EV32" s="30">
        <f t="shared" si="81"/>
        <v>0</v>
      </c>
      <c r="EW32" s="44">
        <v>1300000</v>
      </c>
      <c r="EX32" s="30">
        <f t="shared" si="82"/>
        <v>1300000</v>
      </c>
      <c r="EY32" s="30">
        <f t="shared" si="83"/>
        <v>0</v>
      </c>
      <c r="EZ32" s="31">
        <v>1300000</v>
      </c>
      <c r="FA32" s="30">
        <f t="shared" si="84"/>
        <v>1300000</v>
      </c>
      <c r="FB32" s="30">
        <f t="shared" si="85"/>
        <v>0</v>
      </c>
    </row>
    <row r="33" spans="1:160" ht="25.5" hidden="1" x14ac:dyDescent="0.2">
      <c r="A33" s="46" t="s">
        <v>259</v>
      </c>
      <c r="B33" s="23"/>
      <c r="C33" s="61" t="s">
        <v>260</v>
      </c>
      <c r="D33" s="25"/>
      <c r="E33" s="26"/>
      <c r="F33" s="26"/>
      <c r="G33" s="26"/>
      <c r="H33" s="26"/>
      <c r="I33" s="26"/>
      <c r="J33" s="27"/>
      <c r="K33" s="27"/>
      <c r="L33" s="27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9"/>
      <c r="X33" s="29"/>
      <c r="Y33" s="29"/>
      <c r="Z33" s="30"/>
      <c r="AA33" s="30"/>
      <c r="AB33" s="30"/>
      <c r="AC33" s="30"/>
      <c r="AD33" s="31"/>
      <c r="AE33" s="30"/>
      <c r="AF33" s="30"/>
      <c r="AG33" s="30"/>
      <c r="AH33" s="31"/>
      <c r="AI33" s="31"/>
      <c r="AJ33" s="30"/>
      <c r="AK33" s="30"/>
      <c r="AL33" s="30"/>
      <c r="AM33" s="31"/>
      <c r="AN33" s="31"/>
      <c r="AO33" s="31"/>
      <c r="AP33" s="30"/>
      <c r="AQ33" s="30"/>
      <c r="AR33" s="30"/>
      <c r="AS33" s="30"/>
      <c r="AT33" s="30"/>
      <c r="AU33" s="30"/>
      <c r="AV33" s="30"/>
      <c r="AW33" s="30"/>
      <c r="AX33" s="30"/>
      <c r="AY33" s="31"/>
      <c r="AZ33" s="31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8"/>
      <c r="BL33" s="30"/>
      <c r="BM33" s="34"/>
      <c r="BN33" s="45"/>
      <c r="BO33" s="32"/>
      <c r="BP33" s="45"/>
      <c r="BQ33" s="48"/>
      <c r="BR33" s="48"/>
      <c r="BS33" s="45"/>
      <c r="BT33" s="49"/>
      <c r="BU33" s="49"/>
      <c r="BV33" s="49"/>
      <c r="BW33" s="45"/>
      <c r="BX33" s="48"/>
      <c r="BY33" s="48"/>
      <c r="BZ33" s="48"/>
      <c r="CA33" s="45"/>
      <c r="CB33" s="8"/>
      <c r="CC33" s="8"/>
      <c r="CD33" s="8"/>
      <c r="CE33" s="8"/>
      <c r="CF33" s="45"/>
      <c r="CG33" s="8"/>
      <c r="CH33" s="8"/>
      <c r="CI33" s="8"/>
      <c r="CJ33" s="8"/>
      <c r="CK33" s="45"/>
      <c r="CL33" s="8"/>
      <c r="CM33" s="8"/>
      <c r="CN33" s="8"/>
      <c r="CO33" s="45"/>
      <c r="CP33" s="45"/>
      <c r="CQ33" s="8"/>
      <c r="CR33" s="45"/>
      <c r="CS33" s="32"/>
      <c r="CT33" s="45"/>
      <c r="CU33" s="8"/>
      <c r="CV33" s="45"/>
      <c r="CW33" s="45"/>
      <c r="CX33" s="45"/>
      <c r="CY33" s="8"/>
      <c r="CZ33" s="45"/>
      <c r="DA33" s="45"/>
      <c r="DB33" s="45"/>
      <c r="DC33" s="8"/>
      <c r="DD33" s="45"/>
      <c r="DE33" s="45"/>
      <c r="DF33" s="45"/>
      <c r="DG33" s="45"/>
      <c r="DH33" s="47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>
        <v>500000</v>
      </c>
      <c r="DY33" s="9"/>
      <c r="DZ33" s="8">
        <f t="shared" si="68"/>
        <v>500000</v>
      </c>
      <c r="EA33" s="47">
        <v>0</v>
      </c>
      <c r="EB33" s="8">
        <f t="shared" si="69"/>
        <v>0</v>
      </c>
      <c r="EC33" s="8">
        <f t="shared" si="70"/>
        <v>-500000</v>
      </c>
      <c r="ED33" s="73"/>
      <c r="EE33" s="44">
        <v>0</v>
      </c>
      <c r="EF33" s="30">
        <f t="shared" si="71"/>
        <v>0</v>
      </c>
      <c r="EG33" s="30">
        <f t="shared" si="72"/>
        <v>-500000</v>
      </c>
      <c r="EH33" s="30">
        <f t="shared" si="73"/>
        <v>0</v>
      </c>
      <c r="EI33" s="44">
        <v>0</v>
      </c>
      <c r="EJ33" s="30">
        <f t="shared" si="74"/>
        <v>0</v>
      </c>
      <c r="EK33" s="30">
        <f t="shared" si="75"/>
        <v>-500000</v>
      </c>
      <c r="EL33" s="30">
        <f t="shared" si="76"/>
        <v>0</v>
      </c>
      <c r="EM33" s="44">
        <v>0</v>
      </c>
      <c r="EN33" s="30">
        <f t="shared" si="90"/>
        <v>0</v>
      </c>
      <c r="EO33" s="30">
        <f t="shared" si="91"/>
        <v>-500000</v>
      </c>
      <c r="EP33" s="30">
        <f t="shared" si="92"/>
        <v>0</v>
      </c>
      <c r="EQ33" s="30">
        <f t="shared" si="77"/>
        <v>0</v>
      </c>
      <c r="ER33" s="44">
        <v>0</v>
      </c>
      <c r="ES33" s="30">
        <f t="shared" si="78"/>
        <v>0</v>
      </c>
      <c r="ET33" s="30">
        <f t="shared" si="79"/>
        <v>-500000</v>
      </c>
      <c r="EU33" s="30">
        <f t="shared" si="80"/>
        <v>0</v>
      </c>
      <c r="EV33" s="30">
        <f t="shared" si="81"/>
        <v>0</v>
      </c>
      <c r="EW33" s="44">
        <v>0</v>
      </c>
      <c r="EX33" s="30">
        <f t="shared" si="82"/>
        <v>0</v>
      </c>
      <c r="EY33" s="30">
        <f t="shared" si="83"/>
        <v>0</v>
      </c>
      <c r="EZ33" s="31">
        <v>0</v>
      </c>
      <c r="FA33" s="30">
        <f t="shared" si="84"/>
        <v>0</v>
      </c>
      <c r="FB33" s="30">
        <f t="shared" si="85"/>
        <v>0</v>
      </c>
    </row>
    <row r="34" spans="1:160" ht="12.75" hidden="1" x14ac:dyDescent="0.2">
      <c r="A34" s="46" t="s">
        <v>262</v>
      </c>
      <c r="B34" s="23"/>
      <c r="C34" s="61" t="s">
        <v>261</v>
      </c>
      <c r="D34" s="25"/>
      <c r="E34" s="26"/>
      <c r="F34" s="26"/>
      <c r="G34" s="26"/>
      <c r="H34" s="26"/>
      <c r="I34" s="26"/>
      <c r="J34" s="27"/>
      <c r="K34" s="27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9"/>
      <c r="X34" s="29"/>
      <c r="Y34" s="29"/>
      <c r="Z34" s="30"/>
      <c r="AA34" s="30"/>
      <c r="AB34" s="30"/>
      <c r="AC34" s="30"/>
      <c r="AD34" s="31"/>
      <c r="AE34" s="30"/>
      <c r="AF34" s="30"/>
      <c r="AG34" s="30"/>
      <c r="AH34" s="31"/>
      <c r="AI34" s="31"/>
      <c r="AJ34" s="30"/>
      <c r="AK34" s="30"/>
      <c r="AL34" s="30"/>
      <c r="AM34" s="31"/>
      <c r="AN34" s="31"/>
      <c r="AO34" s="31"/>
      <c r="AP34" s="30"/>
      <c r="AQ34" s="30"/>
      <c r="AR34" s="30"/>
      <c r="AS34" s="30"/>
      <c r="AT34" s="30"/>
      <c r="AU34" s="30"/>
      <c r="AV34" s="30"/>
      <c r="AW34" s="30"/>
      <c r="AX34" s="30"/>
      <c r="AY34" s="31"/>
      <c r="AZ34" s="31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8"/>
      <c r="BL34" s="30"/>
      <c r="BM34" s="34"/>
      <c r="BN34" s="45"/>
      <c r="BO34" s="32"/>
      <c r="BP34" s="45"/>
      <c r="BQ34" s="48"/>
      <c r="BR34" s="48"/>
      <c r="BS34" s="45"/>
      <c r="BT34" s="49"/>
      <c r="BU34" s="49"/>
      <c r="BV34" s="49"/>
      <c r="BW34" s="45"/>
      <c r="BX34" s="48"/>
      <c r="BY34" s="48"/>
      <c r="BZ34" s="48"/>
      <c r="CA34" s="45"/>
      <c r="CB34" s="8"/>
      <c r="CC34" s="8"/>
      <c r="CD34" s="8"/>
      <c r="CE34" s="8"/>
      <c r="CF34" s="45"/>
      <c r="CG34" s="8"/>
      <c r="CH34" s="8"/>
      <c r="CI34" s="8"/>
      <c r="CJ34" s="8"/>
      <c r="CK34" s="45"/>
      <c r="CL34" s="8"/>
      <c r="CM34" s="8"/>
      <c r="CN34" s="8"/>
      <c r="CO34" s="45"/>
      <c r="CP34" s="45"/>
      <c r="CQ34" s="8"/>
      <c r="CR34" s="45"/>
      <c r="CS34" s="32"/>
      <c r="CT34" s="45"/>
      <c r="CU34" s="8"/>
      <c r="CV34" s="45"/>
      <c r="CW34" s="45"/>
      <c r="CX34" s="45"/>
      <c r="CY34" s="8"/>
      <c r="CZ34" s="45"/>
      <c r="DA34" s="45"/>
      <c r="DB34" s="45"/>
      <c r="DC34" s="8"/>
      <c r="DD34" s="45"/>
      <c r="DE34" s="45"/>
      <c r="DF34" s="45"/>
      <c r="DG34" s="45"/>
      <c r="DH34" s="47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>
        <v>200000</v>
      </c>
      <c r="DY34" s="9"/>
      <c r="DZ34" s="8">
        <f t="shared" si="68"/>
        <v>200000</v>
      </c>
      <c r="EA34" s="47">
        <v>0</v>
      </c>
      <c r="EB34" s="8">
        <f t="shared" si="69"/>
        <v>0</v>
      </c>
      <c r="EC34" s="8">
        <f t="shared" si="70"/>
        <v>-200000</v>
      </c>
      <c r="ED34" s="73"/>
      <c r="EE34" s="44">
        <v>0</v>
      </c>
      <c r="EF34" s="30">
        <f t="shared" si="71"/>
        <v>0</v>
      </c>
      <c r="EG34" s="30">
        <f t="shared" si="72"/>
        <v>-200000</v>
      </c>
      <c r="EH34" s="30">
        <f t="shared" si="73"/>
        <v>0</v>
      </c>
      <c r="EI34" s="44">
        <v>0</v>
      </c>
      <c r="EJ34" s="30">
        <f t="shared" si="74"/>
        <v>0</v>
      </c>
      <c r="EK34" s="30">
        <f t="shared" si="75"/>
        <v>-200000</v>
      </c>
      <c r="EL34" s="30">
        <f t="shared" si="76"/>
        <v>0</v>
      </c>
      <c r="EM34" s="44">
        <v>0</v>
      </c>
      <c r="EN34" s="30">
        <f t="shared" si="90"/>
        <v>0</v>
      </c>
      <c r="EO34" s="30">
        <f t="shared" si="91"/>
        <v>-200000</v>
      </c>
      <c r="EP34" s="30">
        <f t="shared" si="92"/>
        <v>0</v>
      </c>
      <c r="EQ34" s="30">
        <f t="shared" si="77"/>
        <v>0</v>
      </c>
      <c r="ER34" s="44">
        <v>0</v>
      </c>
      <c r="ES34" s="30">
        <f t="shared" si="78"/>
        <v>0</v>
      </c>
      <c r="ET34" s="30">
        <f t="shared" si="79"/>
        <v>-200000</v>
      </c>
      <c r="EU34" s="30">
        <f t="shared" si="80"/>
        <v>0</v>
      </c>
      <c r="EV34" s="30">
        <f t="shared" si="81"/>
        <v>0</v>
      </c>
      <c r="EW34" s="44">
        <v>0</v>
      </c>
      <c r="EX34" s="30">
        <f t="shared" si="82"/>
        <v>0</v>
      </c>
      <c r="EY34" s="30">
        <f t="shared" si="83"/>
        <v>0</v>
      </c>
      <c r="EZ34" s="31">
        <v>0</v>
      </c>
      <c r="FA34" s="30">
        <f t="shared" si="84"/>
        <v>0</v>
      </c>
      <c r="FB34" s="30">
        <f t="shared" si="85"/>
        <v>0</v>
      </c>
    </row>
    <row r="35" spans="1:160" ht="12.75" x14ac:dyDescent="0.2">
      <c r="A35" s="22" t="s">
        <v>154</v>
      </c>
      <c r="B35" s="23"/>
      <c r="C35" s="61" t="s">
        <v>156</v>
      </c>
      <c r="D35" s="25"/>
      <c r="E35" s="26"/>
      <c r="F35" s="26"/>
      <c r="G35" s="26"/>
      <c r="H35" s="26"/>
      <c r="I35" s="26"/>
      <c r="J35" s="33"/>
      <c r="K35" s="27"/>
      <c r="L35" s="27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  <c r="X35" s="29"/>
      <c r="Y35" s="29">
        <f t="shared" si="9"/>
        <v>0</v>
      </c>
      <c r="Z35" s="30"/>
      <c r="AA35" s="30"/>
      <c r="AB35" s="30"/>
      <c r="AC35" s="30"/>
      <c r="AD35" s="31"/>
      <c r="AE35" s="30"/>
      <c r="AF35" s="30"/>
      <c r="AG35" s="30"/>
      <c r="AH35" s="31"/>
      <c r="AI35" s="31"/>
      <c r="AJ35" s="30"/>
      <c r="AK35" s="30"/>
      <c r="AL35" s="30"/>
      <c r="AM35" s="31"/>
      <c r="AN35" s="31"/>
      <c r="AO35" s="31"/>
      <c r="AP35" s="30"/>
      <c r="AQ35" s="30"/>
      <c r="AR35" s="30"/>
      <c r="AS35" s="30"/>
      <c r="AT35" s="30"/>
      <c r="AU35" s="30">
        <f t="shared" si="17"/>
        <v>0</v>
      </c>
      <c r="AV35" s="30"/>
      <c r="AW35" s="30"/>
      <c r="AX35" s="30">
        <v>250000</v>
      </c>
      <c r="AY35" s="31">
        <f t="shared" si="88"/>
        <v>250000</v>
      </c>
      <c r="AZ35" s="31">
        <f t="shared" si="89"/>
        <v>250000</v>
      </c>
      <c r="BA35" s="30">
        <v>250000</v>
      </c>
      <c r="BB35" s="30">
        <f t="shared" si="19"/>
        <v>250000</v>
      </c>
      <c r="BC35" s="30">
        <f t="shared" si="20"/>
        <v>250000</v>
      </c>
      <c r="BD35" s="30">
        <f t="shared" si="21"/>
        <v>0</v>
      </c>
      <c r="BE35" s="30"/>
      <c r="BF35" s="30">
        <v>250000</v>
      </c>
      <c r="BG35" s="30">
        <v>250000</v>
      </c>
      <c r="BH35" s="30">
        <f t="shared" si="22"/>
        <v>250000</v>
      </c>
      <c r="BI35" s="30">
        <f t="shared" si="23"/>
        <v>250000</v>
      </c>
      <c r="BJ35" s="30">
        <f t="shared" si="24"/>
        <v>0</v>
      </c>
      <c r="BK35" s="8">
        <f t="shared" si="25"/>
        <v>250000</v>
      </c>
      <c r="BL35" s="30"/>
      <c r="BM35" s="34">
        <f t="shared" si="26"/>
        <v>250000</v>
      </c>
      <c r="BN35" s="45">
        <v>250000</v>
      </c>
      <c r="BO35" s="32">
        <f t="shared" si="27"/>
        <v>0</v>
      </c>
      <c r="BP35" s="45">
        <v>250000</v>
      </c>
      <c r="BQ35" s="48">
        <f t="shared" si="28"/>
        <v>0</v>
      </c>
      <c r="BR35" s="48">
        <f t="shared" si="29"/>
        <v>0</v>
      </c>
      <c r="BS35" s="45">
        <f>BP35</f>
        <v>250000</v>
      </c>
      <c r="BT35" s="49">
        <f t="shared" si="30"/>
        <v>0</v>
      </c>
      <c r="BU35" s="49">
        <f t="shared" si="31"/>
        <v>0</v>
      </c>
      <c r="BV35" s="49">
        <f t="shared" si="32"/>
        <v>0</v>
      </c>
      <c r="BW35" s="45">
        <v>0</v>
      </c>
      <c r="BX35" s="48">
        <f t="shared" si="33"/>
        <v>-250000</v>
      </c>
      <c r="BY35" s="48">
        <f t="shared" si="34"/>
        <v>-250000</v>
      </c>
      <c r="BZ35" s="48">
        <f t="shared" si="35"/>
        <v>-250000</v>
      </c>
      <c r="CA35" s="45">
        <v>0</v>
      </c>
      <c r="CB35" s="8">
        <f t="shared" si="36"/>
        <v>-250000</v>
      </c>
      <c r="CC35" s="8">
        <f t="shared" si="37"/>
        <v>-250000</v>
      </c>
      <c r="CD35" s="8">
        <f t="shared" si="6"/>
        <v>-250000</v>
      </c>
      <c r="CE35" s="8">
        <f t="shared" si="38"/>
        <v>0</v>
      </c>
      <c r="CF35" s="45">
        <v>250000</v>
      </c>
      <c r="CG35" s="8">
        <f t="shared" si="39"/>
        <v>0</v>
      </c>
      <c r="CH35" s="8">
        <f t="shared" si="40"/>
        <v>0</v>
      </c>
      <c r="CI35" s="8">
        <f t="shared" si="41"/>
        <v>0</v>
      </c>
      <c r="CJ35" s="8">
        <f t="shared" si="42"/>
        <v>250000</v>
      </c>
      <c r="CK35" s="45">
        <v>250000</v>
      </c>
      <c r="CL35" s="8">
        <f t="shared" si="7"/>
        <v>0</v>
      </c>
      <c r="CM35" s="8">
        <f t="shared" si="43"/>
        <v>0</v>
      </c>
      <c r="CN35" s="8">
        <f t="shared" si="44"/>
        <v>0</v>
      </c>
      <c r="CO35" s="45">
        <f>CK35</f>
        <v>250000</v>
      </c>
      <c r="CP35" s="45">
        <f t="shared" si="45"/>
        <v>0</v>
      </c>
      <c r="CQ35" s="8">
        <f t="shared" si="46"/>
        <v>0</v>
      </c>
      <c r="CR35" s="45">
        <v>250000</v>
      </c>
      <c r="CS35" s="32"/>
      <c r="CT35" s="45">
        <f t="shared" si="47"/>
        <v>250000</v>
      </c>
      <c r="CU35" s="8">
        <f t="shared" si="48"/>
        <v>0</v>
      </c>
      <c r="CV35" s="45">
        <f t="shared" si="49"/>
        <v>0</v>
      </c>
      <c r="CW35" s="45">
        <f t="shared" si="50"/>
        <v>0</v>
      </c>
      <c r="CX35" s="45">
        <v>0</v>
      </c>
      <c r="CY35" s="8">
        <f t="shared" si="51"/>
        <v>-250000</v>
      </c>
      <c r="CZ35" s="45">
        <f t="shared" si="52"/>
        <v>-250000</v>
      </c>
      <c r="DA35" s="45">
        <f t="shared" si="53"/>
        <v>-250000</v>
      </c>
      <c r="DB35" s="45">
        <v>250000</v>
      </c>
      <c r="DC35" s="8">
        <f t="shared" si="54"/>
        <v>0</v>
      </c>
      <c r="DD35" s="45">
        <f t="shared" si="55"/>
        <v>0</v>
      </c>
      <c r="DE35" s="45">
        <f t="shared" si="56"/>
        <v>0</v>
      </c>
      <c r="DF35" s="45">
        <f t="shared" si="57"/>
        <v>250000</v>
      </c>
      <c r="DG35" s="45">
        <v>250000</v>
      </c>
      <c r="DH35" s="47">
        <f t="shared" si="58"/>
        <v>0</v>
      </c>
      <c r="DI35" s="45">
        <f t="shared" si="59"/>
        <v>0</v>
      </c>
      <c r="DJ35" s="45">
        <f t="shared" si="60"/>
        <v>0</v>
      </c>
      <c r="DK35" s="45">
        <f t="shared" si="61"/>
        <v>0</v>
      </c>
      <c r="DL35" s="45"/>
      <c r="DM35" s="45">
        <f t="shared" si="62"/>
        <v>250000</v>
      </c>
      <c r="DN35" s="45">
        <v>250000</v>
      </c>
      <c r="DO35" s="45">
        <f t="shared" si="63"/>
        <v>0</v>
      </c>
      <c r="DP35" s="45"/>
      <c r="DQ35" s="45">
        <v>-3750</v>
      </c>
      <c r="DR35" s="45">
        <f t="shared" si="64"/>
        <v>246250</v>
      </c>
      <c r="DS35" s="45">
        <f t="shared" si="65"/>
        <v>-3750</v>
      </c>
      <c r="DT35" s="45"/>
      <c r="DU35" s="45">
        <f t="shared" si="66"/>
        <v>246250</v>
      </c>
      <c r="DV35" s="45">
        <f t="shared" si="67"/>
        <v>-3750</v>
      </c>
      <c r="DW35" s="45">
        <v>246250</v>
      </c>
      <c r="DX35" s="45">
        <v>0</v>
      </c>
      <c r="DY35" s="9"/>
      <c r="DZ35" s="8">
        <f t="shared" si="68"/>
        <v>-246250</v>
      </c>
      <c r="EA35" s="47"/>
      <c r="EB35" s="8">
        <f t="shared" si="69"/>
        <v>-246250</v>
      </c>
      <c r="EC35" s="8">
        <f t="shared" si="70"/>
        <v>0</v>
      </c>
      <c r="ED35" s="73"/>
      <c r="EE35" s="44">
        <v>0</v>
      </c>
      <c r="EF35" s="30">
        <f t="shared" si="71"/>
        <v>-246250</v>
      </c>
      <c r="EG35" s="30">
        <f t="shared" si="72"/>
        <v>0</v>
      </c>
      <c r="EH35" s="30">
        <f t="shared" si="73"/>
        <v>0</v>
      </c>
      <c r="EI35" s="44">
        <v>222000</v>
      </c>
      <c r="EJ35" s="30">
        <f t="shared" si="74"/>
        <v>-24250</v>
      </c>
      <c r="EK35" s="30">
        <f t="shared" si="75"/>
        <v>222000</v>
      </c>
      <c r="EL35" s="30">
        <f t="shared" si="76"/>
        <v>222000</v>
      </c>
      <c r="EM35" s="44">
        <v>222000</v>
      </c>
      <c r="EN35" s="30">
        <f t="shared" si="90"/>
        <v>-24250</v>
      </c>
      <c r="EO35" s="30">
        <f t="shared" si="91"/>
        <v>222000</v>
      </c>
      <c r="EP35" s="30">
        <f t="shared" si="92"/>
        <v>222000</v>
      </c>
      <c r="EQ35" s="30">
        <f t="shared" si="77"/>
        <v>0</v>
      </c>
      <c r="ER35" s="44">
        <v>0</v>
      </c>
      <c r="ES35" s="30">
        <f t="shared" si="78"/>
        <v>-246250</v>
      </c>
      <c r="ET35" s="30">
        <f t="shared" si="79"/>
        <v>0</v>
      </c>
      <c r="EU35" s="30">
        <f t="shared" si="80"/>
        <v>0</v>
      </c>
      <c r="EV35" s="30">
        <f t="shared" si="81"/>
        <v>-222000</v>
      </c>
      <c r="EW35" s="44">
        <v>0</v>
      </c>
      <c r="EX35" s="30">
        <f t="shared" si="82"/>
        <v>-246250</v>
      </c>
      <c r="EY35" s="30">
        <f t="shared" si="83"/>
        <v>0</v>
      </c>
      <c r="EZ35" s="31">
        <v>0</v>
      </c>
      <c r="FA35" s="30">
        <f t="shared" si="84"/>
        <v>-246250</v>
      </c>
      <c r="FB35" s="30">
        <f t="shared" si="85"/>
        <v>0</v>
      </c>
    </row>
    <row r="36" spans="1:160" ht="25.5" x14ac:dyDescent="0.2">
      <c r="A36" s="24" t="s">
        <v>7</v>
      </c>
      <c r="B36" s="24"/>
      <c r="C36" s="60" t="s">
        <v>255</v>
      </c>
      <c r="D36" s="25">
        <v>73790525</v>
      </c>
      <c r="E36" s="26">
        <v>79751579</v>
      </c>
      <c r="F36" s="26">
        <v>76536610</v>
      </c>
      <c r="G36" s="26">
        <v>79751579</v>
      </c>
      <c r="H36" s="26"/>
      <c r="I36" s="26">
        <f t="shared" si="0"/>
        <v>79751579</v>
      </c>
      <c r="J36" s="27">
        <v>-5174307</v>
      </c>
      <c r="K36" s="27"/>
      <c r="L36" s="27">
        <f t="shared" si="1"/>
        <v>-5174307</v>
      </c>
      <c r="M36" s="28">
        <f t="shared" si="8"/>
        <v>74577272</v>
      </c>
      <c r="N36" s="28">
        <v>74577272</v>
      </c>
      <c r="O36" s="28">
        <v>74082992</v>
      </c>
      <c r="P36" s="28">
        <v>71554914</v>
      </c>
      <c r="Q36" s="28">
        <v>71554914</v>
      </c>
      <c r="R36" s="28">
        <v>71554914</v>
      </c>
      <c r="S36" s="28">
        <v>0</v>
      </c>
      <c r="T36" s="28">
        <f t="shared" si="86"/>
        <v>0</v>
      </c>
      <c r="U36" s="28">
        <f t="shared" si="87"/>
        <v>71554914</v>
      </c>
      <c r="V36" s="28">
        <f t="shared" si="2"/>
        <v>-3022358</v>
      </c>
      <c r="W36" s="29">
        <v>71554914</v>
      </c>
      <c r="X36" s="29"/>
      <c r="Y36" s="29">
        <f t="shared" si="9"/>
        <v>71554914</v>
      </c>
      <c r="Z36" s="30">
        <v>71554914</v>
      </c>
      <c r="AA36" s="30">
        <f t="shared" si="10"/>
        <v>0</v>
      </c>
      <c r="AB36" s="30">
        <v>73215427</v>
      </c>
      <c r="AC36" s="30">
        <v>73215427</v>
      </c>
      <c r="AD36" s="31">
        <v>71554914</v>
      </c>
      <c r="AE36" s="30"/>
      <c r="AF36" s="30">
        <f>AC36-SUM(W36:X36)</f>
        <v>1660513</v>
      </c>
      <c r="AG36" s="30">
        <f>AC36-Z36</f>
        <v>1660513</v>
      </c>
      <c r="AH36" s="31">
        <v>71554914</v>
      </c>
      <c r="AI36" s="31">
        <v>71554914</v>
      </c>
      <c r="AJ36" s="30">
        <f t="shared" si="93"/>
        <v>0</v>
      </c>
      <c r="AK36" s="30">
        <f t="shared" si="11"/>
        <v>0</v>
      </c>
      <c r="AL36" s="30">
        <f t="shared" si="12"/>
        <v>-1660513</v>
      </c>
      <c r="AM36" s="31">
        <f t="shared" si="13"/>
        <v>0</v>
      </c>
      <c r="AN36" s="31">
        <f t="shared" si="14"/>
        <v>0</v>
      </c>
      <c r="AO36" s="31">
        <f t="shared" si="4"/>
        <v>-1660513</v>
      </c>
      <c r="AP36" s="30">
        <v>71554914</v>
      </c>
      <c r="AQ36" s="30">
        <f t="shared" si="5"/>
        <v>0</v>
      </c>
      <c r="AR36" s="30">
        <f t="shared" si="15"/>
        <v>0</v>
      </c>
      <c r="AS36" s="30">
        <f t="shared" si="16"/>
        <v>0</v>
      </c>
      <c r="AT36" s="30"/>
      <c r="AU36" s="30">
        <f t="shared" si="17"/>
        <v>71554914</v>
      </c>
      <c r="AV36" s="30">
        <v>71454914</v>
      </c>
      <c r="AW36" s="30">
        <f t="shared" si="18"/>
        <v>-100000</v>
      </c>
      <c r="AX36" s="30">
        <v>71554914</v>
      </c>
      <c r="AY36" s="31">
        <f t="shared" si="88"/>
        <v>0</v>
      </c>
      <c r="AZ36" s="31">
        <f t="shared" si="89"/>
        <v>100000</v>
      </c>
      <c r="BA36" s="30">
        <v>71554914</v>
      </c>
      <c r="BB36" s="30">
        <f t="shared" si="19"/>
        <v>0</v>
      </c>
      <c r="BC36" s="30">
        <f t="shared" si="20"/>
        <v>100000</v>
      </c>
      <c r="BD36" s="30">
        <f t="shared" si="21"/>
        <v>0</v>
      </c>
      <c r="BE36" s="30">
        <v>71454914</v>
      </c>
      <c r="BF36" s="30">
        <v>71454914</v>
      </c>
      <c r="BG36" s="30">
        <v>71454914</v>
      </c>
      <c r="BH36" s="30">
        <f t="shared" si="22"/>
        <v>-100000</v>
      </c>
      <c r="BI36" s="30">
        <f t="shared" si="23"/>
        <v>0</v>
      </c>
      <c r="BJ36" s="30">
        <f t="shared" si="24"/>
        <v>-100000</v>
      </c>
      <c r="BK36" s="8">
        <f t="shared" si="25"/>
        <v>0</v>
      </c>
      <c r="BL36" s="30">
        <v>1000000</v>
      </c>
      <c r="BM36" s="34">
        <f>BG36-BL36+8000000</f>
        <v>78454914</v>
      </c>
      <c r="BN36" s="45">
        <v>80270928</v>
      </c>
      <c r="BO36" s="32">
        <f t="shared" si="27"/>
        <v>1816014</v>
      </c>
      <c r="BP36" s="45">
        <v>70454914</v>
      </c>
      <c r="BQ36" s="48">
        <f t="shared" si="28"/>
        <v>-8000000</v>
      </c>
      <c r="BR36" s="48">
        <f t="shared" si="29"/>
        <v>-9816014</v>
      </c>
      <c r="BS36" s="45">
        <f t="shared" ref="BS36:BS42" si="95">BP36</f>
        <v>70454914</v>
      </c>
      <c r="BT36" s="49">
        <f t="shared" si="30"/>
        <v>-8000000</v>
      </c>
      <c r="BU36" s="49">
        <f t="shared" si="31"/>
        <v>-9816014</v>
      </c>
      <c r="BV36" s="49">
        <f t="shared" si="32"/>
        <v>0</v>
      </c>
      <c r="BW36" s="45">
        <v>76354914</v>
      </c>
      <c r="BX36" s="48">
        <f t="shared" si="33"/>
        <v>-2100000</v>
      </c>
      <c r="BY36" s="48">
        <f t="shared" si="34"/>
        <v>-3916014</v>
      </c>
      <c r="BZ36" s="48">
        <f t="shared" si="35"/>
        <v>5900000</v>
      </c>
      <c r="CA36" s="45">
        <v>76354914</v>
      </c>
      <c r="CB36" s="8">
        <f t="shared" si="36"/>
        <v>-2100000</v>
      </c>
      <c r="CC36" s="8">
        <f t="shared" si="37"/>
        <v>-3916014</v>
      </c>
      <c r="CD36" s="8">
        <f t="shared" si="6"/>
        <v>5900000</v>
      </c>
      <c r="CE36" s="8">
        <f t="shared" si="38"/>
        <v>0</v>
      </c>
      <c r="CF36" s="45">
        <v>75000000</v>
      </c>
      <c r="CG36" s="8">
        <f t="shared" si="39"/>
        <v>-3454914</v>
      </c>
      <c r="CH36" s="8">
        <f t="shared" si="40"/>
        <v>-5270928</v>
      </c>
      <c r="CI36" s="8">
        <f t="shared" si="41"/>
        <v>4545086</v>
      </c>
      <c r="CJ36" s="8">
        <f t="shared" si="42"/>
        <v>-1354914</v>
      </c>
      <c r="CK36" s="45">
        <f>75000000+27595074</f>
        <v>102595074</v>
      </c>
      <c r="CL36" s="8">
        <f t="shared" si="7"/>
        <v>24140160</v>
      </c>
      <c r="CM36" s="8">
        <f t="shared" si="43"/>
        <v>22324146</v>
      </c>
      <c r="CN36" s="8">
        <f t="shared" si="44"/>
        <v>27595074</v>
      </c>
      <c r="CO36" s="45">
        <f>CK36</f>
        <v>102595074</v>
      </c>
      <c r="CP36" s="45">
        <f t="shared" si="45"/>
        <v>22324146</v>
      </c>
      <c r="CQ36" s="8">
        <f t="shared" si="46"/>
        <v>0</v>
      </c>
      <c r="CR36" s="45">
        <v>80000000</v>
      </c>
      <c r="CS36" s="32"/>
      <c r="CT36" s="45">
        <f t="shared" si="47"/>
        <v>80000000</v>
      </c>
      <c r="CU36" s="8">
        <f t="shared" si="48"/>
        <v>-22595074</v>
      </c>
      <c r="CV36" s="45">
        <f t="shared" si="49"/>
        <v>-22595074</v>
      </c>
      <c r="CW36" s="45">
        <f t="shared" si="50"/>
        <v>0</v>
      </c>
      <c r="CX36" s="45">
        <v>80000000</v>
      </c>
      <c r="CY36" s="8">
        <f t="shared" si="51"/>
        <v>-22595074</v>
      </c>
      <c r="CZ36" s="45">
        <f t="shared" si="52"/>
        <v>-22595074</v>
      </c>
      <c r="DA36" s="45">
        <f t="shared" si="53"/>
        <v>0</v>
      </c>
      <c r="DB36" s="45">
        <v>80000000</v>
      </c>
      <c r="DC36" s="8">
        <f t="shared" si="54"/>
        <v>-22595074</v>
      </c>
      <c r="DD36" s="45">
        <f t="shared" si="55"/>
        <v>-22595074</v>
      </c>
      <c r="DE36" s="45">
        <f t="shared" si="56"/>
        <v>0</v>
      </c>
      <c r="DF36" s="45">
        <f t="shared" si="57"/>
        <v>0</v>
      </c>
      <c r="DG36" s="45">
        <v>80000000</v>
      </c>
      <c r="DH36" s="47">
        <f t="shared" si="58"/>
        <v>-22595074</v>
      </c>
      <c r="DI36" s="45">
        <f t="shared" si="59"/>
        <v>-22595074</v>
      </c>
      <c r="DJ36" s="45">
        <f t="shared" si="60"/>
        <v>0</v>
      </c>
      <c r="DK36" s="45">
        <f t="shared" si="61"/>
        <v>0</v>
      </c>
      <c r="DL36" s="45"/>
      <c r="DM36" s="45">
        <f t="shared" si="62"/>
        <v>80000000</v>
      </c>
      <c r="DN36" s="45">
        <v>80000000</v>
      </c>
      <c r="DO36" s="45">
        <f t="shared" si="63"/>
        <v>-22595074</v>
      </c>
      <c r="DP36" s="45"/>
      <c r="DQ36" s="45">
        <v>-1200000</v>
      </c>
      <c r="DR36" s="45">
        <f t="shared" si="64"/>
        <v>78800000</v>
      </c>
      <c r="DS36" s="45">
        <f t="shared" si="65"/>
        <v>-23795074</v>
      </c>
      <c r="DT36" s="45">
        <v>-1940000</v>
      </c>
      <c r="DU36" s="45">
        <f t="shared" si="66"/>
        <v>76860000</v>
      </c>
      <c r="DV36" s="45">
        <f t="shared" si="67"/>
        <v>-25735074</v>
      </c>
      <c r="DW36" s="45">
        <v>76860000</v>
      </c>
      <c r="DX36" s="45">
        <v>76860000</v>
      </c>
      <c r="DY36" s="9"/>
      <c r="DZ36" s="8">
        <f t="shared" si="68"/>
        <v>0</v>
      </c>
      <c r="EA36" s="47">
        <v>76860000</v>
      </c>
      <c r="EB36" s="8">
        <f t="shared" si="69"/>
        <v>0</v>
      </c>
      <c r="EC36" s="8">
        <f t="shared" si="70"/>
        <v>0</v>
      </c>
      <c r="ED36" s="73"/>
      <c r="EE36" s="44">
        <v>76860000</v>
      </c>
      <c r="EF36" s="30">
        <f t="shared" si="71"/>
        <v>0</v>
      </c>
      <c r="EG36" s="30">
        <f t="shared" si="72"/>
        <v>0</v>
      </c>
      <c r="EH36" s="30">
        <f t="shared" si="73"/>
        <v>0</v>
      </c>
      <c r="EI36" s="44">
        <v>80000000</v>
      </c>
      <c r="EJ36" s="30">
        <f t="shared" si="74"/>
        <v>3140000</v>
      </c>
      <c r="EK36" s="30">
        <f t="shared" si="75"/>
        <v>3140000</v>
      </c>
      <c r="EL36" s="30">
        <f t="shared" si="76"/>
        <v>3140000</v>
      </c>
      <c r="EM36" s="44">
        <f>80000000+4500000</f>
        <v>84500000</v>
      </c>
      <c r="EN36" s="30">
        <f t="shared" si="90"/>
        <v>7640000</v>
      </c>
      <c r="EO36" s="30">
        <f t="shared" si="91"/>
        <v>7640000</v>
      </c>
      <c r="EP36" s="30">
        <f t="shared" si="92"/>
        <v>7640000</v>
      </c>
      <c r="EQ36" s="30">
        <f t="shared" si="77"/>
        <v>4500000</v>
      </c>
      <c r="ER36" s="44">
        <v>80500000</v>
      </c>
      <c r="ES36" s="30">
        <f t="shared" si="78"/>
        <v>3640000</v>
      </c>
      <c r="ET36" s="30">
        <f t="shared" si="79"/>
        <v>3640000</v>
      </c>
      <c r="EU36" s="30">
        <f t="shared" si="80"/>
        <v>3640000</v>
      </c>
      <c r="EV36" s="30">
        <f t="shared" si="81"/>
        <v>-4000000</v>
      </c>
      <c r="EW36" s="44">
        <v>80500000</v>
      </c>
      <c r="EX36" s="30">
        <f t="shared" si="82"/>
        <v>3640000</v>
      </c>
      <c r="EY36" s="30">
        <f t="shared" si="83"/>
        <v>0</v>
      </c>
      <c r="EZ36" s="31">
        <v>80500000</v>
      </c>
      <c r="FA36" s="30">
        <f t="shared" si="84"/>
        <v>3640000</v>
      </c>
      <c r="FB36" s="30">
        <f t="shared" si="85"/>
        <v>0</v>
      </c>
    </row>
    <row r="37" spans="1:160" ht="12.75" x14ac:dyDescent="0.2">
      <c r="A37" s="24" t="s">
        <v>179</v>
      </c>
      <c r="B37" s="24"/>
      <c r="C37" s="60" t="s">
        <v>214</v>
      </c>
      <c r="D37" s="25"/>
      <c r="E37" s="26"/>
      <c r="F37" s="26"/>
      <c r="G37" s="26"/>
      <c r="H37" s="26"/>
      <c r="I37" s="26"/>
      <c r="J37" s="27"/>
      <c r="K37" s="27"/>
      <c r="L37" s="27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9"/>
      <c r="X37" s="29"/>
      <c r="Y37" s="29"/>
      <c r="Z37" s="30"/>
      <c r="AA37" s="30"/>
      <c r="AB37" s="30"/>
      <c r="AC37" s="30"/>
      <c r="AD37" s="31"/>
      <c r="AE37" s="30"/>
      <c r="AF37" s="30"/>
      <c r="AG37" s="30"/>
      <c r="AH37" s="31"/>
      <c r="AI37" s="31"/>
      <c r="AJ37" s="30"/>
      <c r="AK37" s="30"/>
      <c r="AL37" s="30"/>
      <c r="AM37" s="31"/>
      <c r="AN37" s="31"/>
      <c r="AO37" s="31"/>
      <c r="AP37" s="30"/>
      <c r="AQ37" s="30"/>
      <c r="AR37" s="30"/>
      <c r="AS37" s="30"/>
      <c r="AT37" s="30"/>
      <c r="AU37" s="30"/>
      <c r="AV37" s="30"/>
      <c r="AW37" s="30"/>
      <c r="AX37" s="30"/>
      <c r="AY37" s="31"/>
      <c r="AZ37" s="31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8"/>
      <c r="BL37" s="30"/>
      <c r="BM37" s="34"/>
      <c r="BN37" s="45">
        <v>1465000</v>
      </c>
      <c r="BO37" s="32">
        <f t="shared" si="27"/>
        <v>1465000</v>
      </c>
      <c r="BP37" s="45">
        <v>0</v>
      </c>
      <c r="BQ37" s="48">
        <f t="shared" si="28"/>
        <v>0</v>
      </c>
      <c r="BR37" s="48">
        <f t="shared" si="29"/>
        <v>-1465000</v>
      </c>
      <c r="BS37" s="45">
        <f t="shared" si="95"/>
        <v>0</v>
      </c>
      <c r="BT37" s="49">
        <f t="shared" si="30"/>
        <v>0</v>
      </c>
      <c r="BU37" s="49">
        <f t="shared" si="31"/>
        <v>-1465000</v>
      </c>
      <c r="BV37" s="49">
        <f t="shared" si="32"/>
        <v>0</v>
      </c>
      <c r="BW37" s="45">
        <v>0</v>
      </c>
      <c r="BX37" s="48">
        <f t="shared" si="33"/>
        <v>0</v>
      </c>
      <c r="BY37" s="48">
        <f t="shared" si="34"/>
        <v>-1465000</v>
      </c>
      <c r="BZ37" s="48">
        <f t="shared" si="35"/>
        <v>0</v>
      </c>
      <c r="CA37" s="45">
        <v>1000000</v>
      </c>
      <c r="CB37" s="8">
        <f t="shared" si="36"/>
        <v>1000000</v>
      </c>
      <c r="CC37" s="8">
        <f t="shared" si="37"/>
        <v>-465000</v>
      </c>
      <c r="CD37" s="8">
        <f t="shared" si="6"/>
        <v>1000000</v>
      </c>
      <c r="CE37" s="8">
        <f t="shared" si="38"/>
        <v>1000000</v>
      </c>
      <c r="CF37" s="45">
        <v>1000000</v>
      </c>
      <c r="CG37" s="8">
        <f t="shared" si="39"/>
        <v>1000000</v>
      </c>
      <c r="CH37" s="8">
        <f t="shared" si="40"/>
        <v>-465000</v>
      </c>
      <c r="CI37" s="8">
        <f t="shared" si="41"/>
        <v>1000000</v>
      </c>
      <c r="CJ37" s="8">
        <f t="shared" si="42"/>
        <v>0</v>
      </c>
      <c r="CK37" s="45">
        <v>1000000</v>
      </c>
      <c r="CL37" s="8">
        <f t="shared" si="7"/>
        <v>1000000</v>
      </c>
      <c r="CM37" s="8">
        <f t="shared" si="43"/>
        <v>-465000</v>
      </c>
      <c r="CN37" s="8">
        <f t="shared" si="44"/>
        <v>0</v>
      </c>
      <c r="CO37" s="45">
        <v>4604123</v>
      </c>
      <c r="CP37" s="45">
        <f t="shared" si="45"/>
        <v>3139123</v>
      </c>
      <c r="CQ37" s="8">
        <f t="shared" si="46"/>
        <v>3604123</v>
      </c>
      <c r="CR37" s="45">
        <v>0</v>
      </c>
      <c r="CS37" s="32"/>
      <c r="CT37" s="45">
        <f t="shared" si="47"/>
        <v>0</v>
      </c>
      <c r="CU37" s="8">
        <f t="shared" si="48"/>
        <v>-1000000</v>
      </c>
      <c r="CV37" s="45">
        <f t="shared" si="49"/>
        <v>-4604123</v>
      </c>
      <c r="CW37" s="45">
        <f t="shared" si="50"/>
        <v>0</v>
      </c>
      <c r="CX37" s="45">
        <v>1000000</v>
      </c>
      <c r="CY37" s="8">
        <f t="shared" si="51"/>
        <v>0</v>
      </c>
      <c r="CZ37" s="45">
        <f t="shared" si="52"/>
        <v>-3604123</v>
      </c>
      <c r="DA37" s="45">
        <f t="shared" si="53"/>
        <v>1000000</v>
      </c>
      <c r="DB37" s="45">
        <v>1000000</v>
      </c>
      <c r="DC37" s="8">
        <f t="shared" si="54"/>
        <v>0</v>
      </c>
      <c r="DD37" s="45">
        <f t="shared" si="55"/>
        <v>-3604123</v>
      </c>
      <c r="DE37" s="45">
        <f t="shared" si="56"/>
        <v>1000000</v>
      </c>
      <c r="DF37" s="45">
        <f t="shared" si="57"/>
        <v>0</v>
      </c>
      <c r="DG37" s="45">
        <v>1000000</v>
      </c>
      <c r="DH37" s="47">
        <f t="shared" si="58"/>
        <v>0</v>
      </c>
      <c r="DI37" s="45">
        <f t="shared" si="59"/>
        <v>-3604123</v>
      </c>
      <c r="DJ37" s="45">
        <f t="shared" si="60"/>
        <v>1000000</v>
      </c>
      <c r="DK37" s="45">
        <f t="shared" si="61"/>
        <v>0</v>
      </c>
      <c r="DL37" s="45"/>
      <c r="DM37" s="45">
        <f t="shared" si="62"/>
        <v>1000000</v>
      </c>
      <c r="DN37" s="45">
        <v>1000000</v>
      </c>
      <c r="DO37" s="45">
        <f t="shared" si="63"/>
        <v>0</v>
      </c>
      <c r="DP37" s="45"/>
      <c r="DQ37" s="45">
        <v>-18375</v>
      </c>
      <c r="DR37" s="45">
        <f t="shared" si="64"/>
        <v>981625</v>
      </c>
      <c r="DS37" s="45">
        <f t="shared" si="65"/>
        <v>-18375</v>
      </c>
      <c r="DT37" s="45">
        <v>-250000</v>
      </c>
      <c r="DU37" s="45">
        <f t="shared" si="66"/>
        <v>731625</v>
      </c>
      <c r="DV37" s="45">
        <f t="shared" si="67"/>
        <v>-268375</v>
      </c>
      <c r="DW37" s="45">
        <v>731625</v>
      </c>
      <c r="DX37" s="45">
        <v>0</v>
      </c>
      <c r="DY37" s="9"/>
      <c r="DZ37" s="8">
        <f t="shared" si="68"/>
        <v>-731625</v>
      </c>
      <c r="EA37" s="47">
        <v>0</v>
      </c>
      <c r="EB37" s="8">
        <f t="shared" si="69"/>
        <v>-731625</v>
      </c>
      <c r="EC37" s="8">
        <f t="shared" si="70"/>
        <v>0</v>
      </c>
      <c r="ED37" s="71" t="s">
        <v>270</v>
      </c>
      <c r="EE37" s="44">
        <v>0</v>
      </c>
      <c r="EF37" s="30">
        <f t="shared" si="71"/>
        <v>-731625</v>
      </c>
      <c r="EG37" s="30">
        <f t="shared" si="72"/>
        <v>0</v>
      </c>
      <c r="EH37" s="30">
        <f t="shared" si="73"/>
        <v>0</v>
      </c>
      <c r="EI37" s="44">
        <v>736898</v>
      </c>
      <c r="EJ37" s="30">
        <f t="shared" si="74"/>
        <v>5273</v>
      </c>
      <c r="EK37" s="30">
        <f t="shared" si="75"/>
        <v>736898</v>
      </c>
      <c r="EL37" s="30">
        <f t="shared" si="76"/>
        <v>736898</v>
      </c>
      <c r="EM37" s="44">
        <v>736898</v>
      </c>
      <c r="EN37" s="30">
        <f t="shared" si="90"/>
        <v>5273</v>
      </c>
      <c r="EO37" s="30">
        <f t="shared" si="91"/>
        <v>736898</v>
      </c>
      <c r="EP37" s="30">
        <f t="shared" si="92"/>
        <v>736898</v>
      </c>
      <c r="EQ37" s="30">
        <f t="shared" si="77"/>
        <v>0</v>
      </c>
      <c r="ER37" s="44">
        <v>736898</v>
      </c>
      <c r="ES37" s="30">
        <f t="shared" si="78"/>
        <v>5273</v>
      </c>
      <c r="ET37" s="30">
        <f t="shared" si="79"/>
        <v>736898</v>
      </c>
      <c r="EU37" s="30">
        <f t="shared" si="80"/>
        <v>736898</v>
      </c>
      <c r="EV37" s="30">
        <f t="shared" si="81"/>
        <v>0</v>
      </c>
      <c r="EW37" s="44">
        <v>736898</v>
      </c>
      <c r="EX37" s="30">
        <f t="shared" si="82"/>
        <v>5273</v>
      </c>
      <c r="EY37" s="30">
        <f t="shared" si="83"/>
        <v>0</v>
      </c>
      <c r="EZ37" s="31">
        <v>736898</v>
      </c>
      <c r="FA37" s="30">
        <f t="shared" si="84"/>
        <v>5273</v>
      </c>
      <c r="FB37" s="30">
        <f t="shared" si="85"/>
        <v>0</v>
      </c>
    </row>
    <row r="38" spans="1:160" ht="12.75" x14ac:dyDescent="0.2">
      <c r="A38" s="22" t="s">
        <v>22</v>
      </c>
      <c r="B38" s="23"/>
      <c r="C38" s="61" t="s">
        <v>186</v>
      </c>
      <c r="D38" s="25">
        <v>5515000</v>
      </c>
      <c r="E38" s="26">
        <v>5448093</v>
      </c>
      <c r="F38" s="26">
        <v>5239173</v>
      </c>
      <c r="G38" s="26">
        <v>657526</v>
      </c>
      <c r="H38" s="27"/>
      <c r="I38" s="26">
        <f t="shared" si="0"/>
        <v>657526</v>
      </c>
      <c r="J38" s="27">
        <v>-68362</v>
      </c>
      <c r="K38" s="27"/>
      <c r="L38" s="27">
        <f t="shared" si="1"/>
        <v>-68362</v>
      </c>
      <c r="M38" s="28">
        <f t="shared" si="8"/>
        <v>589164</v>
      </c>
      <c r="N38" s="28">
        <v>925806</v>
      </c>
      <c r="O38" s="28">
        <v>894719</v>
      </c>
      <c r="P38" s="28">
        <v>894719</v>
      </c>
      <c r="Q38" s="28">
        <v>813352</v>
      </c>
      <c r="R38" s="28">
        <v>894550</v>
      </c>
      <c r="S38" s="28">
        <v>0</v>
      </c>
      <c r="T38" s="28">
        <f t="shared" si="86"/>
        <v>0</v>
      </c>
      <c r="U38" s="28">
        <f t="shared" si="87"/>
        <v>894550</v>
      </c>
      <c r="V38" s="28">
        <f t="shared" si="2"/>
        <v>305386</v>
      </c>
      <c r="W38" s="29">
        <v>894550</v>
      </c>
      <c r="X38" s="29"/>
      <c r="Y38" s="29">
        <f t="shared" si="9"/>
        <v>894550</v>
      </c>
      <c r="Z38" s="30">
        <v>894550</v>
      </c>
      <c r="AA38" s="30">
        <f t="shared" si="10"/>
        <v>0</v>
      </c>
      <c r="AB38" s="30">
        <v>861405</v>
      </c>
      <c r="AC38" s="30">
        <v>861405</v>
      </c>
      <c r="AD38" s="31">
        <v>876659</v>
      </c>
      <c r="AE38" s="30"/>
      <c r="AF38" s="30">
        <f>AC38-SUM(W38:X38)</f>
        <v>-33145</v>
      </c>
      <c r="AG38" s="30">
        <f>AC38-Z38</f>
        <v>-33145</v>
      </c>
      <c r="AH38" s="31">
        <v>876659</v>
      </c>
      <c r="AI38" s="31">
        <v>861405</v>
      </c>
      <c r="AJ38" s="30">
        <f t="shared" si="93"/>
        <v>-17891</v>
      </c>
      <c r="AK38" s="30">
        <f t="shared" si="11"/>
        <v>-17891</v>
      </c>
      <c r="AL38" s="30">
        <f t="shared" si="12"/>
        <v>15254</v>
      </c>
      <c r="AM38" s="31">
        <f t="shared" si="13"/>
        <v>-17891</v>
      </c>
      <c r="AN38" s="31">
        <f t="shared" si="14"/>
        <v>-17891</v>
      </c>
      <c r="AO38" s="31">
        <f t="shared" si="4"/>
        <v>15254</v>
      </c>
      <c r="AP38" s="30">
        <v>861405</v>
      </c>
      <c r="AQ38" s="30">
        <f t="shared" si="5"/>
        <v>-33145</v>
      </c>
      <c r="AR38" s="30">
        <f t="shared" si="15"/>
        <v>-33145</v>
      </c>
      <c r="AS38" s="30">
        <f t="shared" si="16"/>
        <v>-33145</v>
      </c>
      <c r="AT38" s="30"/>
      <c r="AU38" s="30">
        <f t="shared" si="17"/>
        <v>861405</v>
      </c>
      <c r="AV38" s="30">
        <v>898474</v>
      </c>
      <c r="AW38" s="30">
        <f t="shared" si="18"/>
        <v>37069</v>
      </c>
      <c r="AX38" s="30">
        <v>872383</v>
      </c>
      <c r="AY38" s="31">
        <f t="shared" si="88"/>
        <v>10978</v>
      </c>
      <c r="AZ38" s="31">
        <f t="shared" si="89"/>
        <v>-26091</v>
      </c>
      <c r="BA38" s="30">
        <v>872383</v>
      </c>
      <c r="BB38" s="30">
        <f t="shared" si="19"/>
        <v>10978</v>
      </c>
      <c r="BC38" s="30">
        <f t="shared" si="20"/>
        <v>-26091</v>
      </c>
      <c r="BD38" s="30">
        <f t="shared" si="21"/>
        <v>0</v>
      </c>
      <c r="BE38" s="30">
        <v>901178</v>
      </c>
      <c r="BF38" s="30">
        <v>887543</v>
      </c>
      <c r="BG38" s="30">
        <v>887543</v>
      </c>
      <c r="BH38" s="30">
        <f t="shared" si="22"/>
        <v>26138</v>
      </c>
      <c r="BI38" s="30">
        <f t="shared" si="23"/>
        <v>-10931</v>
      </c>
      <c r="BJ38" s="30">
        <f t="shared" si="24"/>
        <v>15160</v>
      </c>
      <c r="BK38" s="8">
        <f t="shared" si="25"/>
        <v>-13635</v>
      </c>
      <c r="BL38" s="30">
        <v>25000</v>
      </c>
      <c r="BM38" s="34">
        <f t="shared" si="26"/>
        <v>862543</v>
      </c>
      <c r="BN38" s="45">
        <v>795441</v>
      </c>
      <c r="BO38" s="32">
        <f t="shared" si="27"/>
        <v>-67102</v>
      </c>
      <c r="BP38" s="45">
        <v>795548</v>
      </c>
      <c r="BQ38" s="48">
        <f t="shared" si="28"/>
        <v>-66995</v>
      </c>
      <c r="BR38" s="48">
        <f t="shared" si="29"/>
        <v>107</v>
      </c>
      <c r="BS38" s="45">
        <f t="shared" si="95"/>
        <v>795548</v>
      </c>
      <c r="BT38" s="49">
        <f t="shared" si="30"/>
        <v>-66995</v>
      </c>
      <c r="BU38" s="49">
        <f t="shared" si="31"/>
        <v>107</v>
      </c>
      <c r="BV38" s="49">
        <f t="shared" si="32"/>
        <v>0</v>
      </c>
      <c r="BW38" s="45">
        <v>795548</v>
      </c>
      <c r="BX38" s="48">
        <f t="shared" si="33"/>
        <v>-66995</v>
      </c>
      <c r="BY38" s="48">
        <f t="shared" si="34"/>
        <v>107</v>
      </c>
      <c r="BZ38" s="48">
        <f t="shared" si="35"/>
        <v>0</v>
      </c>
      <c r="CA38" s="45">
        <v>795548</v>
      </c>
      <c r="CB38" s="8">
        <f t="shared" si="36"/>
        <v>-66995</v>
      </c>
      <c r="CC38" s="8">
        <f t="shared" si="37"/>
        <v>107</v>
      </c>
      <c r="CD38" s="8">
        <f t="shared" si="6"/>
        <v>0</v>
      </c>
      <c r="CE38" s="8">
        <f t="shared" si="38"/>
        <v>0</v>
      </c>
      <c r="CF38" s="45">
        <v>795548</v>
      </c>
      <c r="CG38" s="8">
        <f t="shared" si="39"/>
        <v>-66995</v>
      </c>
      <c r="CH38" s="8">
        <f t="shared" si="40"/>
        <v>107</v>
      </c>
      <c r="CI38" s="8">
        <f t="shared" si="41"/>
        <v>0</v>
      </c>
      <c r="CJ38" s="8">
        <f t="shared" si="42"/>
        <v>0</v>
      </c>
      <c r="CK38" s="45">
        <v>795548</v>
      </c>
      <c r="CL38" s="8">
        <f t="shared" si="7"/>
        <v>-66995</v>
      </c>
      <c r="CM38" s="8">
        <f t="shared" si="43"/>
        <v>107</v>
      </c>
      <c r="CN38" s="8">
        <f t="shared" si="44"/>
        <v>0</v>
      </c>
      <c r="CO38" s="45">
        <v>0</v>
      </c>
      <c r="CP38" s="45">
        <f t="shared" si="45"/>
        <v>-795441</v>
      </c>
      <c r="CQ38" s="8">
        <f t="shared" si="46"/>
        <v>-795548</v>
      </c>
      <c r="CR38" s="45">
        <v>0</v>
      </c>
      <c r="CS38" s="32"/>
      <c r="CT38" s="45">
        <f t="shared" si="47"/>
        <v>0</v>
      </c>
      <c r="CU38" s="8">
        <f t="shared" si="48"/>
        <v>-795548</v>
      </c>
      <c r="CV38" s="45">
        <f t="shared" si="49"/>
        <v>0</v>
      </c>
      <c r="CW38" s="45">
        <f t="shared" si="50"/>
        <v>0</v>
      </c>
      <c r="CX38" s="45">
        <v>795548</v>
      </c>
      <c r="CY38" s="8">
        <f t="shared" si="51"/>
        <v>0</v>
      </c>
      <c r="CZ38" s="45">
        <f t="shared" si="52"/>
        <v>795548</v>
      </c>
      <c r="DA38" s="45">
        <f t="shared" si="53"/>
        <v>795548</v>
      </c>
      <c r="DB38" s="45">
        <v>795548</v>
      </c>
      <c r="DC38" s="8">
        <f t="shared" si="54"/>
        <v>0</v>
      </c>
      <c r="DD38" s="45">
        <f t="shared" si="55"/>
        <v>795548</v>
      </c>
      <c r="DE38" s="45">
        <f t="shared" si="56"/>
        <v>795548</v>
      </c>
      <c r="DF38" s="45">
        <f t="shared" si="57"/>
        <v>0</v>
      </c>
      <c r="DG38" s="45">
        <v>795548</v>
      </c>
      <c r="DH38" s="47">
        <f t="shared" si="58"/>
        <v>0</v>
      </c>
      <c r="DI38" s="45">
        <f t="shared" si="59"/>
        <v>795548</v>
      </c>
      <c r="DJ38" s="45">
        <f t="shared" si="60"/>
        <v>795548</v>
      </c>
      <c r="DK38" s="45">
        <f t="shared" si="61"/>
        <v>0</v>
      </c>
      <c r="DL38" s="45"/>
      <c r="DM38" s="45">
        <f t="shared" si="62"/>
        <v>795548</v>
      </c>
      <c r="DN38" s="45">
        <v>795548</v>
      </c>
      <c r="DO38" s="45">
        <f t="shared" si="63"/>
        <v>0</v>
      </c>
      <c r="DP38" s="45"/>
      <c r="DQ38" s="45">
        <v>0</v>
      </c>
      <c r="DR38" s="45">
        <f t="shared" si="64"/>
        <v>795548</v>
      </c>
      <c r="DS38" s="45">
        <f t="shared" si="65"/>
        <v>0</v>
      </c>
      <c r="DT38" s="45">
        <v>-23866</v>
      </c>
      <c r="DU38" s="45">
        <f t="shared" si="66"/>
        <v>771682</v>
      </c>
      <c r="DV38" s="45">
        <f t="shared" si="67"/>
        <v>-23866</v>
      </c>
      <c r="DW38" s="45">
        <v>771682</v>
      </c>
      <c r="DX38" s="45">
        <v>771681</v>
      </c>
      <c r="DY38" s="9"/>
      <c r="DZ38" s="8">
        <f t="shared" si="68"/>
        <v>-1</v>
      </c>
      <c r="EA38" s="47">
        <v>771681</v>
      </c>
      <c r="EB38" s="8">
        <f t="shared" si="69"/>
        <v>-1</v>
      </c>
      <c r="EC38" s="8">
        <f t="shared" si="70"/>
        <v>0</v>
      </c>
      <c r="ED38" s="73"/>
      <c r="EE38" s="44">
        <v>771681</v>
      </c>
      <c r="EF38" s="30">
        <f t="shared" si="71"/>
        <v>-1</v>
      </c>
      <c r="EG38" s="30">
        <f t="shared" si="72"/>
        <v>0</v>
      </c>
      <c r="EH38" s="30">
        <f t="shared" si="73"/>
        <v>0</v>
      </c>
      <c r="EI38" s="44">
        <v>0</v>
      </c>
      <c r="EJ38" s="30">
        <f t="shared" si="74"/>
        <v>-771682</v>
      </c>
      <c r="EK38" s="30">
        <f t="shared" si="75"/>
        <v>-771681</v>
      </c>
      <c r="EL38" s="30">
        <f t="shared" si="76"/>
        <v>-771681</v>
      </c>
      <c r="EM38" s="44">
        <v>0</v>
      </c>
      <c r="EN38" s="30">
        <f t="shared" si="90"/>
        <v>-771682</v>
      </c>
      <c r="EO38" s="30">
        <f t="shared" si="91"/>
        <v>-771681</v>
      </c>
      <c r="EP38" s="30">
        <f t="shared" si="92"/>
        <v>-771681</v>
      </c>
      <c r="EQ38" s="30">
        <f t="shared" si="77"/>
        <v>0</v>
      </c>
      <c r="ER38" s="44">
        <v>771681</v>
      </c>
      <c r="ES38" s="30">
        <f t="shared" si="78"/>
        <v>-1</v>
      </c>
      <c r="ET38" s="30">
        <f t="shared" si="79"/>
        <v>0</v>
      </c>
      <c r="EU38" s="30">
        <f t="shared" si="80"/>
        <v>0</v>
      </c>
      <c r="EV38" s="30">
        <f t="shared" si="81"/>
        <v>771681</v>
      </c>
      <c r="EW38" s="44">
        <v>771681</v>
      </c>
      <c r="EX38" s="30">
        <f t="shared" si="82"/>
        <v>-1</v>
      </c>
      <c r="EY38" s="30">
        <f t="shared" si="83"/>
        <v>0</v>
      </c>
      <c r="EZ38" s="31">
        <v>771681</v>
      </c>
      <c r="FA38" s="30">
        <f t="shared" si="84"/>
        <v>-1</v>
      </c>
      <c r="FB38" s="30">
        <f t="shared" si="85"/>
        <v>0</v>
      </c>
    </row>
    <row r="39" spans="1:160" ht="12.75" x14ac:dyDescent="0.2">
      <c r="A39" s="22" t="s">
        <v>8</v>
      </c>
      <c r="B39" s="23"/>
      <c r="C39" s="61" t="s">
        <v>161</v>
      </c>
      <c r="D39" s="25">
        <v>27749039</v>
      </c>
      <c r="E39" s="26">
        <v>29310695</v>
      </c>
      <c r="F39" s="26">
        <v>28124478</v>
      </c>
      <c r="G39" s="26">
        <v>25290411</v>
      </c>
      <c r="H39" s="27"/>
      <c r="I39" s="26">
        <f t="shared" si="0"/>
        <v>25290411</v>
      </c>
      <c r="J39" s="27">
        <v>-22557</v>
      </c>
      <c r="K39" s="27"/>
      <c r="L39" s="27">
        <f t="shared" si="1"/>
        <v>-22557</v>
      </c>
      <c r="M39" s="28">
        <f t="shared" si="8"/>
        <v>25267854</v>
      </c>
      <c r="N39" s="28">
        <v>25267854</v>
      </c>
      <c r="O39" s="28">
        <v>25162278</v>
      </c>
      <c r="P39" s="28">
        <v>25162278</v>
      </c>
      <c r="Q39" s="28">
        <v>24862278</v>
      </c>
      <c r="R39" s="28">
        <v>25162278</v>
      </c>
      <c r="S39" s="28">
        <v>3.1789999999999999E-2</v>
      </c>
      <c r="T39" s="28">
        <f t="shared" si="86"/>
        <v>-799908.81761999999</v>
      </c>
      <c r="U39" s="28">
        <f t="shared" si="87"/>
        <v>24362369.182379998</v>
      </c>
      <c r="V39" s="28">
        <f t="shared" si="2"/>
        <v>-905484.81762000173</v>
      </c>
      <c r="W39" s="29">
        <v>24362278</v>
      </c>
      <c r="X39" s="29"/>
      <c r="Y39" s="29">
        <f t="shared" si="9"/>
        <v>24362278</v>
      </c>
      <c r="Z39" s="30">
        <v>24362278</v>
      </c>
      <c r="AA39" s="30">
        <f t="shared" si="10"/>
        <v>0</v>
      </c>
      <c r="AB39" s="30">
        <v>24362278</v>
      </c>
      <c r="AC39" s="30">
        <v>24362278</v>
      </c>
      <c r="AD39" s="31">
        <v>24362278</v>
      </c>
      <c r="AE39" s="30"/>
      <c r="AF39" s="30"/>
      <c r="AG39" s="30"/>
      <c r="AH39" s="31">
        <v>24362278</v>
      </c>
      <c r="AI39" s="31">
        <v>24362278</v>
      </c>
      <c r="AJ39" s="30">
        <f t="shared" si="93"/>
        <v>0</v>
      </c>
      <c r="AK39" s="30">
        <f t="shared" si="11"/>
        <v>0</v>
      </c>
      <c r="AL39" s="30">
        <f t="shared" si="12"/>
        <v>0</v>
      </c>
      <c r="AM39" s="31">
        <f t="shared" si="13"/>
        <v>0</v>
      </c>
      <c r="AN39" s="31">
        <f t="shared" si="14"/>
        <v>0</v>
      </c>
      <c r="AO39" s="31">
        <f t="shared" si="4"/>
        <v>0</v>
      </c>
      <c r="AP39" s="30">
        <v>24362278</v>
      </c>
      <c r="AQ39" s="30">
        <f t="shared" si="5"/>
        <v>0</v>
      </c>
      <c r="AR39" s="30">
        <f t="shared" si="15"/>
        <v>0</v>
      </c>
      <c r="AS39" s="30">
        <f t="shared" si="16"/>
        <v>0</v>
      </c>
      <c r="AT39" s="30"/>
      <c r="AU39" s="30">
        <f t="shared" si="17"/>
        <v>24362278</v>
      </c>
      <c r="AV39" s="30">
        <v>24403482</v>
      </c>
      <c r="AW39" s="30">
        <f t="shared" si="18"/>
        <v>41204</v>
      </c>
      <c r="AX39" s="30">
        <v>24371335</v>
      </c>
      <c r="AY39" s="31">
        <f t="shared" si="88"/>
        <v>9057</v>
      </c>
      <c r="AZ39" s="31">
        <f t="shared" si="89"/>
        <v>-32147</v>
      </c>
      <c r="BA39" s="30">
        <v>24371335</v>
      </c>
      <c r="BB39" s="30">
        <f t="shared" si="19"/>
        <v>9057</v>
      </c>
      <c r="BC39" s="30">
        <f t="shared" si="20"/>
        <v>-32147</v>
      </c>
      <c r="BD39" s="30">
        <f t="shared" si="21"/>
        <v>0</v>
      </c>
      <c r="BE39" s="30">
        <v>23903482</v>
      </c>
      <c r="BF39" s="30">
        <v>24385395</v>
      </c>
      <c r="BG39" s="30">
        <v>24385395</v>
      </c>
      <c r="BH39" s="30">
        <f t="shared" si="22"/>
        <v>23117</v>
      </c>
      <c r="BI39" s="30">
        <f t="shared" si="23"/>
        <v>-18087</v>
      </c>
      <c r="BJ39" s="30">
        <f t="shared" si="24"/>
        <v>14060</v>
      </c>
      <c r="BK39" s="8">
        <f t="shared" si="25"/>
        <v>481913</v>
      </c>
      <c r="BL39" s="30">
        <f>25000+104847</f>
        <v>129847</v>
      </c>
      <c r="BM39" s="34">
        <f t="shared" si="26"/>
        <v>24255548</v>
      </c>
      <c r="BN39" s="45">
        <v>24276033</v>
      </c>
      <c r="BO39" s="32">
        <f t="shared" si="27"/>
        <v>20485</v>
      </c>
      <c r="BP39" s="45">
        <v>23974543</v>
      </c>
      <c r="BQ39" s="48">
        <f t="shared" si="28"/>
        <v>-281005</v>
      </c>
      <c r="BR39" s="48">
        <f t="shared" si="29"/>
        <v>-301490</v>
      </c>
      <c r="BS39" s="45">
        <f t="shared" si="95"/>
        <v>23974543</v>
      </c>
      <c r="BT39" s="49">
        <f t="shared" si="30"/>
        <v>-281005</v>
      </c>
      <c r="BU39" s="49">
        <f t="shared" si="31"/>
        <v>-301490</v>
      </c>
      <c r="BV39" s="49">
        <f t="shared" si="32"/>
        <v>0</v>
      </c>
      <c r="BW39" s="45">
        <v>24248033</v>
      </c>
      <c r="BX39" s="48">
        <f t="shared" si="33"/>
        <v>-7515</v>
      </c>
      <c r="BY39" s="48">
        <f t="shared" si="34"/>
        <v>-28000</v>
      </c>
      <c r="BZ39" s="48">
        <f t="shared" si="35"/>
        <v>273490</v>
      </c>
      <c r="CA39" s="45">
        <v>24248033</v>
      </c>
      <c r="CB39" s="8">
        <f t="shared" si="36"/>
        <v>-7515</v>
      </c>
      <c r="CC39" s="8">
        <f t="shared" si="37"/>
        <v>-28000</v>
      </c>
      <c r="CD39" s="8">
        <f t="shared" si="6"/>
        <v>273490</v>
      </c>
      <c r="CE39" s="8">
        <f t="shared" si="38"/>
        <v>0</v>
      </c>
      <c r="CF39" s="45">
        <v>23974543</v>
      </c>
      <c r="CG39" s="8">
        <f t="shared" si="39"/>
        <v>-281005</v>
      </c>
      <c r="CH39" s="8">
        <f t="shared" si="40"/>
        <v>-301490</v>
      </c>
      <c r="CI39" s="8">
        <f t="shared" si="41"/>
        <v>0</v>
      </c>
      <c r="CJ39" s="8">
        <f t="shared" si="42"/>
        <v>-273490</v>
      </c>
      <c r="CK39" s="45">
        <v>23974543</v>
      </c>
      <c r="CL39" s="8">
        <f t="shared" si="7"/>
        <v>-281005</v>
      </c>
      <c r="CM39" s="8">
        <f t="shared" si="43"/>
        <v>-301490</v>
      </c>
      <c r="CN39" s="8">
        <f t="shared" si="44"/>
        <v>0</v>
      </c>
      <c r="CO39" s="45">
        <v>29026034</v>
      </c>
      <c r="CP39" s="45">
        <f t="shared" si="45"/>
        <v>4750001</v>
      </c>
      <c r="CQ39" s="8">
        <f t="shared" si="46"/>
        <v>5051491</v>
      </c>
      <c r="CR39" s="45">
        <v>28906725</v>
      </c>
      <c r="CS39" s="32"/>
      <c r="CT39" s="45">
        <f t="shared" si="47"/>
        <v>28906725</v>
      </c>
      <c r="CU39" s="8">
        <f t="shared" si="48"/>
        <v>4932182</v>
      </c>
      <c r="CV39" s="45">
        <f t="shared" si="49"/>
        <v>-119309</v>
      </c>
      <c r="CW39" s="45">
        <f t="shared" si="50"/>
        <v>0</v>
      </c>
      <c r="CX39" s="45">
        <v>28980158</v>
      </c>
      <c r="CY39" s="8">
        <f t="shared" si="51"/>
        <v>5005615</v>
      </c>
      <c r="CZ39" s="45">
        <f t="shared" si="52"/>
        <v>-45876</v>
      </c>
      <c r="DA39" s="45">
        <f t="shared" si="53"/>
        <v>73433</v>
      </c>
      <c r="DB39" s="45">
        <v>28980158</v>
      </c>
      <c r="DC39" s="8">
        <f t="shared" si="54"/>
        <v>5005615</v>
      </c>
      <c r="DD39" s="45">
        <f t="shared" si="55"/>
        <v>-45876</v>
      </c>
      <c r="DE39" s="45">
        <f t="shared" si="56"/>
        <v>73433</v>
      </c>
      <c r="DF39" s="45">
        <f t="shared" si="57"/>
        <v>0</v>
      </c>
      <c r="DG39" s="45">
        <v>28906725</v>
      </c>
      <c r="DH39" s="47">
        <f t="shared" si="58"/>
        <v>4932182</v>
      </c>
      <c r="DI39" s="45">
        <f t="shared" si="59"/>
        <v>-119309</v>
      </c>
      <c r="DJ39" s="45">
        <f t="shared" si="60"/>
        <v>0</v>
      </c>
      <c r="DK39" s="45">
        <f t="shared" si="61"/>
        <v>-73433</v>
      </c>
      <c r="DL39" s="45"/>
      <c r="DM39" s="45">
        <f t="shared" si="62"/>
        <v>28906725</v>
      </c>
      <c r="DN39" s="45">
        <v>28906725</v>
      </c>
      <c r="DO39" s="45">
        <f t="shared" si="63"/>
        <v>4932182</v>
      </c>
      <c r="DP39" s="45"/>
      <c r="DQ39" s="45">
        <v>0</v>
      </c>
      <c r="DR39" s="45">
        <f t="shared" si="64"/>
        <v>28906725</v>
      </c>
      <c r="DS39" s="45">
        <f t="shared" si="65"/>
        <v>4932182</v>
      </c>
      <c r="DT39" s="45"/>
      <c r="DU39" s="45">
        <f t="shared" si="66"/>
        <v>28906725</v>
      </c>
      <c r="DV39" s="45">
        <f t="shared" si="67"/>
        <v>4932182</v>
      </c>
      <c r="DW39" s="45">
        <v>28906725</v>
      </c>
      <c r="DX39" s="45">
        <v>28906725</v>
      </c>
      <c r="DY39" s="9"/>
      <c r="DZ39" s="8">
        <f t="shared" si="68"/>
        <v>0</v>
      </c>
      <c r="EA39" s="47">
        <v>23920227</v>
      </c>
      <c r="EB39" s="8">
        <f t="shared" si="69"/>
        <v>-4986498</v>
      </c>
      <c r="EC39" s="8">
        <f t="shared" si="70"/>
        <v>-4986498</v>
      </c>
      <c r="ED39" s="73"/>
      <c r="EE39" s="44">
        <v>23920227</v>
      </c>
      <c r="EF39" s="30">
        <f t="shared" si="71"/>
        <v>-4986498</v>
      </c>
      <c r="EG39" s="30">
        <f t="shared" si="72"/>
        <v>-4986498</v>
      </c>
      <c r="EH39" s="30">
        <f t="shared" si="73"/>
        <v>0</v>
      </c>
      <c r="EI39" s="44">
        <v>28473125</v>
      </c>
      <c r="EJ39" s="30">
        <f t="shared" si="74"/>
        <v>-433600</v>
      </c>
      <c r="EK39" s="30">
        <f t="shared" si="75"/>
        <v>-433600</v>
      </c>
      <c r="EL39" s="30">
        <f t="shared" si="76"/>
        <v>4552898</v>
      </c>
      <c r="EM39" s="44">
        <v>28473125</v>
      </c>
      <c r="EN39" s="30">
        <f t="shared" si="90"/>
        <v>-433600</v>
      </c>
      <c r="EO39" s="30">
        <f t="shared" si="91"/>
        <v>-433600</v>
      </c>
      <c r="EP39" s="30">
        <f t="shared" si="92"/>
        <v>4552898</v>
      </c>
      <c r="EQ39" s="30">
        <f t="shared" si="77"/>
        <v>0</v>
      </c>
      <c r="ER39" s="44">
        <v>23920227</v>
      </c>
      <c r="ES39" s="30">
        <f t="shared" si="78"/>
        <v>-4986498</v>
      </c>
      <c r="ET39" s="30">
        <f t="shared" si="79"/>
        <v>-4986498</v>
      </c>
      <c r="EU39" s="30">
        <f t="shared" si="80"/>
        <v>0</v>
      </c>
      <c r="EV39" s="30">
        <f t="shared" si="81"/>
        <v>-4552898</v>
      </c>
      <c r="EW39" s="44">
        <v>23920227</v>
      </c>
      <c r="EX39" s="30">
        <f t="shared" si="82"/>
        <v>-4986498</v>
      </c>
      <c r="EY39" s="30">
        <f t="shared" si="83"/>
        <v>0</v>
      </c>
      <c r="EZ39" s="31">
        <v>23920227</v>
      </c>
      <c r="FA39" s="30">
        <f t="shared" si="84"/>
        <v>-4986498</v>
      </c>
      <c r="FB39" s="30">
        <f t="shared" si="85"/>
        <v>0</v>
      </c>
    </row>
    <row r="40" spans="1:160" ht="12.75" x14ac:dyDescent="0.2">
      <c r="A40" s="22" t="s">
        <v>9</v>
      </c>
      <c r="B40" s="23"/>
      <c r="C40" s="61" t="s">
        <v>137</v>
      </c>
      <c r="D40" s="25">
        <v>13215863</v>
      </c>
      <c r="E40" s="26">
        <v>13391393</v>
      </c>
      <c r="F40" s="26">
        <v>12562938</v>
      </c>
      <c r="G40" s="26">
        <v>9294804</v>
      </c>
      <c r="H40" s="27"/>
      <c r="I40" s="26">
        <f t="shared" si="0"/>
        <v>9294804</v>
      </c>
      <c r="J40" s="27"/>
      <c r="K40" s="27"/>
      <c r="L40" s="27">
        <f t="shared" si="1"/>
        <v>0</v>
      </c>
      <c r="M40" s="28">
        <f t="shared" si="8"/>
        <v>9294804</v>
      </c>
      <c r="N40" s="28">
        <v>9294804</v>
      </c>
      <c r="O40" s="28">
        <v>9294804</v>
      </c>
      <c r="P40" s="28">
        <v>9294804</v>
      </c>
      <c r="Q40" s="28">
        <v>9294804</v>
      </c>
      <c r="R40" s="28">
        <v>9294804</v>
      </c>
      <c r="S40" s="28">
        <v>2.1520000000000001E-2</v>
      </c>
      <c r="T40" s="28">
        <f t="shared" si="86"/>
        <v>-200024.18208</v>
      </c>
      <c r="U40" s="28">
        <f t="shared" si="87"/>
        <v>9094779.8179199994</v>
      </c>
      <c r="V40" s="28">
        <f t="shared" si="2"/>
        <v>-200024.18208000064</v>
      </c>
      <c r="W40" s="29">
        <v>9094804</v>
      </c>
      <c r="X40" s="29"/>
      <c r="Y40" s="29">
        <f t="shared" si="9"/>
        <v>9094804</v>
      </c>
      <c r="Z40" s="30">
        <v>9655545</v>
      </c>
      <c r="AA40" s="30">
        <f t="shared" si="10"/>
        <v>560741</v>
      </c>
      <c r="AB40" s="30">
        <v>9094805</v>
      </c>
      <c r="AC40" s="30">
        <v>9575175</v>
      </c>
      <c r="AD40" s="31">
        <v>8344804</v>
      </c>
      <c r="AE40" s="30">
        <f t="shared" ref="AE40:AE54" si="96">AC40-AB40</f>
        <v>480370</v>
      </c>
      <c r="AF40" s="30">
        <f>AC40-W40+X40</f>
        <v>480371</v>
      </c>
      <c r="AG40" s="30">
        <f>AC40-Z40</f>
        <v>-80370</v>
      </c>
      <c r="AH40" s="31">
        <v>8344804</v>
      </c>
      <c r="AI40" s="31">
        <v>9575175</v>
      </c>
      <c r="AJ40" s="30">
        <f t="shared" si="93"/>
        <v>-750000</v>
      </c>
      <c r="AK40" s="30">
        <f t="shared" si="11"/>
        <v>-1310741</v>
      </c>
      <c r="AL40" s="30">
        <f t="shared" si="12"/>
        <v>-1230371</v>
      </c>
      <c r="AM40" s="31">
        <f t="shared" si="13"/>
        <v>-750000</v>
      </c>
      <c r="AN40" s="31">
        <f t="shared" si="14"/>
        <v>-1310741</v>
      </c>
      <c r="AO40" s="31">
        <f t="shared" si="4"/>
        <v>-1230371</v>
      </c>
      <c r="AP40" s="30">
        <v>9575175</v>
      </c>
      <c r="AQ40" s="30">
        <f t="shared" si="5"/>
        <v>480371</v>
      </c>
      <c r="AR40" s="30">
        <f t="shared" si="15"/>
        <v>-80370</v>
      </c>
      <c r="AS40" s="30">
        <f t="shared" si="16"/>
        <v>480371</v>
      </c>
      <c r="AT40" s="30"/>
      <c r="AU40" s="30">
        <f t="shared" si="17"/>
        <v>9575175</v>
      </c>
      <c r="AV40" s="30">
        <v>9575175</v>
      </c>
      <c r="AW40" s="30">
        <f t="shared" si="18"/>
        <v>0</v>
      </c>
      <c r="AX40" s="30">
        <v>9094804</v>
      </c>
      <c r="AY40" s="31">
        <f t="shared" si="88"/>
        <v>-480371</v>
      </c>
      <c r="AZ40" s="31">
        <f t="shared" si="89"/>
        <v>-480371</v>
      </c>
      <c r="BA40" s="30">
        <v>9575175</v>
      </c>
      <c r="BB40" s="30">
        <f t="shared" si="19"/>
        <v>0</v>
      </c>
      <c r="BC40" s="30">
        <f t="shared" si="20"/>
        <v>0</v>
      </c>
      <c r="BD40" s="30">
        <f t="shared" si="21"/>
        <v>480371</v>
      </c>
      <c r="BE40" s="30">
        <v>9094804</v>
      </c>
      <c r="BF40" s="30">
        <v>9575175</v>
      </c>
      <c r="BG40" s="30">
        <v>9575175</v>
      </c>
      <c r="BH40" s="30">
        <f t="shared" si="22"/>
        <v>0</v>
      </c>
      <c r="BI40" s="30">
        <f t="shared" si="23"/>
        <v>0</v>
      </c>
      <c r="BJ40" s="30">
        <f t="shared" si="24"/>
        <v>0</v>
      </c>
      <c r="BK40" s="8">
        <f t="shared" si="25"/>
        <v>480371</v>
      </c>
      <c r="BL40" s="30"/>
      <c r="BM40" s="34">
        <f t="shared" si="26"/>
        <v>9575175</v>
      </c>
      <c r="BN40" s="45">
        <v>9575175</v>
      </c>
      <c r="BO40" s="32">
        <f t="shared" si="27"/>
        <v>0</v>
      </c>
      <c r="BP40" s="45">
        <v>9094804</v>
      </c>
      <c r="BQ40" s="48">
        <f t="shared" si="28"/>
        <v>-480371</v>
      </c>
      <c r="BR40" s="48">
        <f t="shared" si="29"/>
        <v>-480371</v>
      </c>
      <c r="BS40" s="45">
        <f t="shared" si="95"/>
        <v>9094804</v>
      </c>
      <c r="BT40" s="49">
        <f t="shared" si="30"/>
        <v>-480371</v>
      </c>
      <c r="BU40" s="49">
        <f t="shared" si="31"/>
        <v>-480371</v>
      </c>
      <c r="BV40" s="49">
        <f t="shared" si="32"/>
        <v>0</v>
      </c>
      <c r="BW40" s="45">
        <v>9094804</v>
      </c>
      <c r="BX40" s="48">
        <f t="shared" si="33"/>
        <v>-480371</v>
      </c>
      <c r="BY40" s="48">
        <f t="shared" si="34"/>
        <v>-480371</v>
      </c>
      <c r="BZ40" s="48">
        <f t="shared" si="35"/>
        <v>0</v>
      </c>
      <c r="CA40" s="45">
        <v>9094804</v>
      </c>
      <c r="CB40" s="8">
        <f t="shared" si="36"/>
        <v>-480371</v>
      </c>
      <c r="CC40" s="8">
        <f t="shared" si="37"/>
        <v>-480371</v>
      </c>
      <c r="CD40" s="8">
        <f t="shared" si="6"/>
        <v>0</v>
      </c>
      <c r="CE40" s="8">
        <f t="shared" si="38"/>
        <v>0</v>
      </c>
      <c r="CF40" s="45">
        <v>9094804</v>
      </c>
      <c r="CG40" s="8">
        <f t="shared" si="39"/>
        <v>-480371</v>
      </c>
      <c r="CH40" s="8">
        <f t="shared" si="40"/>
        <v>-480371</v>
      </c>
      <c r="CI40" s="8">
        <f t="shared" si="41"/>
        <v>0</v>
      </c>
      <c r="CJ40" s="8">
        <f t="shared" si="42"/>
        <v>0</v>
      </c>
      <c r="CK40" s="45">
        <v>9094804</v>
      </c>
      <c r="CL40" s="8">
        <f t="shared" si="7"/>
        <v>-480371</v>
      </c>
      <c r="CM40" s="8">
        <f t="shared" si="43"/>
        <v>-480371</v>
      </c>
      <c r="CN40" s="8">
        <f t="shared" si="44"/>
        <v>0</v>
      </c>
      <c r="CO40" s="45">
        <f>8894804-3100000</f>
        <v>5794804</v>
      </c>
      <c r="CP40" s="45">
        <f t="shared" si="45"/>
        <v>-3780371</v>
      </c>
      <c r="CQ40" s="8">
        <f t="shared" si="46"/>
        <v>-3300000</v>
      </c>
      <c r="CR40" s="45">
        <v>5994804</v>
      </c>
      <c r="CS40" s="32"/>
      <c r="CT40" s="45">
        <f t="shared" si="47"/>
        <v>5994804</v>
      </c>
      <c r="CU40" s="8">
        <f t="shared" si="48"/>
        <v>-3100000</v>
      </c>
      <c r="CV40" s="45">
        <f t="shared" si="49"/>
        <v>200000</v>
      </c>
      <c r="CW40" s="45">
        <f t="shared" si="50"/>
        <v>0</v>
      </c>
      <c r="CX40" s="45">
        <v>5794804</v>
      </c>
      <c r="CY40" s="8">
        <f t="shared" si="51"/>
        <v>-3300000</v>
      </c>
      <c r="CZ40" s="45">
        <f t="shared" si="52"/>
        <v>0</v>
      </c>
      <c r="DA40" s="45">
        <f t="shared" si="53"/>
        <v>-200000</v>
      </c>
      <c r="DB40" s="45">
        <v>5794804</v>
      </c>
      <c r="DC40" s="8">
        <f t="shared" si="54"/>
        <v>-3300000</v>
      </c>
      <c r="DD40" s="45">
        <f t="shared" si="55"/>
        <v>0</v>
      </c>
      <c r="DE40" s="45">
        <f t="shared" si="56"/>
        <v>-200000</v>
      </c>
      <c r="DF40" s="45">
        <f t="shared" si="57"/>
        <v>0</v>
      </c>
      <c r="DG40" s="45">
        <v>5994804</v>
      </c>
      <c r="DH40" s="47">
        <f t="shared" si="58"/>
        <v>-3100000</v>
      </c>
      <c r="DI40" s="45">
        <f t="shared" si="59"/>
        <v>200000</v>
      </c>
      <c r="DJ40" s="45">
        <f t="shared" si="60"/>
        <v>0</v>
      </c>
      <c r="DK40" s="45">
        <f t="shared" si="61"/>
        <v>200000</v>
      </c>
      <c r="DL40" s="45"/>
      <c r="DM40" s="45">
        <f t="shared" si="62"/>
        <v>5994804</v>
      </c>
      <c r="DN40" s="45">
        <v>5994804</v>
      </c>
      <c r="DO40" s="45">
        <f t="shared" si="63"/>
        <v>-3100000</v>
      </c>
      <c r="DP40" s="45"/>
      <c r="DQ40" s="45">
        <v>-132000</v>
      </c>
      <c r="DR40" s="45">
        <f t="shared" si="64"/>
        <v>5862804</v>
      </c>
      <c r="DS40" s="45">
        <f t="shared" si="65"/>
        <v>-3232000</v>
      </c>
      <c r="DT40" s="45">
        <v>-1700000</v>
      </c>
      <c r="DU40" s="45">
        <f t="shared" si="66"/>
        <v>4162804</v>
      </c>
      <c r="DV40" s="45">
        <f t="shared" si="67"/>
        <v>-4932000</v>
      </c>
      <c r="DW40" s="45">
        <v>4162804</v>
      </c>
      <c r="DX40" s="45">
        <v>0</v>
      </c>
      <c r="DY40" s="9"/>
      <c r="DZ40" s="8">
        <f t="shared" si="68"/>
        <v>-4162804</v>
      </c>
      <c r="EA40" s="47">
        <v>4094804</v>
      </c>
      <c r="EB40" s="8">
        <f t="shared" si="69"/>
        <v>-68000</v>
      </c>
      <c r="EC40" s="8">
        <f t="shared" si="70"/>
        <v>4094804</v>
      </c>
      <c r="ED40" s="71" t="s">
        <v>270</v>
      </c>
      <c r="EE40" s="44">
        <v>4094804</v>
      </c>
      <c r="EF40" s="30">
        <f t="shared" si="71"/>
        <v>-68000</v>
      </c>
      <c r="EG40" s="30">
        <f t="shared" si="72"/>
        <v>4094804</v>
      </c>
      <c r="EH40" s="30">
        <f t="shared" si="73"/>
        <v>0</v>
      </c>
      <c r="EI40" s="44">
        <v>4094804</v>
      </c>
      <c r="EJ40" s="30">
        <f t="shared" si="74"/>
        <v>-68000</v>
      </c>
      <c r="EK40" s="30">
        <f t="shared" si="75"/>
        <v>4094804</v>
      </c>
      <c r="EL40" s="30">
        <f t="shared" si="76"/>
        <v>0</v>
      </c>
      <c r="EM40" s="44">
        <v>4094804</v>
      </c>
      <c r="EN40" s="30">
        <f t="shared" si="90"/>
        <v>-68000</v>
      </c>
      <c r="EO40" s="30">
        <f t="shared" si="91"/>
        <v>4094804</v>
      </c>
      <c r="EP40" s="30">
        <f t="shared" si="92"/>
        <v>0</v>
      </c>
      <c r="EQ40" s="30">
        <f t="shared" si="77"/>
        <v>0</v>
      </c>
      <c r="ER40" s="44">
        <v>4294804</v>
      </c>
      <c r="ES40" s="30">
        <f t="shared" si="78"/>
        <v>132000</v>
      </c>
      <c r="ET40" s="30">
        <f t="shared" si="79"/>
        <v>4294804</v>
      </c>
      <c r="EU40" s="30">
        <f t="shared" si="80"/>
        <v>200000</v>
      </c>
      <c r="EV40" s="30">
        <f t="shared" si="81"/>
        <v>200000</v>
      </c>
      <c r="EW40" s="44">
        <v>4294804</v>
      </c>
      <c r="EX40" s="30">
        <f t="shared" si="82"/>
        <v>132000</v>
      </c>
      <c r="EY40" s="30">
        <f t="shared" si="83"/>
        <v>0</v>
      </c>
      <c r="EZ40" s="31">
        <v>4294804</v>
      </c>
      <c r="FA40" s="30">
        <f t="shared" si="84"/>
        <v>132000</v>
      </c>
      <c r="FB40" s="30">
        <f t="shared" si="85"/>
        <v>0</v>
      </c>
    </row>
    <row r="41" spans="1:160" ht="12.75" x14ac:dyDescent="0.2">
      <c r="A41" s="46" t="s">
        <v>246</v>
      </c>
      <c r="B41" s="23"/>
      <c r="C41" s="60" t="s">
        <v>247</v>
      </c>
      <c r="D41" s="25"/>
      <c r="E41" s="26"/>
      <c r="F41" s="26"/>
      <c r="G41" s="26"/>
      <c r="H41" s="27"/>
      <c r="I41" s="26"/>
      <c r="J41" s="27"/>
      <c r="K41" s="27"/>
      <c r="L41" s="2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9"/>
      <c r="X41" s="29"/>
      <c r="Y41" s="29"/>
      <c r="Z41" s="30"/>
      <c r="AA41" s="30"/>
      <c r="AB41" s="30"/>
      <c r="AC41" s="30"/>
      <c r="AD41" s="31"/>
      <c r="AE41" s="30"/>
      <c r="AF41" s="30"/>
      <c r="AG41" s="30"/>
      <c r="AH41" s="31"/>
      <c r="AI41" s="31"/>
      <c r="AJ41" s="30"/>
      <c r="AK41" s="30"/>
      <c r="AL41" s="30"/>
      <c r="AM41" s="31"/>
      <c r="AN41" s="31"/>
      <c r="AO41" s="31"/>
      <c r="AP41" s="30"/>
      <c r="AQ41" s="30"/>
      <c r="AR41" s="30"/>
      <c r="AS41" s="30"/>
      <c r="AT41" s="30"/>
      <c r="AU41" s="30"/>
      <c r="AV41" s="30"/>
      <c r="AW41" s="30"/>
      <c r="AX41" s="30"/>
      <c r="AY41" s="31"/>
      <c r="AZ41" s="31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8"/>
      <c r="BL41" s="30"/>
      <c r="BM41" s="34"/>
      <c r="BN41" s="45"/>
      <c r="BO41" s="32"/>
      <c r="BP41" s="45"/>
      <c r="BQ41" s="48"/>
      <c r="BR41" s="48"/>
      <c r="BS41" s="45"/>
      <c r="BT41" s="49"/>
      <c r="BU41" s="49"/>
      <c r="BV41" s="49"/>
      <c r="BW41" s="45"/>
      <c r="BX41" s="48"/>
      <c r="BY41" s="48"/>
      <c r="BZ41" s="48"/>
      <c r="CA41" s="45"/>
      <c r="CB41" s="8"/>
      <c r="CC41" s="8"/>
      <c r="CD41" s="8"/>
      <c r="CE41" s="8"/>
      <c r="CF41" s="45"/>
      <c r="CG41" s="8"/>
      <c r="CH41" s="8"/>
      <c r="CI41" s="8"/>
      <c r="CJ41" s="8"/>
      <c r="CK41" s="45"/>
      <c r="CL41" s="8"/>
      <c r="CM41" s="8"/>
      <c r="CN41" s="8"/>
      <c r="CO41" s="45"/>
      <c r="CP41" s="45"/>
      <c r="CQ41" s="8"/>
      <c r="CR41" s="45"/>
      <c r="CS41" s="32"/>
      <c r="CT41" s="45"/>
      <c r="CU41" s="8"/>
      <c r="CV41" s="45"/>
      <c r="CW41" s="45"/>
      <c r="CX41" s="45"/>
      <c r="CY41" s="8"/>
      <c r="CZ41" s="45"/>
      <c r="DA41" s="45"/>
      <c r="DB41" s="45"/>
      <c r="DC41" s="8"/>
      <c r="DD41" s="45"/>
      <c r="DE41" s="45"/>
      <c r="DF41" s="45"/>
      <c r="DG41" s="45"/>
      <c r="DH41" s="47"/>
      <c r="DI41" s="45"/>
      <c r="DJ41" s="45"/>
      <c r="DK41" s="45"/>
      <c r="DL41" s="45"/>
      <c r="DM41" s="45"/>
      <c r="DN41" s="45">
        <v>1000000</v>
      </c>
      <c r="DO41" s="45"/>
      <c r="DP41" s="45"/>
      <c r="DQ41" s="45">
        <v>-500000</v>
      </c>
      <c r="DR41" s="45">
        <f t="shared" si="64"/>
        <v>500000</v>
      </c>
      <c r="DS41" s="45">
        <f t="shared" si="65"/>
        <v>500000</v>
      </c>
      <c r="DT41" s="45">
        <v>-139661</v>
      </c>
      <c r="DU41" s="45">
        <f t="shared" si="66"/>
        <v>360339</v>
      </c>
      <c r="DV41" s="45">
        <f t="shared" si="67"/>
        <v>360339</v>
      </c>
      <c r="DW41" s="45">
        <v>360339</v>
      </c>
      <c r="DX41" s="45">
        <v>0</v>
      </c>
      <c r="DY41" s="9"/>
      <c r="DZ41" s="8">
        <f t="shared" si="68"/>
        <v>-360339</v>
      </c>
      <c r="EA41" s="47">
        <v>0</v>
      </c>
      <c r="EB41" s="8">
        <f t="shared" si="69"/>
        <v>-360339</v>
      </c>
      <c r="EC41" s="8">
        <f t="shared" si="70"/>
        <v>0</v>
      </c>
      <c r="ED41" s="71" t="s">
        <v>270</v>
      </c>
      <c r="EE41" s="44">
        <v>500000</v>
      </c>
      <c r="EF41" s="30">
        <f t="shared" si="71"/>
        <v>139661</v>
      </c>
      <c r="EG41" s="30">
        <f t="shared" si="72"/>
        <v>500000</v>
      </c>
      <c r="EH41" s="30">
        <f t="shared" si="73"/>
        <v>500000</v>
      </c>
      <c r="EI41" s="44">
        <v>0</v>
      </c>
      <c r="EJ41" s="30">
        <f t="shared" si="74"/>
        <v>-360339</v>
      </c>
      <c r="EK41" s="30">
        <f t="shared" si="75"/>
        <v>0</v>
      </c>
      <c r="EL41" s="30">
        <f t="shared" si="76"/>
        <v>-500000</v>
      </c>
      <c r="EM41" s="44">
        <v>0</v>
      </c>
      <c r="EN41" s="30">
        <f t="shared" si="90"/>
        <v>-360339</v>
      </c>
      <c r="EO41" s="30">
        <f t="shared" si="91"/>
        <v>0</v>
      </c>
      <c r="EP41" s="30">
        <f t="shared" si="92"/>
        <v>-500000</v>
      </c>
      <c r="EQ41" s="30">
        <f t="shared" si="77"/>
        <v>0</v>
      </c>
      <c r="ER41" s="44">
        <v>500000</v>
      </c>
      <c r="ES41" s="30">
        <f t="shared" si="78"/>
        <v>139661</v>
      </c>
      <c r="ET41" s="30">
        <f t="shared" si="79"/>
        <v>500000</v>
      </c>
      <c r="EU41" s="30">
        <f t="shared" si="80"/>
        <v>0</v>
      </c>
      <c r="EV41" s="30">
        <f t="shared" si="81"/>
        <v>500000</v>
      </c>
      <c r="EW41" s="44">
        <v>500000</v>
      </c>
      <c r="EX41" s="30">
        <f t="shared" si="82"/>
        <v>139661</v>
      </c>
      <c r="EY41" s="30">
        <f t="shared" si="83"/>
        <v>0</v>
      </c>
      <c r="EZ41" s="31">
        <v>500000</v>
      </c>
      <c r="FA41" s="30">
        <f t="shared" si="84"/>
        <v>139661</v>
      </c>
      <c r="FB41" s="30">
        <f t="shared" si="85"/>
        <v>0</v>
      </c>
    </row>
    <row r="42" spans="1:160" ht="25.5" x14ac:dyDescent="0.2">
      <c r="A42" s="22" t="s">
        <v>30</v>
      </c>
      <c r="B42" s="23"/>
      <c r="C42" s="60" t="s">
        <v>263</v>
      </c>
      <c r="D42" s="25">
        <v>9100434</v>
      </c>
      <c r="E42" s="26">
        <v>9175041</v>
      </c>
      <c r="F42" s="26">
        <v>7723259</v>
      </c>
      <c r="G42" s="26">
        <v>6900841</v>
      </c>
      <c r="H42" s="27"/>
      <c r="I42" s="26">
        <f t="shared" si="0"/>
        <v>6900841</v>
      </c>
      <c r="J42" s="27">
        <v>-26365</v>
      </c>
      <c r="K42" s="27"/>
      <c r="L42" s="27">
        <f t="shared" si="1"/>
        <v>-26365</v>
      </c>
      <c r="M42" s="28">
        <f t="shared" si="8"/>
        <v>6874476</v>
      </c>
      <c r="N42" s="28">
        <v>6900841</v>
      </c>
      <c r="O42" s="28">
        <v>6740746</v>
      </c>
      <c r="P42" s="28">
        <v>6740746</v>
      </c>
      <c r="Q42" s="28">
        <v>6874476</v>
      </c>
      <c r="R42" s="28">
        <v>6874476</v>
      </c>
      <c r="S42" s="28">
        <v>1.9449999999999999E-2</v>
      </c>
      <c r="T42" s="28">
        <f t="shared" si="86"/>
        <v>-133708.5582</v>
      </c>
      <c r="U42" s="28">
        <f t="shared" si="87"/>
        <v>6740767.4418000001</v>
      </c>
      <c r="V42" s="28">
        <f t="shared" si="2"/>
        <v>-133708.55819999985</v>
      </c>
      <c r="W42" s="29">
        <v>6740746</v>
      </c>
      <c r="X42" s="29"/>
      <c r="Y42" s="29">
        <f t="shared" si="9"/>
        <v>6740746</v>
      </c>
      <c r="Z42" s="30">
        <v>7692193</v>
      </c>
      <c r="AA42" s="30">
        <f t="shared" si="10"/>
        <v>951447</v>
      </c>
      <c r="AB42" s="30">
        <v>6740746</v>
      </c>
      <c r="AC42" s="30">
        <v>7692193</v>
      </c>
      <c r="AD42" s="31">
        <v>6740746</v>
      </c>
      <c r="AE42" s="30">
        <f t="shared" si="96"/>
        <v>951447</v>
      </c>
      <c r="AF42" s="30">
        <f>AC42-W42+X42</f>
        <v>951447</v>
      </c>
      <c r="AG42" s="30"/>
      <c r="AH42" s="31">
        <v>6740746</v>
      </c>
      <c r="AI42" s="31">
        <v>6740746</v>
      </c>
      <c r="AJ42" s="30">
        <f t="shared" si="93"/>
        <v>0</v>
      </c>
      <c r="AK42" s="30">
        <f t="shared" si="11"/>
        <v>-951447</v>
      </c>
      <c r="AL42" s="30">
        <f t="shared" si="12"/>
        <v>-951447</v>
      </c>
      <c r="AM42" s="31">
        <f t="shared" si="13"/>
        <v>0</v>
      </c>
      <c r="AN42" s="31">
        <f t="shared" si="14"/>
        <v>-951447</v>
      </c>
      <c r="AO42" s="31">
        <f t="shared" si="4"/>
        <v>-951447</v>
      </c>
      <c r="AP42" s="30">
        <v>6740746</v>
      </c>
      <c r="AQ42" s="30">
        <f t="shared" si="5"/>
        <v>0</v>
      </c>
      <c r="AR42" s="30">
        <f t="shared" si="15"/>
        <v>-951447</v>
      </c>
      <c r="AS42" s="30">
        <f t="shared" si="16"/>
        <v>0</v>
      </c>
      <c r="AT42" s="30"/>
      <c r="AU42" s="30">
        <f t="shared" si="17"/>
        <v>6740746</v>
      </c>
      <c r="AV42" s="30">
        <v>9323711</v>
      </c>
      <c r="AW42" s="30">
        <f t="shared" si="18"/>
        <v>2582965</v>
      </c>
      <c r="AX42" s="30">
        <v>7650410</v>
      </c>
      <c r="AY42" s="31">
        <f t="shared" si="88"/>
        <v>909664</v>
      </c>
      <c r="AZ42" s="31">
        <f t="shared" si="89"/>
        <v>-1673301</v>
      </c>
      <c r="BA42" s="30">
        <v>7650410</v>
      </c>
      <c r="BB42" s="30">
        <f t="shared" si="19"/>
        <v>909664</v>
      </c>
      <c r="BC42" s="30">
        <f t="shared" si="20"/>
        <v>-1673301</v>
      </c>
      <c r="BD42" s="30">
        <f t="shared" si="21"/>
        <v>0</v>
      </c>
      <c r="BE42" s="30">
        <v>6849037</v>
      </c>
      <c r="BF42" s="30">
        <v>7667618</v>
      </c>
      <c r="BG42" s="30">
        <v>7667618</v>
      </c>
      <c r="BH42" s="30">
        <f t="shared" si="22"/>
        <v>926872</v>
      </c>
      <c r="BI42" s="30">
        <f t="shared" si="23"/>
        <v>-1656093</v>
      </c>
      <c r="BJ42" s="30">
        <f t="shared" si="24"/>
        <v>17208</v>
      </c>
      <c r="BK42" s="8">
        <f t="shared" si="25"/>
        <v>818581</v>
      </c>
      <c r="BL42" s="30">
        <v>50000</v>
      </c>
      <c r="BM42" s="34">
        <f t="shared" si="26"/>
        <v>7617618</v>
      </c>
      <c r="BN42" s="45">
        <v>9755007</v>
      </c>
      <c r="BO42" s="32">
        <f t="shared" si="27"/>
        <v>2137389</v>
      </c>
      <c r="BP42" s="45">
        <v>7677989</v>
      </c>
      <c r="BQ42" s="48">
        <f t="shared" si="28"/>
        <v>60371</v>
      </c>
      <c r="BR42" s="48">
        <f t="shared" si="29"/>
        <v>-2077018</v>
      </c>
      <c r="BS42" s="45">
        <f t="shared" si="95"/>
        <v>7677989</v>
      </c>
      <c r="BT42" s="49">
        <f t="shared" si="30"/>
        <v>60371</v>
      </c>
      <c r="BU42" s="49">
        <f t="shared" si="31"/>
        <v>-2077018</v>
      </c>
      <c r="BV42" s="49">
        <f t="shared" si="32"/>
        <v>0</v>
      </c>
      <c r="BW42" s="45">
        <v>7640268</v>
      </c>
      <c r="BX42" s="48">
        <f t="shared" si="33"/>
        <v>22650</v>
      </c>
      <c r="BY42" s="48">
        <f t="shared" si="34"/>
        <v>-2114739</v>
      </c>
      <c r="BZ42" s="48">
        <f t="shared" si="35"/>
        <v>-37721</v>
      </c>
      <c r="CA42" s="45">
        <f>7640268+250000</f>
        <v>7890268</v>
      </c>
      <c r="CB42" s="8">
        <f t="shared" si="36"/>
        <v>272650</v>
      </c>
      <c r="CC42" s="8">
        <f t="shared" si="37"/>
        <v>-1864739</v>
      </c>
      <c r="CD42" s="8">
        <f t="shared" si="6"/>
        <v>212279</v>
      </c>
      <c r="CE42" s="8">
        <f t="shared" si="38"/>
        <v>250000</v>
      </c>
      <c r="CF42" s="45">
        <v>7890268</v>
      </c>
      <c r="CG42" s="8">
        <f t="shared" si="39"/>
        <v>272650</v>
      </c>
      <c r="CH42" s="8">
        <f t="shared" si="40"/>
        <v>-1864739</v>
      </c>
      <c r="CI42" s="8">
        <f t="shared" si="41"/>
        <v>212279</v>
      </c>
      <c r="CJ42" s="8">
        <f t="shared" si="42"/>
        <v>0</v>
      </c>
      <c r="CK42" s="45">
        <v>7890268</v>
      </c>
      <c r="CL42" s="8">
        <f t="shared" si="7"/>
        <v>272650</v>
      </c>
      <c r="CM42" s="8">
        <f t="shared" si="43"/>
        <v>-1864739</v>
      </c>
      <c r="CN42" s="8">
        <f t="shared" si="44"/>
        <v>0</v>
      </c>
      <c r="CO42" s="45">
        <f>7706297</f>
        <v>7706297</v>
      </c>
      <c r="CP42" s="45">
        <f t="shared" si="45"/>
        <v>-2048710</v>
      </c>
      <c r="CQ42" s="8">
        <f t="shared" si="46"/>
        <v>-183971</v>
      </c>
      <c r="CR42" s="45">
        <v>7706297</v>
      </c>
      <c r="CS42" s="32">
        <v>300000</v>
      </c>
      <c r="CT42" s="45">
        <f t="shared" si="47"/>
        <v>8006297</v>
      </c>
      <c r="CU42" s="8">
        <f t="shared" si="48"/>
        <v>116029</v>
      </c>
      <c r="CV42" s="45">
        <f t="shared" si="49"/>
        <v>300000</v>
      </c>
      <c r="CW42" s="45">
        <f t="shared" si="50"/>
        <v>300000</v>
      </c>
      <c r="CX42" s="45">
        <v>7543523</v>
      </c>
      <c r="CY42" s="8">
        <f t="shared" si="51"/>
        <v>-346745</v>
      </c>
      <c r="CZ42" s="45">
        <f t="shared" si="52"/>
        <v>-162774</v>
      </c>
      <c r="DA42" s="45">
        <f t="shared" si="53"/>
        <v>-462774</v>
      </c>
      <c r="DB42" s="45">
        <v>7793523</v>
      </c>
      <c r="DC42" s="8">
        <f t="shared" si="54"/>
        <v>-96745</v>
      </c>
      <c r="DD42" s="45">
        <f t="shared" si="55"/>
        <v>87226</v>
      </c>
      <c r="DE42" s="45">
        <f t="shared" si="56"/>
        <v>-212774</v>
      </c>
      <c r="DF42" s="45">
        <f t="shared" si="57"/>
        <v>250000</v>
      </c>
      <c r="DG42" s="45">
        <v>8256297</v>
      </c>
      <c r="DH42" s="47">
        <f t="shared" si="58"/>
        <v>366029</v>
      </c>
      <c r="DI42" s="45">
        <f t="shared" si="59"/>
        <v>550000</v>
      </c>
      <c r="DJ42" s="45">
        <f t="shared" si="60"/>
        <v>250000</v>
      </c>
      <c r="DK42" s="45">
        <f t="shared" si="61"/>
        <v>462774</v>
      </c>
      <c r="DL42" s="45">
        <v>-250000</v>
      </c>
      <c r="DM42" s="45">
        <f t="shared" si="62"/>
        <v>8006297</v>
      </c>
      <c r="DN42" s="45">
        <v>8256297</v>
      </c>
      <c r="DO42" s="45">
        <f t="shared" si="63"/>
        <v>366029</v>
      </c>
      <c r="DP42" s="45"/>
      <c r="DQ42" s="45">
        <v>-50000</v>
      </c>
      <c r="DR42" s="45">
        <f t="shared" si="64"/>
        <v>8206297</v>
      </c>
      <c r="DS42" s="45">
        <f t="shared" si="65"/>
        <v>316029</v>
      </c>
      <c r="DT42" s="45">
        <v>-500000</v>
      </c>
      <c r="DU42" s="45">
        <f t="shared" si="66"/>
        <v>7706297</v>
      </c>
      <c r="DV42" s="45">
        <f t="shared" si="67"/>
        <v>-183971</v>
      </c>
      <c r="DW42" s="45">
        <v>7706297</v>
      </c>
      <c r="DX42" s="45">
        <v>17483679</v>
      </c>
      <c r="DY42" s="9"/>
      <c r="DZ42" s="8">
        <f t="shared" si="68"/>
        <v>9777382</v>
      </c>
      <c r="EA42" s="47">
        <v>7938413</v>
      </c>
      <c r="EB42" s="8">
        <f t="shared" si="69"/>
        <v>232116</v>
      </c>
      <c r="EC42" s="8">
        <f t="shared" si="70"/>
        <v>-9545266</v>
      </c>
      <c r="ED42" s="71" t="s">
        <v>272</v>
      </c>
      <c r="EE42" s="44">
        <v>7938413</v>
      </c>
      <c r="EF42" s="30">
        <f t="shared" si="71"/>
        <v>232116</v>
      </c>
      <c r="EG42" s="30">
        <f t="shared" si="72"/>
        <v>-9545266</v>
      </c>
      <c r="EH42" s="30">
        <f t="shared" si="73"/>
        <v>0</v>
      </c>
      <c r="EI42" s="44">
        <v>7580375</v>
      </c>
      <c r="EJ42" s="30">
        <f t="shared" si="74"/>
        <v>-125922</v>
      </c>
      <c r="EK42" s="30">
        <f t="shared" si="75"/>
        <v>-9903304</v>
      </c>
      <c r="EL42" s="30">
        <f t="shared" si="76"/>
        <v>-358038</v>
      </c>
      <c r="EM42" s="44">
        <f>7580375+60000+200000</f>
        <v>7840375</v>
      </c>
      <c r="EN42" s="30">
        <f t="shared" si="90"/>
        <v>134078</v>
      </c>
      <c r="EO42" s="30">
        <f t="shared" si="91"/>
        <v>-9643304</v>
      </c>
      <c r="EP42" s="30">
        <f t="shared" si="92"/>
        <v>-98038</v>
      </c>
      <c r="EQ42" s="30">
        <f t="shared" si="77"/>
        <v>260000</v>
      </c>
      <c r="ER42" s="44">
        <v>8448413</v>
      </c>
      <c r="ES42" s="30">
        <f t="shared" si="78"/>
        <v>742116</v>
      </c>
      <c r="ET42" s="30">
        <f t="shared" si="79"/>
        <v>-9035266</v>
      </c>
      <c r="EU42" s="30">
        <f t="shared" si="80"/>
        <v>510000</v>
      </c>
      <c r="EV42" s="30">
        <f t="shared" si="81"/>
        <v>608038</v>
      </c>
      <c r="EW42" s="44">
        <f>8448413-510000</f>
        <v>7938413</v>
      </c>
      <c r="EX42" s="30">
        <f t="shared" si="82"/>
        <v>232116</v>
      </c>
      <c r="EY42" s="30">
        <f t="shared" si="83"/>
        <v>-510000</v>
      </c>
      <c r="EZ42" s="31">
        <f>8448413</f>
        <v>8448413</v>
      </c>
      <c r="FA42" s="30">
        <f t="shared" si="84"/>
        <v>742116</v>
      </c>
      <c r="FB42" s="30">
        <f t="shared" si="85"/>
        <v>510000</v>
      </c>
    </row>
    <row r="43" spans="1:160" ht="25.5" x14ac:dyDescent="0.2">
      <c r="A43" s="22" t="s">
        <v>32</v>
      </c>
      <c r="B43" s="23"/>
      <c r="C43" s="61" t="s">
        <v>39</v>
      </c>
      <c r="D43" s="25">
        <v>13000000</v>
      </c>
      <c r="E43" s="26">
        <v>17500000</v>
      </c>
      <c r="F43" s="26">
        <v>17413294</v>
      </c>
      <c r="G43" s="26">
        <v>15672375</v>
      </c>
      <c r="H43" s="27"/>
      <c r="I43" s="26">
        <f t="shared" si="0"/>
        <v>15672375</v>
      </c>
      <c r="J43" s="27"/>
      <c r="K43" s="27"/>
      <c r="L43" s="27">
        <f t="shared" si="1"/>
        <v>0</v>
      </c>
      <c r="M43" s="28">
        <f t="shared" si="8"/>
        <v>15672375</v>
      </c>
      <c r="N43" s="28">
        <v>15672375</v>
      </c>
      <c r="O43" s="28">
        <v>14918030</v>
      </c>
      <c r="P43" s="28">
        <v>14918030</v>
      </c>
      <c r="Q43" s="28">
        <v>15672374</v>
      </c>
      <c r="R43" s="28">
        <v>15485202</v>
      </c>
      <c r="S43" s="28">
        <v>0.1012</v>
      </c>
      <c r="T43" s="28">
        <f t="shared" si="86"/>
        <v>-1567102.4424000001</v>
      </c>
      <c r="U43" s="28">
        <f t="shared" si="87"/>
        <v>13918099.557599999</v>
      </c>
      <c r="V43" s="28">
        <f t="shared" si="2"/>
        <v>-1754275.442400001</v>
      </c>
      <c r="W43" s="29">
        <v>13918030</v>
      </c>
      <c r="X43" s="29"/>
      <c r="Y43" s="29">
        <f t="shared" si="9"/>
        <v>13918030</v>
      </c>
      <c r="Z43" s="30">
        <v>13918030</v>
      </c>
      <c r="AA43" s="30">
        <f t="shared" si="10"/>
        <v>0</v>
      </c>
      <c r="AB43" s="30">
        <v>13918030</v>
      </c>
      <c r="AC43" s="30">
        <v>13918030</v>
      </c>
      <c r="AD43" s="31">
        <v>13139669</v>
      </c>
      <c r="AE43" s="30"/>
      <c r="AF43" s="30"/>
      <c r="AG43" s="30"/>
      <c r="AH43" s="31">
        <v>13139669</v>
      </c>
      <c r="AI43" s="31">
        <v>13918030</v>
      </c>
      <c r="AJ43" s="30">
        <f t="shared" si="93"/>
        <v>-778361</v>
      </c>
      <c r="AK43" s="30">
        <f t="shared" si="11"/>
        <v>-778361</v>
      </c>
      <c r="AL43" s="30">
        <f t="shared" si="12"/>
        <v>-778361</v>
      </c>
      <c r="AM43" s="31">
        <f t="shared" si="13"/>
        <v>-778361</v>
      </c>
      <c r="AN43" s="31">
        <f t="shared" si="14"/>
        <v>-778361</v>
      </c>
      <c r="AO43" s="31">
        <f t="shared" si="4"/>
        <v>-778361</v>
      </c>
      <c r="AP43" s="30">
        <v>13918030</v>
      </c>
      <c r="AQ43" s="30">
        <f t="shared" si="5"/>
        <v>0</v>
      </c>
      <c r="AR43" s="30">
        <f t="shared" si="15"/>
        <v>0</v>
      </c>
      <c r="AS43" s="30">
        <f t="shared" si="16"/>
        <v>0</v>
      </c>
      <c r="AT43" s="30"/>
      <c r="AU43" s="30">
        <f t="shared" si="17"/>
        <v>13918030</v>
      </c>
      <c r="AV43" s="30">
        <v>14918030</v>
      </c>
      <c r="AW43" s="30">
        <f t="shared" si="18"/>
        <v>1000000</v>
      </c>
      <c r="AX43" s="30">
        <v>13918030</v>
      </c>
      <c r="AY43" s="31">
        <f t="shared" si="88"/>
        <v>0</v>
      </c>
      <c r="AZ43" s="31">
        <f t="shared" si="89"/>
        <v>-1000000</v>
      </c>
      <c r="BA43" s="30">
        <v>14168030</v>
      </c>
      <c r="BB43" s="30">
        <f t="shared" si="19"/>
        <v>250000</v>
      </c>
      <c r="BC43" s="30">
        <f t="shared" si="20"/>
        <v>-750000</v>
      </c>
      <c r="BD43" s="30">
        <f t="shared" si="21"/>
        <v>250000</v>
      </c>
      <c r="BE43" s="30">
        <v>14042764</v>
      </c>
      <c r="BF43" s="30">
        <v>14168030</v>
      </c>
      <c r="BG43" s="30">
        <v>14168030</v>
      </c>
      <c r="BH43" s="30">
        <f t="shared" si="22"/>
        <v>250000</v>
      </c>
      <c r="BI43" s="30">
        <f t="shared" si="23"/>
        <v>-750000</v>
      </c>
      <c r="BJ43" s="30">
        <f t="shared" si="24"/>
        <v>0</v>
      </c>
      <c r="BK43" s="8">
        <f t="shared" si="25"/>
        <v>125266</v>
      </c>
      <c r="BL43" s="30"/>
      <c r="BM43" s="34">
        <f t="shared" si="26"/>
        <v>14168030</v>
      </c>
      <c r="BN43" s="45">
        <v>19040030</v>
      </c>
      <c r="BO43" s="32">
        <f t="shared" si="27"/>
        <v>4872000</v>
      </c>
      <c r="BP43" s="45">
        <v>13918030</v>
      </c>
      <c r="BQ43" s="48">
        <f t="shared" si="28"/>
        <v>-250000</v>
      </c>
      <c r="BR43" s="48">
        <f t="shared" si="29"/>
        <v>-5122000</v>
      </c>
      <c r="BS43" s="45">
        <v>14168030</v>
      </c>
      <c r="BT43" s="49">
        <f t="shared" si="30"/>
        <v>0</v>
      </c>
      <c r="BU43" s="49">
        <f t="shared" si="31"/>
        <v>-4872000</v>
      </c>
      <c r="BV43" s="49">
        <f t="shared" si="32"/>
        <v>250000</v>
      </c>
      <c r="BW43" s="45">
        <v>13768030</v>
      </c>
      <c r="BX43" s="48">
        <f t="shared" si="33"/>
        <v>-400000</v>
      </c>
      <c r="BY43" s="48">
        <f t="shared" si="34"/>
        <v>-5272000</v>
      </c>
      <c r="BZ43" s="48">
        <f t="shared" si="35"/>
        <v>-400000</v>
      </c>
      <c r="CA43" s="45">
        <v>13768030</v>
      </c>
      <c r="CB43" s="8">
        <f t="shared" si="36"/>
        <v>-400000</v>
      </c>
      <c r="CC43" s="8">
        <f t="shared" si="37"/>
        <v>-5272000</v>
      </c>
      <c r="CD43" s="8">
        <f t="shared" si="6"/>
        <v>-400000</v>
      </c>
      <c r="CE43" s="8">
        <f t="shared" si="38"/>
        <v>0</v>
      </c>
      <c r="CF43" s="45">
        <v>14168030</v>
      </c>
      <c r="CG43" s="8">
        <f t="shared" si="39"/>
        <v>0</v>
      </c>
      <c r="CH43" s="8">
        <f t="shared" si="40"/>
        <v>-4872000</v>
      </c>
      <c r="CI43" s="8">
        <f t="shared" si="41"/>
        <v>0</v>
      </c>
      <c r="CJ43" s="8">
        <f t="shared" si="42"/>
        <v>400000</v>
      </c>
      <c r="CK43" s="45">
        <v>14168030</v>
      </c>
      <c r="CL43" s="8">
        <f t="shared" si="7"/>
        <v>0</v>
      </c>
      <c r="CM43" s="8">
        <f t="shared" si="43"/>
        <v>-4872000</v>
      </c>
      <c r="CN43" s="8">
        <f t="shared" si="44"/>
        <v>0</v>
      </c>
      <c r="CO43" s="45">
        <v>18168067</v>
      </c>
      <c r="CP43" s="45">
        <f t="shared" si="45"/>
        <v>-871963</v>
      </c>
      <c r="CQ43" s="8">
        <f t="shared" si="46"/>
        <v>4000037</v>
      </c>
      <c r="CR43" s="45">
        <v>15168750</v>
      </c>
      <c r="CS43" s="32"/>
      <c r="CT43" s="45">
        <f t="shared" si="47"/>
        <v>15168750</v>
      </c>
      <c r="CU43" s="8">
        <f t="shared" si="48"/>
        <v>1000720</v>
      </c>
      <c r="CV43" s="45">
        <f t="shared" si="49"/>
        <v>-2999317</v>
      </c>
      <c r="CW43" s="45">
        <f t="shared" si="50"/>
        <v>0</v>
      </c>
      <c r="CX43" s="45">
        <v>13668628</v>
      </c>
      <c r="CY43" s="8">
        <f t="shared" si="51"/>
        <v>-499402</v>
      </c>
      <c r="CZ43" s="45">
        <f t="shared" si="52"/>
        <v>-4499439</v>
      </c>
      <c r="DA43" s="45">
        <f t="shared" si="53"/>
        <v>-1500122</v>
      </c>
      <c r="DB43" s="45">
        <v>13668628</v>
      </c>
      <c r="DC43" s="8">
        <f t="shared" si="54"/>
        <v>-499402</v>
      </c>
      <c r="DD43" s="45">
        <f t="shared" si="55"/>
        <v>-4499439</v>
      </c>
      <c r="DE43" s="45">
        <f t="shared" si="56"/>
        <v>-1500122</v>
      </c>
      <c r="DF43" s="45">
        <f t="shared" si="57"/>
        <v>0</v>
      </c>
      <c r="DG43" s="45">
        <v>14668628</v>
      </c>
      <c r="DH43" s="47">
        <f t="shared" si="58"/>
        <v>500598</v>
      </c>
      <c r="DI43" s="45">
        <f t="shared" si="59"/>
        <v>-3499439</v>
      </c>
      <c r="DJ43" s="45">
        <f t="shared" si="60"/>
        <v>-500122</v>
      </c>
      <c r="DK43" s="45">
        <f t="shared" si="61"/>
        <v>1000000</v>
      </c>
      <c r="DL43" s="45"/>
      <c r="DM43" s="45">
        <f t="shared" si="62"/>
        <v>14668628</v>
      </c>
      <c r="DN43" s="45">
        <v>14668628</v>
      </c>
      <c r="DO43" s="45">
        <f t="shared" si="63"/>
        <v>500598</v>
      </c>
      <c r="DP43" s="45">
        <v>1000000</v>
      </c>
      <c r="DQ43" s="45">
        <v>-1000000</v>
      </c>
      <c r="DR43" s="45">
        <f t="shared" si="64"/>
        <v>14668628</v>
      </c>
      <c r="DS43" s="45">
        <f t="shared" si="65"/>
        <v>500598</v>
      </c>
      <c r="DT43" s="45"/>
      <c r="DU43" s="45">
        <f t="shared" si="66"/>
        <v>14668628</v>
      </c>
      <c r="DV43" s="45">
        <f t="shared" si="67"/>
        <v>500598</v>
      </c>
      <c r="DW43" s="45">
        <v>14668628</v>
      </c>
      <c r="DX43" s="45">
        <v>14673492</v>
      </c>
      <c r="DY43" s="9"/>
      <c r="DZ43" s="8">
        <f t="shared" si="68"/>
        <v>4864</v>
      </c>
      <c r="EA43" s="47">
        <v>13673492</v>
      </c>
      <c r="EB43" s="8">
        <f t="shared" si="69"/>
        <v>-995136</v>
      </c>
      <c r="EC43" s="8">
        <f t="shared" si="70"/>
        <v>-1000000</v>
      </c>
      <c r="ED43" s="71" t="s">
        <v>273</v>
      </c>
      <c r="EE43" s="44">
        <v>14223492</v>
      </c>
      <c r="EF43" s="30">
        <f t="shared" si="71"/>
        <v>-445136</v>
      </c>
      <c r="EG43" s="30">
        <f t="shared" si="72"/>
        <v>-450000</v>
      </c>
      <c r="EH43" s="30">
        <f t="shared" si="73"/>
        <v>550000</v>
      </c>
      <c r="EI43" s="44">
        <v>13673492</v>
      </c>
      <c r="EJ43" s="30">
        <f t="shared" si="74"/>
        <v>-995136</v>
      </c>
      <c r="EK43" s="30">
        <f t="shared" si="75"/>
        <v>-1000000</v>
      </c>
      <c r="EL43" s="30">
        <f t="shared" si="76"/>
        <v>-550000</v>
      </c>
      <c r="EM43" s="44">
        <v>13673492</v>
      </c>
      <c r="EN43" s="30">
        <f t="shared" si="90"/>
        <v>-995136</v>
      </c>
      <c r="EO43" s="30">
        <f t="shared" si="91"/>
        <v>-1000000</v>
      </c>
      <c r="EP43" s="30">
        <f t="shared" si="92"/>
        <v>-550000</v>
      </c>
      <c r="EQ43" s="30">
        <f t="shared" si="77"/>
        <v>0</v>
      </c>
      <c r="ER43" s="44">
        <v>14223492</v>
      </c>
      <c r="ES43" s="30">
        <f t="shared" si="78"/>
        <v>-445136</v>
      </c>
      <c r="ET43" s="30">
        <f t="shared" si="79"/>
        <v>-450000</v>
      </c>
      <c r="EU43" s="30">
        <f t="shared" si="80"/>
        <v>0</v>
      </c>
      <c r="EV43" s="30">
        <f t="shared" si="81"/>
        <v>550000</v>
      </c>
      <c r="EW43" s="44">
        <v>14223492</v>
      </c>
      <c r="EX43" s="30">
        <f t="shared" si="82"/>
        <v>-445136</v>
      </c>
      <c r="EY43" s="30">
        <f t="shared" si="83"/>
        <v>0</v>
      </c>
      <c r="EZ43" s="31">
        <v>14223492</v>
      </c>
      <c r="FA43" s="30">
        <f t="shared" si="84"/>
        <v>-445136</v>
      </c>
      <c r="FB43" s="30">
        <f t="shared" si="85"/>
        <v>0</v>
      </c>
    </row>
    <row r="44" spans="1:160" ht="12.75" hidden="1" customHeight="1" x14ac:dyDescent="0.2">
      <c r="A44" s="22" t="s">
        <v>38</v>
      </c>
      <c r="B44" s="23"/>
      <c r="C44" s="60" t="s">
        <v>192</v>
      </c>
      <c r="D44" s="25">
        <v>1575000</v>
      </c>
      <c r="E44" s="26">
        <v>1575000</v>
      </c>
      <c r="F44" s="26">
        <v>1306000</v>
      </c>
      <c r="G44" s="26">
        <v>721000</v>
      </c>
      <c r="H44" s="27"/>
      <c r="I44" s="26">
        <f t="shared" si="0"/>
        <v>721000</v>
      </c>
      <c r="J44" s="27"/>
      <c r="K44" s="27"/>
      <c r="L44" s="27">
        <f t="shared" si="1"/>
        <v>0</v>
      </c>
      <c r="M44" s="28">
        <f t="shared" si="8"/>
        <v>721000</v>
      </c>
      <c r="N44" s="28">
        <v>721000</v>
      </c>
      <c r="O44" s="28">
        <v>721000</v>
      </c>
      <c r="P44" s="28">
        <v>721000</v>
      </c>
      <c r="Q44" s="28">
        <v>500000</v>
      </c>
      <c r="R44" s="28">
        <v>721000</v>
      </c>
      <c r="S44" s="28">
        <v>0.44520999999999999</v>
      </c>
      <c r="T44" s="28">
        <f t="shared" si="86"/>
        <v>-320996.40999999997</v>
      </c>
      <c r="U44" s="28">
        <f t="shared" si="87"/>
        <v>400003.59</v>
      </c>
      <c r="V44" s="28">
        <f t="shared" si="2"/>
        <v>-320996.40999999997</v>
      </c>
      <c r="W44" s="29">
        <v>400000</v>
      </c>
      <c r="X44" s="29"/>
      <c r="Y44" s="29">
        <f t="shared" si="9"/>
        <v>400000</v>
      </c>
      <c r="Z44" s="30">
        <v>400000</v>
      </c>
      <c r="AA44" s="30">
        <f t="shared" si="10"/>
        <v>0</v>
      </c>
      <c r="AB44" s="30">
        <v>400000</v>
      </c>
      <c r="AC44" s="30">
        <v>400000</v>
      </c>
      <c r="AD44" s="31">
        <v>400000</v>
      </c>
      <c r="AE44" s="30"/>
      <c r="AF44" s="30"/>
      <c r="AG44" s="30"/>
      <c r="AH44" s="31">
        <v>400000</v>
      </c>
      <c r="AI44" s="31">
        <v>400000</v>
      </c>
      <c r="AJ44" s="30">
        <f t="shared" si="93"/>
        <v>0</v>
      </c>
      <c r="AK44" s="30">
        <f t="shared" si="11"/>
        <v>0</v>
      </c>
      <c r="AL44" s="30">
        <f t="shared" si="12"/>
        <v>0</v>
      </c>
      <c r="AM44" s="31">
        <f t="shared" si="13"/>
        <v>0</v>
      </c>
      <c r="AN44" s="31">
        <f t="shared" si="14"/>
        <v>0</v>
      </c>
      <c r="AO44" s="31">
        <f t="shared" si="4"/>
        <v>0</v>
      </c>
      <c r="AP44" s="30">
        <v>400000</v>
      </c>
      <c r="AQ44" s="30">
        <f t="shared" si="5"/>
        <v>0</v>
      </c>
      <c r="AR44" s="30">
        <f t="shared" si="15"/>
        <v>0</v>
      </c>
      <c r="AS44" s="30">
        <f t="shared" si="16"/>
        <v>0</v>
      </c>
      <c r="AT44" s="30"/>
      <c r="AU44" s="30">
        <f t="shared" si="17"/>
        <v>400000</v>
      </c>
      <c r="AV44" s="30">
        <v>400000</v>
      </c>
      <c r="AW44" s="30">
        <f t="shared" si="18"/>
        <v>0</v>
      </c>
      <c r="AX44" s="30">
        <v>400000</v>
      </c>
      <c r="AY44" s="31">
        <f t="shared" si="88"/>
        <v>0</v>
      </c>
      <c r="AZ44" s="31">
        <f t="shared" si="89"/>
        <v>0</v>
      </c>
      <c r="BA44" s="30">
        <v>400000</v>
      </c>
      <c r="BB44" s="30">
        <f t="shared" si="19"/>
        <v>0</v>
      </c>
      <c r="BC44" s="30">
        <f t="shared" si="20"/>
        <v>0</v>
      </c>
      <c r="BD44" s="30">
        <f t="shared" si="21"/>
        <v>0</v>
      </c>
      <c r="BE44" s="30">
        <f>400000+200000</f>
        <v>600000</v>
      </c>
      <c r="BF44" s="30">
        <v>475000</v>
      </c>
      <c r="BG44" s="30">
        <v>475000</v>
      </c>
      <c r="BH44" s="30">
        <f t="shared" si="22"/>
        <v>75000</v>
      </c>
      <c r="BI44" s="30">
        <f t="shared" si="23"/>
        <v>75000</v>
      </c>
      <c r="BJ44" s="30">
        <f t="shared" si="24"/>
        <v>75000</v>
      </c>
      <c r="BK44" s="8">
        <f t="shared" si="25"/>
        <v>-125000</v>
      </c>
      <c r="BL44" s="30"/>
      <c r="BM44" s="34">
        <f t="shared" si="26"/>
        <v>475000</v>
      </c>
      <c r="BN44" s="45">
        <v>475000</v>
      </c>
      <c r="BO44" s="32">
        <f t="shared" si="27"/>
        <v>0</v>
      </c>
      <c r="BP44" s="45">
        <v>0</v>
      </c>
      <c r="BQ44" s="48">
        <f t="shared" si="28"/>
        <v>-475000</v>
      </c>
      <c r="BR44" s="48">
        <f t="shared" si="29"/>
        <v>-475000</v>
      </c>
      <c r="BS44" s="45">
        <v>0</v>
      </c>
      <c r="BT44" s="49">
        <f t="shared" si="30"/>
        <v>-475000</v>
      </c>
      <c r="BU44" s="49">
        <f t="shared" si="31"/>
        <v>-475000</v>
      </c>
      <c r="BV44" s="49">
        <f t="shared" si="32"/>
        <v>0</v>
      </c>
      <c r="BW44" s="45">
        <v>0</v>
      </c>
      <c r="BX44" s="48">
        <f t="shared" si="33"/>
        <v>-475000</v>
      </c>
      <c r="BY44" s="48">
        <f t="shared" si="34"/>
        <v>-475000</v>
      </c>
      <c r="BZ44" s="48">
        <f t="shared" si="35"/>
        <v>0</v>
      </c>
      <c r="CA44" s="45">
        <v>0</v>
      </c>
      <c r="CB44" s="8">
        <f t="shared" si="36"/>
        <v>-475000</v>
      </c>
      <c r="CC44" s="8">
        <f t="shared" si="37"/>
        <v>-475000</v>
      </c>
      <c r="CD44" s="8">
        <f t="shared" si="6"/>
        <v>0</v>
      </c>
      <c r="CE44" s="8">
        <f t="shared" si="38"/>
        <v>0</v>
      </c>
      <c r="CF44" s="45">
        <v>0</v>
      </c>
      <c r="CG44" s="8">
        <f t="shared" si="39"/>
        <v>-475000</v>
      </c>
      <c r="CH44" s="8">
        <f t="shared" si="40"/>
        <v>-475000</v>
      </c>
      <c r="CI44" s="8">
        <f t="shared" si="41"/>
        <v>0</v>
      </c>
      <c r="CJ44" s="8">
        <f t="shared" si="42"/>
        <v>0</v>
      </c>
      <c r="CK44" s="45">
        <v>0</v>
      </c>
      <c r="CL44" s="8">
        <f t="shared" si="7"/>
        <v>-475000</v>
      </c>
      <c r="CM44" s="8">
        <f t="shared" si="43"/>
        <v>-475000</v>
      </c>
      <c r="CN44" s="8">
        <f t="shared" si="44"/>
        <v>0</v>
      </c>
      <c r="CO44" s="45">
        <v>0</v>
      </c>
      <c r="CP44" s="45">
        <f t="shared" si="45"/>
        <v>-475000</v>
      </c>
      <c r="CQ44" s="8">
        <f t="shared" si="46"/>
        <v>0</v>
      </c>
      <c r="CR44" s="45"/>
      <c r="CS44" s="32"/>
      <c r="CT44" s="45">
        <f t="shared" si="47"/>
        <v>0</v>
      </c>
      <c r="CU44" s="8">
        <f t="shared" si="48"/>
        <v>0</v>
      </c>
      <c r="CV44" s="45">
        <f t="shared" si="49"/>
        <v>0</v>
      </c>
      <c r="CW44" s="45">
        <f t="shared" si="50"/>
        <v>0</v>
      </c>
      <c r="CX44" s="45"/>
      <c r="CY44" s="8">
        <f t="shared" si="51"/>
        <v>0</v>
      </c>
      <c r="CZ44" s="45">
        <f t="shared" si="52"/>
        <v>0</v>
      </c>
      <c r="DA44" s="45">
        <f t="shared" si="53"/>
        <v>0</v>
      </c>
      <c r="DB44" s="45"/>
      <c r="DC44" s="8">
        <f t="shared" si="54"/>
        <v>0</v>
      </c>
      <c r="DD44" s="45">
        <f t="shared" si="55"/>
        <v>0</v>
      </c>
      <c r="DE44" s="45">
        <f t="shared" si="56"/>
        <v>0</v>
      </c>
      <c r="DF44" s="45">
        <f t="shared" si="57"/>
        <v>0</v>
      </c>
      <c r="DG44" s="45"/>
      <c r="DH44" s="47">
        <f t="shared" si="58"/>
        <v>0</v>
      </c>
      <c r="DI44" s="45">
        <f t="shared" si="59"/>
        <v>0</v>
      </c>
      <c r="DJ44" s="45">
        <f t="shared" si="60"/>
        <v>0</v>
      </c>
      <c r="DK44" s="45">
        <f t="shared" si="61"/>
        <v>0</v>
      </c>
      <c r="DL44" s="45"/>
      <c r="DM44" s="45">
        <f t="shared" si="62"/>
        <v>0</v>
      </c>
      <c r="DN44" s="45"/>
      <c r="DO44" s="45">
        <f t="shared" si="63"/>
        <v>0</v>
      </c>
      <c r="DP44" s="45"/>
      <c r="DQ44" s="45"/>
      <c r="DR44" s="45">
        <f t="shared" si="64"/>
        <v>0</v>
      </c>
      <c r="DS44" s="45">
        <f t="shared" si="65"/>
        <v>0</v>
      </c>
      <c r="DT44" s="45"/>
      <c r="DU44" s="45">
        <f t="shared" si="66"/>
        <v>0</v>
      </c>
      <c r="DV44" s="45">
        <f t="shared" si="67"/>
        <v>0</v>
      </c>
      <c r="DW44" s="45">
        <v>0</v>
      </c>
      <c r="DX44" s="45"/>
      <c r="DY44" s="9"/>
      <c r="DZ44" s="8">
        <f t="shared" si="68"/>
        <v>0</v>
      </c>
      <c r="EA44" s="47"/>
      <c r="EB44" s="8">
        <f t="shared" si="69"/>
        <v>0</v>
      </c>
      <c r="EC44" s="8">
        <f t="shared" si="70"/>
        <v>0</v>
      </c>
      <c r="ED44" s="73"/>
      <c r="EE44" s="44"/>
      <c r="EF44" s="30">
        <f t="shared" si="71"/>
        <v>0</v>
      </c>
      <c r="EG44" s="30">
        <f t="shared" si="72"/>
        <v>0</v>
      </c>
      <c r="EH44" s="30">
        <f t="shared" si="73"/>
        <v>0</v>
      </c>
      <c r="EI44" s="44"/>
      <c r="EJ44" s="30">
        <f t="shared" si="74"/>
        <v>0</v>
      </c>
      <c r="EK44" s="30">
        <f t="shared" si="75"/>
        <v>0</v>
      </c>
      <c r="EL44" s="30">
        <f t="shared" si="76"/>
        <v>0</v>
      </c>
      <c r="EM44" s="44"/>
      <c r="EN44" s="30">
        <f t="shared" si="90"/>
        <v>0</v>
      </c>
      <c r="EO44" s="30">
        <f t="shared" si="91"/>
        <v>0</v>
      </c>
      <c r="EP44" s="30">
        <f t="shared" si="92"/>
        <v>0</v>
      </c>
      <c r="EQ44" s="30">
        <f t="shared" si="77"/>
        <v>0</v>
      </c>
      <c r="ER44" s="44"/>
      <c r="ES44" s="30">
        <f t="shared" si="78"/>
        <v>0</v>
      </c>
      <c r="ET44" s="30">
        <f t="shared" si="79"/>
        <v>0</v>
      </c>
      <c r="EU44" s="30">
        <f t="shared" si="80"/>
        <v>0</v>
      </c>
      <c r="EV44" s="30">
        <f t="shared" si="81"/>
        <v>0</v>
      </c>
      <c r="EW44" s="44"/>
      <c r="EX44" s="30">
        <f t="shared" si="82"/>
        <v>0</v>
      </c>
      <c r="EY44" s="30">
        <f t="shared" si="83"/>
        <v>0</v>
      </c>
      <c r="EZ44" s="31"/>
      <c r="FA44" s="30">
        <f t="shared" si="84"/>
        <v>0</v>
      </c>
      <c r="FB44" s="30">
        <f t="shared" si="85"/>
        <v>0</v>
      </c>
    </row>
    <row r="45" spans="1:160" ht="12.75" x14ac:dyDescent="0.2">
      <c r="A45" s="22" t="s">
        <v>97</v>
      </c>
      <c r="B45" s="23"/>
      <c r="C45" s="61" t="s">
        <v>162</v>
      </c>
      <c r="D45" s="25"/>
      <c r="E45" s="26"/>
      <c r="F45" s="26"/>
      <c r="G45" s="26"/>
      <c r="H45" s="27"/>
      <c r="I45" s="26"/>
      <c r="J45" s="27"/>
      <c r="K45" s="27"/>
      <c r="L45" s="27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9"/>
      <c r="X45" s="29"/>
      <c r="Y45" s="29">
        <f t="shared" si="9"/>
        <v>0</v>
      </c>
      <c r="Z45" s="30">
        <v>1367409</v>
      </c>
      <c r="AA45" s="30">
        <f t="shared" si="10"/>
        <v>1367409</v>
      </c>
      <c r="AB45" s="30">
        <v>1265038</v>
      </c>
      <c r="AC45" s="30">
        <v>1367409</v>
      </c>
      <c r="AD45" s="31">
        <v>1367409</v>
      </c>
      <c r="AE45" s="30">
        <f t="shared" si="96"/>
        <v>102371</v>
      </c>
      <c r="AF45" s="30">
        <f>AC45-W45+X45</f>
        <v>1367409</v>
      </c>
      <c r="AG45" s="30"/>
      <c r="AH45" s="31">
        <v>1367409</v>
      </c>
      <c r="AI45" s="31">
        <v>1367409</v>
      </c>
      <c r="AJ45" s="30">
        <f t="shared" si="93"/>
        <v>1367409</v>
      </c>
      <c r="AK45" s="30">
        <f t="shared" si="11"/>
        <v>0</v>
      </c>
      <c r="AL45" s="30">
        <f t="shared" si="12"/>
        <v>0</v>
      </c>
      <c r="AM45" s="31">
        <f t="shared" si="13"/>
        <v>1367409</v>
      </c>
      <c r="AN45" s="31">
        <f t="shared" si="14"/>
        <v>0</v>
      </c>
      <c r="AO45" s="31">
        <f t="shared" si="4"/>
        <v>0</v>
      </c>
      <c r="AP45" s="30">
        <v>1367409</v>
      </c>
      <c r="AQ45" s="30">
        <f t="shared" si="5"/>
        <v>1367409</v>
      </c>
      <c r="AR45" s="30">
        <f t="shared" si="15"/>
        <v>0</v>
      </c>
      <c r="AS45" s="30">
        <f t="shared" si="16"/>
        <v>1367409</v>
      </c>
      <c r="AT45" s="30"/>
      <c r="AU45" s="30">
        <f t="shared" si="17"/>
        <v>1367409</v>
      </c>
      <c r="AV45" s="30">
        <v>1405317</v>
      </c>
      <c r="AW45" s="30">
        <f t="shared" si="18"/>
        <v>37908</v>
      </c>
      <c r="AX45" s="30">
        <v>1405317</v>
      </c>
      <c r="AY45" s="31">
        <f t="shared" si="88"/>
        <v>37908</v>
      </c>
      <c r="AZ45" s="31">
        <f t="shared" si="89"/>
        <v>0</v>
      </c>
      <c r="BA45" s="30">
        <v>1405317</v>
      </c>
      <c r="BB45" s="30">
        <f t="shared" si="19"/>
        <v>37908</v>
      </c>
      <c r="BC45" s="30">
        <f t="shared" si="20"/>
        <v>0</v>
      </c>
      <c r="BD45" s="30">
        <f t="shared" si="21"/>
        <v>0</v>
      </c>
      <c r="BE45" s="30">
        <v>1405317</v>
      </c>
      <c r="BF45" s="30">
        <v>1405317</v>
      </c>
      <c r="BG45" s="30">
        <v>1405317</v>
      </c>
      <c r="BH45" s="30">
        <f t="shared" si="22"/>
        <v>37908</v>
      </c>
      <c r="BI45" s="30">
        <f t="shared" si="23"/>
        <v>0</v>
      </c>
      <c r="BJ45" s="30">
        <f t="shared" si="24"/>
        <v>0</v>
      </c>
      <c r="BK45" s="8">
        <f t="shared" si="25"/>
        <v>0</v>
      </c>
      <c r="BL45" s="30"/>
      <c r="BM45" s="34">
        <f t="shared" si="26"/>
        <v>1405317</v>
      </c>
      <c r="BN45" s="45">
        <v>1842712</v>
      </c>
      <c r="BO45" s="32">
        <f t="shared" si="27"/>
        <v>437395</v>
      </c>
      <c r="BP45" s="45">
        <v>1405317</v>
      </c>
      <c r="BQ45" s="48">
        <f t="shared" si="28"/>
        <v>0</v>
      </c>
      <c r="BR45" s="48">
        <f t="shared" si="29"/>
        <v>-437395</v>
      </c>
      <c r="BS45" s="45">
        <f>BP45</f>
        <v>1405317</v>
      </c>
      <c r="BT45" s="49">
        <f t="shared" si="30"/>
        <v>0</v>
      </c>
      <c r="BU45" s="49">
        <f t="shared" si="31"/>
        <v>-437395</v>
      </c>
      <c r="BV45" s="49">
        <f t="shared" si="32"/>
        <v>0</v>
      </c>
      <c r="BW45" s="45">
        <v>1842412</v>
      </c>
      <c r="BX45" s="48">
        <f t="shared" si="33"/>
        <v>437095</v>
      </c>
      <c r="BY45" s="48">
        <f t="shared" si="34"/>
        <v>-300</v>
      </c>
      <c r="BZ45" s="48">
        <f t="shared" si="35"/>
        <v>437095</v>
      </c>
      <c r="CA45" s="45">
        <v>1842412</v>
      </c>
      <c r="CB45" s="8">
        <f t="shared" si="36"/>
        <v>437095</v>
      </c>
      <c r="CC45" s="8">
        <f t="shared" si="37"/>
        <v>-300</v>
      </c>
      <c r="CD45" s="8">
        <f t="shared" si="6"/>
        <v>437095</v>
      </c>
      <c r="CE45" s="8">
        <f t="shared" si="38"/>
        <v>0</v>
      </c>
      <c r="CF45" s="45">
        <v>1842412</v>
      </c>
      <c r="CG45" s="8">
        <f t="shared" si="39"/>
        <v>437095</v>
      </c>
      <c r="CH45" s="8">
        <f t="shared" si="40"/>
        <v>-300</v>
      </c>
      <c r="CI45" s="8">
        <f t="shared" si="41"/>
        <v>437095</v>
      </c>
      <c r="CJ45" s="8">
        <f t="shared" si="42"/>
        <v>0</v>
      </c>
      <c r="CK45" s="45">
        <v>1842412</v>
      </c>
      <c r="CL45" s="8">
        <f t="shared" si="7"/>
        <v>437095</v>
      </c>
      <c r="CM45" s="8">
        <f t="shared" si="43"/>
        <v>-300</v>
      </c>
      <c r="CN45" s="8">
        <f t="shared" si="44"/>
        <v>0</v>
      </c>
      <c r="CO45" s="45">
        <v>1806680</v>
      </c>
      <c r="CP45" s="45">
        <f t="shared" si="45"/>
        <v>-36032</v>
      </c>
      <c r="CQ45" s="8">
        <f t="shared" si="46"/>
        <v>-35732</v>
      </c>
      <c r="CR45" s="45">
        <v>1806680</v>
      </c>
      <c r="CS45" s="32"/>
      <c r="CT45" s="45">
        <f t="shared" si="47"/>
        <v>1806680</v>
      </c>
      <c r="CU45" s="8">
        <f t="shared" si="48"/>
        <v>-35732</v>
      </c>
      <c r="CV45" s="45">
        <f t="shared" si="49"/>
        <v>0</v>
      </c>
      <c r="CW45" s="45">
        <f t="shared" si="50"/>
        <v>0</v>
      </c>
      <c r="CX45" s="45">
        <v>1824546</v>
      </c>
      <c r="CY45" s="8">
        <f t="shared" si="51"/>
        <v>-17866</v>
      </c>
      <c r="CZ45" s="45">
        <f t="shared" si="52"/>
        <v>17866</v>
      </c>
      <c r="DA45" s="45">
        <f t="shared" si="53"/>
        <v>17866</v>
      </c>
      <c r="DB45" s="45">
        <v>1824546</v>
      </c>
      <c r="DC45" s="8">
        <f t="shared" si="54"/>
        <v>-17866</v>
      </c>
      <c r="DD45" s="45">
        <f t="shared" si="55"/>
        <v>17866</v>
      </c>
      <c r="DE45" s="45">
        <f t="shared" si="56"/>
        <v>17866</v>
      </c>
      <c r="DF45" s="45">
        <f t="shared" si="57"/>
        <v>0</v>
      </c>
      <c r="DG45" s="45">
        <v>1824546</v>
      </c>
      <c r="DH45" s="47">
        <f t="shared" si="58"/>
        <v>-17866</v>
      </c>
      <c r="DI45" s="45">
        <f t="shared" si="59"/>
        <v>17866</v>
      </c>
      <c r="DJ45" s="45">
        <f t="shared" si="60"/>
        <v>17866</v>
      </c>
      <c r="DK45" s="45">
        <f t="shared" si="61"/>
        <v>0</v>
      </c>
      <c r="DL45" s="45"/>
      <c r="DM45" s="45">
        <f t="shared" si="62"/>
        <v>1824546</v>
      </c>
      <c r="DN45" s="45">
        <v>1824546</v>
      </c>
      <c r="DO45" s="45">
        <f t="shared" si="63"/>
        <v>-17866</v>
      </c>
      <c r="DP45" s="45"/>
      <c r="DQ45" s="45">
        <v>0</v>
      </c>
      <c r="DR45" s="45">
        <f t="shared" si="64"/>
        <v>1824546</v>
      </c>
      <c r="DS45" s="45">
        <f t="shared" si="65"/>
        <v>-17866</v>
      </c>
      <c r="DT45" s="45"/>
      <c r="DU45" s="45">
        <f t="shared" si="66"/>
        <v>1824546</v>
      </c>
      <c r="DV45" s="45">
        <f t="shared" si="67"/>
        <v>-17866</v>
      </c>
      <c r="DW45" s="45">
        <v>1824546</v>
      </c>
      <c r="DX45" s="45">
        <v>2065969</v>
      </c>
      <c r="DY45" s="9"/>
      <c r="DZ45" s="8">
        <f t="shared" si="68"/>
        <v>241423</v>
      </c>
      <c r="EA45" s="47">
        <v>1824546</v>
      </c>
      <c r="EB45" s="8">
        <f t="shared" si="69"/>
        <v>0</v>
      </c>
      <c r="EC45" s="8">
        <f t="shared" si="70"/>
        <v>-241423</v>
      </c>
      <c r="ED45" s="73"/>
      <c r="EE45" s="44">
        <v>1824546</v>
      </c>
      <c r="EF45" s="30">
        <f t="shared" si="71"/>
        <v>0</v>
      </c>
      <c r="EG45" s="30">
        <f t="shared" si="72"/>
        <v>-241423</v>
      </c>
      <c r="EH45" s="30">
        <f t="shared" si="73"/>
        <v>0</v>
      </c>
      <c r="EI45" s="44">
        <v>1865969</v>
      </c>
      <c r="EJ45" s="30">
        <f t="shared" si="74"/>
        <v>41423</v>
      </c>
      <c r="EK45" s="30">
        <f t="shared" si="75"/>
        <v>-200000</v>
      </c>
      <c r="EL45" s="30">
        <f t="shared" si="76"/>
        <v>41423</v>
      </c>
      <c r="EM45" s="44">
        <v>1865969</v>
      </c>
      <c r="EN45" s="30">
        <f t="shared" si="90"/>
        <v>41423</v>
      </c>
      <c r="EO45" s="30">
        <f t="shared" si="91"/>
        <v>-200000</v>
      </c>
      <c r="EP45" s="30">
        <f t="shared" si="92"/>
        <v>41423</v>
      </c>
      <c r="EQ45" s="30">
        <f t="shared" si="77"/>
        <v>0</v>
      </c>
      <c r="ER45" s="44">
        <v>1824546</v>
      </c>
      <c r="ES45" s="30">
        <f t="shared" si="78"/>
        <v>0</v>
      </c>
      <c r="ET45" s="30">
        <f t="shared" si="79"/>
        <v>-241423</v>
      </c>
      <c r="EU45" s="30">
        <f t="shared" si="80"/>
        <v>0</v>
      </c>
      <c r="EV45" s="30">
        <f t="shared" si="81"/>
        <v>-41423</v>
      </c>
      <c r="EW45" s="44">
        <v>1824546</v>
      </c>
      <c r="EX45" s="30">
        <f t="shared" si="82"/>
        <v>0</v>
      </c>
      <c r="EY45" s="30">
        <f t="shared" si="83"/>
        <v>0</v>
      </c>
      <c r="EZ45" s="31">
        <v>1824546</v>
      </c>
      <c r="FA45" s="30">
        <f t="shared" si="84"/>
        <v>0</v>
      </c>
      <c r="FB45" s="30">
        <f t="shared" si="85"/>
        <v>0</v>
      </c>
    </row>
    <row r="46" spans="1:160" ht="12.75" hidden="1" customHeight="1" x14ac:dyDescent="0.2">
      <c r="A46" s="22" t="s">
        <v>23</v>
      </c>
      <c r="B46" s="23"/>
      <c r="C46" s="61" t="s">
        <v>146</v>
      </c>
      <c r="D46" s="25">
        <v>1820065</v>
      </c>
      <c r="E46" s="26">
        <v>2032758</v>
      </c>
      <c r="F46" s="26">
        <v>1860686</v>
      </c>
      <c r="G46" s="26">
        <f>1546270+50000</f>
        <v>1596270</v>
      </c>
      <c r="H46" s="27">
        <v>-50000</v>
      </c>
      <c r="I46" s="26">
        <f t="shared" si="0"/>
        <v>1546270</v>
      </c>
      <c r="J46" s="27">
        <v>-26927</v>
      </c>
      <c r="K46" s="27"/>
      <c r="L46" s="27">
        <f t="shared" si="1"/>
        <v>-26927</v>
      </c>
      <c r="M46" s="28">
        <f t="shared" si="8"/>
        <v>1519343</v>
      </c>
      <c r="N46" s="28">
        <v>1519343</v>
      </c>
      <c r="O46" s="28">
        <v>1488306</v>
      </c>
      <c r="P46" s="28">
        <v>1488306</v>
      </c>
      <c r="Q46" s="28">
        <v>1367409</v>
      </c>
      <c r="R46" s="28">
        <v>1488306</v>
      </c>
      <c r="S46" s="28">
        <v>8.1229999999999997E-2</v>
      </c>
      <c r="T46" s="28">
        <f t="shared" si="86"/>
        <v>-120895.09637999999</v>
      </c>
      <c r="U46" s="28">
        <f t="shared" si="87"/>
        <v>1367410.90362</v>
      </c>
      <c r="V46" s="28">
        <f t="shared" ref="V46:V53" si="97">U46-M46</f>
        <v>-151932.09638</v>
      </c>
      <c r="W46" s="29">
        <v>1367409</v>
      </c>
      <c r="X46" s="29"/>
      <c r="Y46" s="29">
        <f t="shared" si="9"/>
        <v>1367409</v>
      </c>
      <c r="Z46" s="30">
        <v>0</v>
      </c>
      <c r="AA46" s="30">
        <f t="shared" si="10"/>
        <v>-1367409</v>
      </c>
      <c r="AB46" s="30"/>
      <c r="AC46" s="30"/>
      <c r="AD46" s="31"/>
      <c r="AE46" s="30"/>
      <c r="AF46" s="30">
        <f>AC46-W46+X46</f>
        <v>-1367409</v>
      </c>
      <c r="AG46" s="30"/>
      <c r="AH46" s="31"/>
      <c r="AI46" s="31"/>
      <c r="AJ46" s="30">
        <f t="shared" si="93"/>
        <v>-1367409</v>
      </c>
      <c r="AK46" s="30">
        <f t="shared" si="11"/>
        <v>0</v>
      </c>
      <c r="AL46" s="30">
        <f t="shared" si="12"/>
        <v>0</v>
      </c>
      <c r="AM46" s="31">
        <f t="shared" si="13"/>
        <v>-1367409</v>
      </c>
      <c r="AN46" s="31">
        <f t="shared" si="14"/>
        <v>0</v>
      </c>
      <c r="AO46" s="31">
        <f t="shared" si="4"/>
        <v>0</v>
      </c>
      <c r="AP46" s="30"/>
      <c r="AQ46" s="30">
        <f t="shared" si="5"/>
        <v>-1367409</v>
      </c>
      <c r="AR46" s="30">
        <f t="shared" si="15"/>
        <v>0</v>
      </c>
      <c r="AS46" s="30">
        <f t="shared" si="16"/>
        <v>-1367409</v>
      </c>
      <c r="AT46" s="30"/>
      <c r="AU46" s="30">
        <f t="shared" si="17"/>
        <v>0</v>
      </c>
      <c r="AV46" s="30">
        <v>0</v>
      </c>
      <c r="AW46" s="30">
        <f t="shared" si="18"/>
        <v>0</v>
      </c>
      <c r="AX46" s="30">
        <v>0</v>
      </c>
      <c r="AY46" s="31">
        <f t="shared" si="88"/>
        <v>0</v>
      </c>
      <c r="AZ46" s="31">
        <f t="shared" si="89"/>
        <v>0</v>
      </c>
      <c r="BA46" s="30">
        <v>0</v>
      </c>
      <c r="BB46" s="30">
        <f t="shared" si="19"/>
        <v>0</v>
      </c>
      <c r="BC46" s="30">
        <f t="shared" si="20"/>
        <v>0</v>
      </c>
      <c r="BD46" s="30">
        <f t="shared" si="21"/>
        <v>0</v>
      </c>
      <c r="BE46" s="30"/>
      <c r="BF46" s="30"/>
      <c r="BG46" s="30"/>
      <c r="BH46" s="30">
        <f t="shared" si="22"/>
        <v>0</v>
      </c>
      <c r="BI46" s="30">
        <f t="shared" si="23"/>
        <v>0</v>
      </c>
      <c r="BJ46" s="30">
        <f t="shared" si="24"/>
        <v>0</v>
      </c>
      <c r="BK46" s="8">
        <f t="shared" si="25"/>
        <v>0</v>
      </c>
      <c r="BL46" s="30"/>
      <c r="BM46" s="30">
        <f t="shared" si="26"/>
        <v>0</v>
      </c>
      <c r="BN46" s="44"/>
      <c r="BO46" s="31">
        <f t="shared" si="27"/>
        <v>0</v>
      </c>
      <c r="BP46" s="44">
        <v>0</v>
      </c>
      <c r="BQ46" s="8">
        <f t="shared" si="28"/>
        <v>0</v>
      </c>
      <c r="BR46" s="8">
        <f t="shared" si="29"/>
        <v>0</v>
      </c>
      <c r="BS46" s="44"/>
      <c r="BT46" s="47">
        <f t="shared" si="30"/>
        <v>0</v>
      </c>
      <c r="BU46" s="47">
        <f t="shared" si="31"/>
        <v>0</v>
      </c>
      <c r="BV46" s="47">
        <f t="shared" si="32"/>
        <v>0</v>
      </c>
      <c r="BW46" s="45"/>
      <c r="BX46" s="8">
        <f t="shared" si="33"/>
        <v>0</v>
      </c>
      <c r="BY46" s="8">
        <f t="shared" si="34"/>
        <v>0</v>
      </c>
      <c r="BZ46" s="8">
        <f t="shared" si="35"/>
        <v>0</v>
      </c>
      <c r="CA46" s="45"/>
      <c r="CB46" s="8">
        <f t="shared" si="36"/>
        <v>0</v>
      </c>
      <c r="CC46" s="8">
        <f t="shared" si="37"/>
        <v>0</v>
      </c>
      <c r="CD46" s="8">
        <f t="shared" si="6"/>
        <v>0</v>
      </c>
      <c r="CE46" s="8">
        <f t="shared" si="38"/>
        <v>0</v>
      </c>
      <c r="CF46" s="45"/>
      <c r="CG46" s="8">
        <f t="shared" si="39"/>
        <v>0</v>
      </c>
      <c r="CH46" s="8">
        <f t="shared" si="40"/>
        <v>0</v>
      </c>
      <c r="CI46" s="8">
        <f t="shared" si="41"/>
        <v>0</v>
      </c>
      <c r="CJ46" s="8">
        <f t="shared" si="42"/>
        <v>0</v>
      </c>
      <c r="CK46" s="45"/>
      <c r="CL46" s="8">
        <f t="shared" si="7"/>
        <v>0</v>
      </c>
      <c r="CM46" s="8">
        <f t="shared" si="43"/>
        <v>0</v>
      </c>
      <c r="CN46" s="8">
        <f t="shared" si="44"/>
        <v>0</v>
      </c>
      <c r="CO46" s="45"/>
      <c r="CP46" s="45">
        <f t="shared" si="45"/>
        <v>0</v>
      </c>
      <c r="CQ46" s="8">
        <f t="shared" si="46"/>
        <v>0</v>
      </c>
      <c r="CR46" s="45"/>
      <c r="CS46" s="32"/>
      <c r="CT46" s="45">
        <f t="shared" si="47"/>
        <v>0</v>
      </c>
      <c r="CU46" s="8">
        <f t="shared" si="48"/>
        <v>0</v>
      </c>
      <c r="CV46" s="45">
        <f t="shared" si="49"/>
        <v>0</v>
      </c>
      <c r="CW46" s="45">
        <f t="shared" si="50"/>
        <v>0</v>
      </c>
      <c r="CX46" s="45"/>
      <c r="CY46" s="8">
        <f t="shared" si="51"/>
        <v>0</v>
      </c>
      <c r="CZ46" s="45">
        <f t="shared" si="52"/>
        <v>0</v>
      </c>
      <c r="DA46" s="45">
        <f t="shared" si="53"/>
        <v>0</v>
      </c>
      <c r="DB46" s="45"/>
      <c r="DC46" s="8">
        <f t="shared" si="54"/>
        <v>0</v>
      </c>
      <c r="DD46" s="45">
        <f t="shared" si="55"/>
        <v>0</v>
      </c>
      <c r="DE46" s="45">
        <f t="shared" si="56"/>
        <v>0</v>
      </c>
      <c r="DF46" s="45">
        <f t="shared" si="57"/>
        <v>0</v>
      </c>
      <c r="DG46" s="45"/>
      <c r="DH46" s="47">
        <f t="shared" si="58"/>
        <v>0</v>
      </c>
      <c r="DI46" s="45">
        <f t="shared" si="59"/>
        <v>0</v>
      </c>
      <c r="DJ46" s="45">
        <f t="shared" si="60"/>
        <v>0</v>
      </c>
      <c r="DK46" s="45">
        <f t="shared" si="61"/>
        <v>0</v>
      </c>
      <c r="DL46" s="45"/>
      <c r="DM46" s="45">
        <f t="shared" si="62"/>
        <v>0</v>
      </c>
      <c r="DN46" s="45"/>
      <c r="DO46" s="45">
        <f t="shared" si="63"/>
        <v>0</v>
      </c>
      <c r="DP46" s="45"/>
      <c r="DQ46" s="45"/>
      <c r="DR46" s="45">
        <f t="shared" si="64"/>
        <v>0</v>
      </c>
      <c r="DS46" s="45">
        <f t="shared" si="65"/>
        <v>0</v>
      </c>
      <c r="DT46" s="45"/>
      <c r="DU46" s="45">
        <f t="shared" si="66"/>
        <v>0</v>
      </c>
      <c r="DV46" s="45">
        <f t="shared" si="67"/>
        <v>0</v>
      </c>
      <c r="DW46" s="45">
        <v>0</v>
      </c>
      <c r="DX46" s="45"/>
      <c r="DY46" s="9"/>
      <c r="DZ46" s="8">
        <f t="shared" si="68"/>
        <v>0</v>
      </c>
      <c r="EA46" s="47"/>
      <c r="EB46" s="8">
        <f t="shared" si="69"/>
        <v>0</v>
      </c>
      <c r="EC46" s="8">
        <f t="shared" si="70"/>
        <v>0</v>
      </c>
      <c r="ED46" s="73"/>
      <c r="EE46" s="44"/>
      <c r="EF46" s="30">
        <f t="shared" si="71"/>
        <v>0</v>
      </c>
      <c r="EG46" s="30">
        <f t="shared" si="72"/>
        <v>0</v>
      </c>
      <c r="EH46" s="30">
        <f t="shared" si="73"/>
        <v>0</v>
      </c>
      <c r="EI46" s="44"/>
      <c r="EJ46" s="30">
        <f t="shared" si="74"/>
        <v>0</v>
      </c>
      <c r="EK46" s="30">
        <f t="shared" si="75"/>
        <v>0</v>
      </c>
      <c r="EL46" s="30">
        <f t="shared" si="76"/>
        <v>0</v>
      </c>
      <c r="EM46" s="44"/>
      <c r="EN46" s="30">
        <f t="shared" si="90"/>
        <v>0</v>
      </c>
      <c r="EO46" s="30">
        <f t="shared" si="91"/>
        <v>0</v>
      </c>
      <c r="EP46" s="30">
        <f t="shared" si="92"/>
        <v>0</v>
      </c>
      <c r="EQ46" s="30">
        <f t="shared" si="77"/>
        <v>0</v>
      </c>
      <c r="ER46" s="44"/>
      <c r="ES46" s="30">
        <f t="shared" si="78"/>
        <v>0</v>
      </c>
      <c r="ET46" s="30">
        <f t="shared" si="79"/>
        <v>0</v>
      </c>
      <c r="EU46" s="30">
        <f t="shared" si="80"/>
        <v>0</v>
      </c>
      <c r="EV46" s="30">
        <f t="shared" si="81"/>
        <v>0</v>
      </c>
      <c r="EW46" s="44"/>
      <c r="EX46" s="30">
        <f t="shared" si="82"/>
        <v>0</v>
      </c>
      <c r="EY46" s="30">
        <f t="shared" si="83"/>
        <v>0</v>
      </c>
      <c r="EZ46" s="31"/>
      <c r="FA46" s="30">
        <f t="shared" si="84"/>
        <v>0</v>
      </c>
      <c r="FB46" s="30">
        <f t="shared" si="85"/>
        <v>0</v>
      </c>
    </row>
    <row r="47" spans="1:160" ht="25.5" x14ac:dyDescent="0.2">
      <c r="A47" s="22" t="s">
        <v>36</v>
      </c>
      <c r="B47" s="23"/>
      <c r="C47" s="61" t="s">
        <v>37</v>
      </c>
      <c r="D47" s="25">
        <v>2000000</v>
      </c>
      <c r="E47" s="26">
        <v>5550000</v>
      </c>
      <c r="F47" s="26">
        <v>5302539</v>
      </c>
      <c r="G47" s="26">
        <v>2000000</v>
      </c>
      <c r="H47" s="27"/>
      <c r="I47" s="26">
        <f t="shared" si="0"/>
        <v>2000000</v>
      </c>
      <c r="J47" s="27"/>
      <c r="K47" s="27"/>
      <c r="L47" s="27">
        <f t="shared" si="1"/>
        <v>0</v>
      </c>
      <c r="M47" s="28">
        <f t="shared" si="8"/>
        <v>2000000</v>
      </c>
      <c r="N47" s="28">
        <v>2000000</v>
      </c>
      <c r="O47" s="28">
        <v>2000000</v>
      </c>
      <c r="P47" s="28">
        <v>2000000</v>
      </c>
      <c r="Q47" s="28">
        <v>1500000</v>
      </c>
      <c r="R47" s="28">
        <v>2000000</v>
      </c>
      <c r="S47" s="28">
        <v>0.25</v>
      </c>
      <c r="T47" s="28">
        <f t="shared" si="86"/>
        <v>-500000</v>
      </c>
      <c r="U47" s="28">
        <f t="shared" si="87"/>
        <v>1500000</v>
      </c>
      <c r="V47" s="28">
        <f t="shared" si="97"/>
        <v>-500000</v>
      </c>
      <c r="W47" s="29">
        <v>1500000</v>
      </c>
      <c r="X47" s="29"/>
      <c r="Y47" s="29">
        <f t="shared" si="9"/>
        <v>1500000</v>
      </c>
      <c r="Z47" s="30">
        <v>1500000</v>
      </c>
      <c r="AA47" s="30">
        <f t="shared" si="10"/>
        <v>0</v>
      </c>
      <c r="AB47" s="30">
        <v>1500000</v>
      </c>
      <c r="AC47" s="30">
        <v>1500000</v>
      </c>
      <c r="AD47" s="31">
        <v>1410000</v>
      </c>
      <c r="AE47" s="30"/>
      <c r="AF47" s="30"/>
      <c r="AG47" s="30"/>
      <c r="AH47" s="31">
        <v>1410000</v>
      </c>
      <c r="AI47" s="31">
        <v>1410000</v>
      </c>
      <c r="AJ47" s="30">
        <f t="shared" si="93"/>
        <v>-90000</v>
      </c>
      <c r="AK47" s="30">
        <f t="shared" si="11"/>
        <v>-90000</v>
      </c>
      <c r="AL47" s="30">
        <f t="shared" si="12"/>
        <v>-90000</v>
      </c>
      <c r="AM47" s="31">
        <f t="shared" si="13"/>
        <v>-90000</v>
      </c>
      <c r="AN47" s="31">
        <f t="shared" si="14"/>
        <v>-90000</v>
      </c>
      <c r="AO47" s="31">
        <f t="shared" si="4"/>
        <v>-90000</v>
      </c>
      <c r="AP47" s="30">
        <v>1410000</v>
      </c>
      <c r="AQ47" s="30">
        <f t="shared" si="5"/>
        <v>-90000</v>
      </c>
      <c r="AR47" s="30">
        <f t="shared" si="15"/>
        <v>-90000</v>
      </c>
      <c r="AS47" s="30">
        <f t="shared" si="16"/>
        <v>-90000</v>
      </c>
      <c r="AT47" s="30"/>
      <c r="AU47" s="30">
        <f t="shared" si="17"/>
        <v>1410000</v>
      </c>
      <c r="AV47" s="30">
        <v>1410000</v>
      </c>
      <c r="AW47" s="30">
        <f t="shared" si="18"/>
        <v>0</v>
      </c>
      <c r="AX47" s="30">
        <v>1410000</v>
      </c>
      <c r="AY47" s="31">
        <f t="shared" si="88"/>
        <v>0</v>
      </c>
      <c r="AZ47" s="31">
        <f t="shared" si="89"/>
        <v>0</v>
      </c>
      <c r="BA47" s="30">
        <v>1410000</v>
      </c>
      <c r="BB47" s="30">
        <f t="shared" si="19"/>
        <v>0</v>
      </c>
      <c r="BC47" s="30">
        <f t="shared" si="20"/>
        <v>0</v>
      </c>
      <c r="BD47" s="30">
        <f t="shared" si="21"/>
        <v>0</v>
      </c>
      <c r="BE47" s="30">
        <v>1410000</v>
      </c>
      <c r="BF47" s="30">
        <v>1410000</v>
      </c>
      <c r="BG47" s="30">
        <v>1410000</v>
      </c>
      <c r="BH47" s="30">
        <f t="shared" si="22"/>
        <v>0</v>
      </c>
      <c r="BI47" s="30">
        <f t="shared" si="23"/>
        <v>0</v>
      </c>
      <c r="BJ47" s="30">
        <f t="shared" si="24"/>
        <v>0</v>
      </c>
      <c r="BK47" s="8">
        <f t="shared" si="25"/>
        <v>0</v>
      </c>
      <c r="BL47" s="30"/>
      <c r="BM47" s="30">
        <f t="shared" si="26"/>
        <v>1410000</v>
      </c>
      <c r="BN47" s="44">
        <v>1410000</v>
      </c>
      <c r="BO47" s="31">
        <f t="shared" si="27"/>
        <v>0</v>
      </c>
      <c r="BP47" s="44">
        <v>1410000</v>
      </c>
      <c r="BQ47" s="8">
        <f t="shared" si="28"/>
        <v>0</v>
      </c>
      <c r="BR47" s="8">
        <f t="shared" si="29"/>
        <v>0</v>
      </c>
      <c r="BS47" s="44">
        <v>1610000</v>
      </c>
      <c r="BT47" s="47">
        <f t="shared" si="30"/>
        <v>200000</v>
      </c>
      <c r="BU47" s="47">
        <f t="shared" si="31"/>
        <v>200000</v>
      </c>
      <c r="BV47" s="47">
        <f t="shared" si="32"/>
        <v>200000</v>
      </c>
      <c r="BW47" s="45">
        <v>1410000</v>
      </c>
      <c r="BX47" s="8">
        <f t="shared" si="33"/>
        <v>0</v>
      </c>
      <c r="BY47" s="8">
        <f t="shared" si="34"/>
        <v>0</v>
      </c>
      <c r="BZ47" s="8">
        <f t="shared" si="35"/>
        <v>-200000</v>
      </c>
      <c r="CA47" s="45">
        <f>1410000+200000</f>
        <v>1610000</v>
      </c>
      <c r="CB47" s="8">
        <f t="shared" si="36"/>
        <v>200000</v>
      </c>
      <c r="CC47" s="8">
        <f t="shared" si="37"/>
        <v>200000</v>
      </c>
      <c r="CD47" s="8">
        <f t="shared" si="6"/>
        <v>0</v>
      </c>
      <c r="CE47" s="8">
        <f t="shared" si="38"/>
        <v>200000</v>
      </c>
      <c r="CF47" s="45">
        <v>1610000</v>
      </c>
      <c r="CG47" s="8">
        <f t="shared" si="39"/>
        <v>200000</v>
      </c>
      <c r="CH47" s="8">
        <f t="shared" si="40"/>
        <v>200000</v>
      </c>
      <c r="CI47" s="8">
        <f t="shared" si="41"/>
        <v>0</v>
      </c>
      <c r="CJ47" s="8">
        <f t="shared" si="42"/>
        <v>0</v>
      </c>
      <c r="CK47" s="45">
        <v>1610000</v>
      </c>
      <c r="CL47" s="8">
        <f t="shared" si="7"/>
        <v>200000</v>
      </c>
      <c r="CM47" s="8">
        <f t="shared" si="43"/>
        <v>200000</v>
      </c>
      <c r="CN47" s="8">
        <f t="shared" si="44"/>
        <v>0</v>
      </c>
      <c r="CO47" s="45">
        <f>CK47</f>
        <v>1610000</v>
      </c>
      <c r="CP47" s="45">
        <f t="shared" si="45"/>
        <v>200000</v>
      </c>
      <c r="CQ47" s="8">
        <f t="shared" si="46"/>
        <v>0</v>
      </c>
      <c r="CR47" s="45">
        <v>1410000</v>
      </c>
      <c r="CS47" s="32">
        <v>300000</v>
      </c>
      <c r="CT47" s="45">
        <f t="shared" si="47"/>
        <v>1710000</v>
      </c>
      <c r="CU47" s="8">
        <f t="shared" si="48"/>
        <v>100000</v>
      </c>
      <c r="CV47" s="45">
        <f t="shared" si="49"/>
        <v>100000</v>
      </c>
      <c r="CW47" s="45">
        <f t="shared" si="50"/>
        <v>300000</v>
      </c>
      <c r="CX47" s="45">
        <v>1410000</v>
      </c>
      <c r="CY47" s="8">
        <f t="shared" si="51"/>
        <v>-200000</v>
      </c>
      <c r="CZ47" s="45">
        <f t="shared" si="52"/>
        <v>-200000</v>
      </c>
      <c r="DA47" s="45">
        <f t="shared" si="53"/>
        <v>-300000</v>
      </c>
      <c r="DB47" s="45">
        <v>1410000</v>
      </c>
      <c r="DC47" s="8">
        <f t="shared" si="54"/>
        <v>-200000</v>
      </c>
      <c r="DD47" s="45">
        <f t="shared" si="55"/>
        <v>-200000</v>
      </c>
      <c r="DE47" s="45">
        <f t="shared" si="56"/>
        <v>-300000</v>
      </c>
      <c r="DF47" s="45">
        <f t="shared" si="57"/>
        <v>0</v>
      </c>
      <c r="DG47" s="45">
        <v>1715000</v>
      </c>
      <c r="DH47" s="47">
        <f t="shared" si="58"/>
        <v>105000</v>
      </c>
      <c r="DI47" s="45">
        <f t="shared" si="59"/>
        <v>105000</v>
      </c>
      <c r="DJ47" s="45">
        <f t="shared" si="60"/>
        <v>5000</v>
      </c>
      <c r="DK47" s="45">
        <f t="shared" si="61"/>
        <v>305000</v>
      </c>
      <c r="DL47" s="45"/>
      <c r="DM47" s="45">
        <f t="shared" si="62"/>
        <v>1715000</v>
      </c>
      <c r="DN47" s="45">
        <v>1715000</v>
      </c>
      <c r="DO47" s="45">
        <f t="shared" si="63"/>
        <v>105000</v>
      </c>
      <c r="DP47" s="45"/>
      <c r="DQ47" s="45">
        <v>-34891</v>
      </c>
      <c r="DR47" s="45">
        <f t="shared" si="64"/>
        <v>1680109</v>
      </c>
      <c r="DS47" s="45">
        <f t="shared" si="65"/>
        <v>70109</v>
      </c>
      <c r="DT47" s="45"/>
      <c r="DU47" s="45">
        <f t="shared" si="66"/>
        <v>1680109</v>
      </c>
      <c r="DV47" s="45">
        <f t="shared" si="67"/>
        <v>70109</v>
      </c>
      <c r="DW47" s="45">
        <v>1680109</v>
      </c>
      <c r="DX47" s="45">
        <v>1675109</v>
      </c>
      <c r="DY47" s="9"/>
      <c r="DZ47" s="8">
        <f t="shared" si="68"/>
        <v>-5000</v>
      </c>
      <c r="EA47" s="47">
        <v>1475106</v>
      </c>
      <c r="EB47" s="8">
        <f t="shared" si="69"/>
        <v>-205003</v>
      </c>
      <c r="EC47" s="8">
        <f t="shared" si="70"/>
        <v>-200003</v>
      </c>
      <c r="ED47" s="71" t="s">
        <v>273</v>
      </c>
      <c r="EE47" s="44">
        <v>2110000</v>
      </c>
      <c r="EF47" s="30">
        <f t="shared" si="71"/>
        <v>429891</v>
      </c>
      <c r="EG47" s="30">
        <f t="shared" si="72"/>
        <v>434891</v>
      </c>
      <c r="EH47" s="30">
        <f t="shared" si="73"/>
        <v>634894</v>
      </c>
      <c r="EI47" s="44">
        <v>1780109</v>
      </c>
      <c r="EJ47" s="30">
        <f t="shared" si="74"/>
        <v>100000</v>
      </c>
      <c r="EK47" s="30">
        <f t="shared" si="75"/>
        <v>105000</v>
      </c>
      <c r="EL47" s="30">
        <f t="shared" si="76"/>
        <v>-329891</v>
      </c>
      <c r="EM47" s="44">
        <f>1780109+15000+10000+60000+25000</f>
        <v>1890109</v>
      </c>
      <c r="EN47" s="30">
        <f t="shared" si="90"/>
        <v>210000</v>
      </c>
      <c r="EO47" s="30">
        <f t="shared" si="91"/>
        <v>215000</v>
      </c>
      <c r="EP47" s="30">
        <f t="shared" si="92"/>
        <v>-219891</v>
      </c>
      <c r="EQ47" s="30">
        <f t="shared" si="77"/>
        <v>110000</v>
      </c>
      <c r="ER47" s="44">
        <v>2310000</v>
      </c>
      <c r="ES47" s="30">
        <f t="shared" si="78"/>
        <v>629891</v>
      </c>
      <c r="ET47" s="30">
        <f t="shared" si="79"/>
        <v>634891</v>
      </c>
      <c r="EU47" s="30">
        <f t="shared" si="80"/>
        <v>200000</v>
      </c>
      <c r="EV47" s="30">
        <f t="shared" si="81"/>
        <v>419891</v>
      </c>
      <c r="EW47" s="44">
        <f>2310000-170000</f>
        <v>2140000</v>
      </c>
      <c r="EX47" s="30">
        <f t="shared" si="82"/>
        <v>459891</v>
      </c>
      <c r="EY47" s="30">
        <f t="shared" si="83"/>
        <v>-170000</v>
      </c>
      <c r="EZ47" s="31">
        <f>2310000</f>
        <v>2310000</v>
      </c>
      <c r="FA47" s="30">
        <f t="shared" si="84"/>
        <v>629891</v>
      </c>
      <c r="FB47" s="30">
        <f t="shared" si="85"/>
        <v>170000</v>
      </c>
      <c r="FD47" s="3"/>
    </row>
    <row r="48" spans="1:160" ht="25.5" x14ac:dyDescent="0.2">
      <c r="A48" s="46" t="s">
        <v>191</v>
      </c>
      <c r="B48" s="23"/>
      <c r="C48" s="60" t="s">
        <v>213</v>
      </c>
      <c r="D48" s="25"/>
      <c r="E48" s="26"/>
      <c r="F48" s="26"/>
      <c r="G48" s="26"/>
      <c r="H48" s="27"/>
      <c r="I48" s="26"/>
      <c r="J48" s="27"/>
      <c r="K48" s="27"/>
      <c r="L48" s="2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9"/>
      <c r="X48" s="29"/>
      <c r="Y48" s="29"/>
      <c r="Z48" s="30"/>
      <c r="AA48" s="30"/>
      <c r="AB48" s="30"/>
      <c r="AC48" s="30"/>
      <c r="AD48" s="31"/>
      <c r="AE48" s="30"/>
      <c r="AF48" s="30"/>
      <c r="AG48" s="30"/>
      <c r="AH48" s="31"/>
      <c r="AI48" s="31"/>
      <c r="AJ48" s="30"/>
      <c r="AK48" s="30"/>
      <c r="AL48" s="30"/>
      <c r="AM48" s="31"/>
      <c r="AN48" s="31"/>
      <c r="AO48" s="31"/>
      <c r="AP48" s="30"/>
      <c r="AQ48" s="30"/>
      <c r="AR48" s="30"/>
      <c r="AS48" s="30"/>
      <c r="AT48" s="30"/>
      <c r="AU48" s="30"/>
      <c r="AV48" s="30"/>
      <c r="AW48" s="30"/>
      <c r="AX48" s="30"/>
      <c r="AY48" s="31"/>
      <c r="AZ48" s="31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8"/>
      <c r="BL48" s="30"/>
      <c r="BM48" s="30"/>
      <c r="BN48" s="44"/>
      <c r="BO48" s="31"/>
      <c r="BP48" s="44"/>
      <c r="BQ48" s="8"/>
      <c r="BR48" s="8"/>
      <c r="BS48" s="45">
        <v>200000</v>
      </c>
      <c r="BT48" s="47">
        <f t="shared" ref="BT48" si="98">BS48-BM48</f>
        <v>200000</v>
      </c>
      <c r="BU48" s="47">
        <f t="shared" ref="BU48" si="99">BS48-BN48</f>
        <v>200000</v>
      </c>
      <c r="BV48" s="47">
        <f t="shared" si="32"/>
        <v>200000</v>
      </c>
      <c r="BW48" s="45">
        <v>0</v>
      </c>
      <c r="BX48" s="8">
        <f t="shared" si="33"/>
        <v>0</v>
      </c>
      <c r="BY48" s="8">
        <f t="shared" si="34"/>
        <v>0</v>
      </c>
      <c r="BZ48" s="8">
        <f t="shared" si="35"/>
        <v>-200000</v>
      </c>
      <c r="CA48" s="45">
        <v>0</v>
      </c>
      <c r="CB48" s="8">
        <f t="shared" si="36"/>
        <v>0</v>
      </c>
      <c r="CC48" s="8">
        <f t="shared" si="37"/>
        <v>0</v>
      </c>
      <c r="CD48" s="8">
        <f t="shared" si="6"/>
        <v>-200000</v>
      </c>
      <c r="CE48" s="8">
        <f t="shared" si="38"/>
        <v>0</v>
      </c>
      <c r="CF48" s="45">
        <v>200000</v>
      </c>
      <c r="CG48" s="8">
        <f t="shared" si="39"/>
        <v>200000</v>
      </c>
      <c r="CH48" s="8">
        <f t="shared" si="40"/>
        <v>200000</v>
      </c>
      <c r="CI48" s="8">
        <f t="shared" si="41"/>
        <v>0</v>
      </c>
      <c r="CJ48" s="8">
        <f t="shared" si="42"/>
        <v>200000</v>
      </c>
      <c r="CK48" s="45">
        <v>200000</v>
      </c>
      <c r="CL48" s="8">
        <f t="shared" si="7"/>
        <v>200000</v>
      </c>
      <c r="CM48" s="8">
        <f t="shared" si="43"/>
        <v>200000</v>
      </c>
      <c r="CN48" s="8">
        <f t="shared" si="44"/>
        <v>0</v>
      </c>
      <c r="CO48" s="45">
        <v>0</v>
      </c>
      <c r="CP48" s="45">
        <f t="shared" si="45"/>
        <v>0</v>
      </c>
      <c r="CQ48" s="8">
        <f t="shared" si="46"/>
        <v>-200000</v>
      </c>
      <c r="CR48" s="45">
        <v>0</v>
      </c>
      <c r="CS48" s="32">
        <v>200000</v>
      </c>
      <c r="CT48" s="45">
        <f t="shared" si="47"/>
        <v>200000</v>
      </c>
      <c r="CU48" s="8">
        <f t="shared" si="48"/>
        <v>0</v>
      </c>
      <c r="CV48" s="45">
        <f t="shared" si="49"/>
        <v>200000</v>
      </c>
      <c r="CW48" s="45">
        <f t="shared" si="50"/>
        <v>200000</v>
      </c>
      <c r="CX48" s="45">
        <v>0</v>
      </c>
      <c r="CY48" s="8">
        <f t="shared" si="51"/>
        <v>-200000</v>
      </c>
      <c r="CZ48" s="45">
        <f t="shared" si="52"/>
        <v>0</v>
      </c>
      <c r="DA48" s="45">
        <f t="shared" si="53"/>
        <v>-200000</v>
      </c>
      <c r="DB48" s="45">
        <v>0</v>
      </c>
      <c r="DC48" s="8">
        <f t="shared" si="54"/>
        <v>-200000</v>
      </c>
      <c r="DD48" s="45">
        <f t="shared" si="55"/>
        <v>0</v>
      </c>
      <c r="DE48" s="45">
        <f t="shared" si="56"/>
        <v>-200000</v>
      </c>
      <c r="DF48" s="45">
        <f t="shared" si="57"/>
        <v>0</v>
      </c>
      <c r="DG48" s="45">
        <v>200000</v>
      </c>
      <c r="DH48" s="47">
        <f t="shared" si="58"/>
        <v>0</v>
      </c>
      <c r="DI48" s="45">
        <f t="shared" si="59"/>
        <v>200000</v>
      </c>
      <c r="DJ48" s="45">
        <f t="shared" si="60"/>
        <v>0</v>
      </c>
      <c r="DK48" s="45">
        <f t="shared" si="61"/>
        <v>200000</v>
      </c>
      <c r="DL48" s="45"/>
      <c r="DM48" s="45">
        <f t="shared" si="62"/>
        <v>200000</v>
      </c>
      <c r="DN48" s="45">
        <v>200000</v>
      </c>
      <c r="DO48" s="45">
        <f t="shared" si="63"/>
        <v>0</v>
      </c>
      <c r="DP48" s="45"/>
      <c r="DQ48" s="45">
        <v>-3000</v>
      </c>
      <c r="DR48" s="45">
        <f t="shared" si="64"/>
        <v>197000</v>
      </c>
      <c r="DS48" s="45">
        <f t="shared" si="65"/>
        <v>-3000</v>
      </c>
      <c r="DT48" s="45">
        <v>-197000</v>
      </c>
      <c r="DU48" s="45">
        <f t="shared" si="66"/>
        <v>0</v>
      </c>
      <c r="DV48" s="45">
        <f t="shared" si="67"/>
        <v>-200000</v>
      </c>
      <c r="DW48" s="45">
        <v>0</v>
      </c>
      <c r="DX48" s="45">
        <v>0</v>
      </c>
      <c r="DY48" s="9"/>
      <c r="DZ48" s="8">
        <f t="shared" si="68"/>
        <v>0</v>
      </c>
      <c r="EA48" s="47">
        <v>200000</v>
      </c>
      <c r="EB48" s="8">
        <f t="shared" si="69"/>
        <v>200000</v>
      </c>
      <c r="EC48" s="8">
        <f t="shared" si="70"/>
        <v>200000</v>
      </c>
      <c r="ED48" s="73"/>
      <c r="EE48" s="44">
        <v>300000</v>
      </c>
      <c r="EF48" s="30">
        <f t="shared" si="71"/>
        <v>300000</v>
      </c>
      <c r="EG48" s="30">
        <f t="shared" si="72"/>
        <v>300000</v>
      </c>
      <c r="EH48" s="30">
        <f t="shared" si="73"/>
        <v>100000</v>
      </c>
      <c r="EI48" s="44">
        <v>0</v>
      </c>
      <c r="EJ48" s="30">
        <f t="shared" si="74"/>
        <v>0</v>
      </c>
      <c r="EK48" s="30">
        <f t="shared" si="75"/>
        <v>0</v>
      </c>
      <c r="EL48" s="30">
        <f t="shared" si="76"/>
        <v>-300000</v>
      </c>
      <c r="EM48" s="44">
        <v>500000</v>
      </c>
      <c r="EN48" s="30">
        <f t="shared" si="90"/>
        <v>500000</v>
      </c>
      <c r="EO48" s="30">
        <f t="shared" si="91"/>
        <v>500000</v>
      </c>
      <c r="EP48" s="30">
        <f t="shared" si="92"/>
        <v>200000</v>
      </c>
      <c r="EQ48" s="30">
        <f t="shared" si="77"/>
        <v>500000</v>
      </c>
      <c r="ER48" s="44">
        <v>500000</v>
      </c>
      <c r="ES48" s="30">
        <f t="shared" si="78"/>
        <v>500000</v>
      </c>
      <c r="ET48" s="30">
        <f t="shared" si="79"/>
        <v>500000</v>
      </c>
      <c r="EU48" s="30">
        <f t="shared" si="80"/>
        <v>200000</v>
      </c>
      <c r="EV48" s="30">
        <f t="shared" si="81"/>
        <v>0</v>
      </c>
      <c r="EW48" s="44">
        <v>500000</v>
      </c>
      <c r="EX48" s="30">
        <f t="shared" si="82"/>
        <v>500000</v>
      </c>
      <c r="EY48" s="30">
        <f t="shared" si="83"/>
        <v>0</v>
      </c>
      <c r="EZ48" s="31">
        <v>500000</v>
      </c>
      <c r="FA48" s="30">
        <f t="shared" si="84"/>
        <v>500000</v>
      </c>
      <c r="FB48" s="30">
        <f t="shared" si="85"/>
        <v>0</v>
      </c>
    </row>
    <row r="49" spans="1:158" ht="12.75" x14ac:dyDescent="0.2">
      <c r="A49" s="22" t="s">
        <v>28</v>
      </c>
      <c r="B49" s="23"/>
      <c r="C49" s="61" t="s">
        <v>40</v>
      </c>
      <c r="D49" s="25">
        <v>1195840</v>
      </c>
      <c r="E49" s="26">
        <v>1195840</v>
      </c>
      <c r="F49" s="26">
        <v>1180621</v>
      </c>
      <c r="G49" s="26">
        <v>200000</v>
      </c>
      <c r="H49" s="27"/>
      <c r="I49" s="26">
        <f t="shared" si="0"/>
        <v>200000</v>
      </c>
      <c r="J49" s="27">
        <v>-53860</v>
      </c>
      <c r="K49" s="27"/>
      <c r="L49" s="27">
        <f t="shared" si="1"/>
        <v>-53860</v>
      </c>
      <c r="M49" s="28">
        <f t="shared" si="8"/>
        <v>146140</v>
      </c>
      <c r="N49" s="28">
        <v>146140</v>
      </c>
      <c r="O49" s="28">
        <v>0</v>
      </c>
      <c r="P49" s="28">
        <v>200000</v>
      </c>
      <c r="Q49" s="28">
        <v>146140</v>
      </c>
      <c r="R49" s="28">
        <v>146140</v>
      </c>
      <c r="S49" s="28">
        <v>0</v>
      </c>
      <c r="T49" s="28">
        <f t="shared" si="86"/>
        <v>0</v>
      </c>
      <c r="U49" s="28">
        <f t="shared" si="87"/>
        <v>146140</v>
      </c>
      <c r="V49" s="28">
        <f t="shared" si="97"/>
        <v>0</v>
      </c>
      <c r="W49" s="29">
        <v>146140</v>
      </c>
      <c r="X49" s="29"/>
      <c r="Y49" s="29">
        <f t="shared" si="9"/>
        <v>146140</v>
      </c>
      <c r="Z49" s="30">
        <v>146140</v>
      </c>
      <c r="AA49" s="30">
        <f t="shared" si="10"/>
        <v>0</v>
      </c>
      <c r="AB49" s="30">
        <v>0</v>
      </c>
      <c r="AC49" s="30">
        <v>146140</v>
      </c>
      <c r="AD49" s="31">
        <v>146140</v>
      </c>
      <c r="AE49" s="30">
        <f t="shared" si="96"/>
        <v>146140</v>
      </c>
      <c r="AF49" s="30"/>
      <c r="AG49" s="30"/>
      <c r="AH49" s="31">
        <v>146140</v>
      </c>
      <c r="AI49" s="31">
        <v>146140</v>
      </c>
      <c r="AJ49" s="30">
        <f t="shared" si="93"/>
        <v>0</v>
      </c>
      <c r="AK49" s="30">
        <f t="shared" si="11"/>
        <v>0</v>
      </c>
      <c r="AL49" s="30">
        <f t="shared" si="12"/>
        <v>0</v>
      </c>
      <c r="AM49" s="31">
        <f t="shared" si="13"/>
        <v>0</v>
      </c>
      <c r="AN49" s="31">
        <f t="shared" si="14"/>
        <v>0</v>
      </c>
      <c r="AO49" s="31">
        <f t="shared" si="4"/>
        <v>0</v>
      </c>
      <c r="AP49" s="30">
        <v>146140</v>
      </c>
      <c r="AQ49" s="30">
        <f t="shared" si="5"/>
        <v>0</v>
      </c>
      <c r="AR49" s="30">
        <f t="shared" si="15"/>
        <v>0</v>
      </c>
      <c r="AS49" s="30">
        <f t="shared" si="16"/>
        <v>0</v>
      </c>
      <c r="AT49" s="30"/>
      <c r="AU49" s="30">
        <f t="shared" si="17"/>
        <v>146140</v>
      </c>
      <c r="AV49" s="30">
        <v>146140</v>
      </c>
      <c r="AW49" s="30">
        <f t="shared" si="18"/>
        <v>0</v>
      </c>
      <c r="AX49" s="30">
        <v>0</v>
      </c>
      <c r="AY49" s="31">
        <f t="shared" si="88"/>
        <v>-146140</v>
      </c>
      <c r="AZ49" s="31">
        <f t="shared" si="89"/>
        <v>-146140</v>
      </c>
      <c r="BA49" s="30">
        <v>146140</v>
      </c>
      <c r="BB49" s="30">
        <f t="shared" si="19"/>
        <v>0</v>
      </c>
      <c r="BC49" s="30">
        <f t="shared" si="20"/>
        <v>0</v>
      </c>
      <c r="BD49" s="30">
        <f t="shared" si="21"/>
        <v>146140</v>
      </c>
      <c r="BE49" s="30">
        <v>146140</v>
      </c>
      <c r="BF49" s="30">
        <v>146140</v>
      </c>
      <c r="BG49" s="30">
        <v>146140</v>
      </c>
      <c r="BH49" s="30">
        <f t="shared" si="22"/>
        <v>0</v>
      </c>
      <c r="BI49" s="30">
        <f t="shared" si="23"/>
        <v>0</v>
      </c>
      <c r="BJ49" s="30">
        <f t="shared" si="24"/>
        <v>0</v>
      </c>
      <c r="BK49" s="8">
        <f t="shared" si="25"/>
        <v>0</v>
      </c>
      <c r="BL49" s="30"/>
      <c r="BM49" s="30">
        <f t="shared" si="26"/>
        <v>146140</v>
      </c>
      <c r="BN49" s="44">
        <v>146140</v>
      </c>
      <c r="BO49" s="31">
        <f t="shared" si="27"/>
        <v>0</v>
      </c>
      <c r="BP49" s="44">
        <v>0</v>
      </c>
      <c r="BQ49" s="8">
        <f t="shared" si="28"/>
        <v>-146140</v>
      </c>
      <c r="BR49" s="8">
        <f t="shared" si="29"/>
        <v>-146140</v>
      </c>
      <c r="BS49" s="44">
        <v>200000</v>
      </c>
      <c r="BT49" s="47">
        <f t="shared" si="30"/>
        <v>53860</v>
      </c>
      <c r="BU49" s="47">
        <f t="shared" si="31"/>
        <v>53860</v>
      </c>
      <c r="BV49" s="47">
        <f t="shared" si="32"/>
        <v>200000</v>
      </c>
      <c r="BW49" s="45">
        <v>146140</v>
      </c>
      <c r="BX49" s="8">
        <f t="shared" si="33"/>
        <v>0</v>
      </c>
      <c r="BY49" s="8">
        <f t="shared" si="34"/>
        <v>0</v>
      </c>
      <c r="BZ49" s="8">
        <f t="shared" si="35"/>
        <v>-53860</v>
      </c>
      <c r="CA49" s="45">
        <v>146140</v>
      </c>
      <c r="CB49" s="8">
        <f t="shared" si="36"/>
        <v>0</v>
      </c>
      <c r="CC49" s="8">
        <f t="shared" si="37"/>
        <v>0</v>
      </c>
      <c r="CD49" s="8">
        <f t="shared" si="6"/>
        <v>-53860</v>
      </c>
      <c r="CE49" s="8">
        <f t="shared" si="38"/>
        <v>0</v>
      </c>
      <c r="CF49" s="45">
        <v>146140</v>
      </c>
      <c r="CG49" s="8">
        <f t="shared" si="39"/>
        <v>0</v>
      </c>
      <c r="CH49" s="8">
        <f t="shared" si="40"/>
        <v>0</v>
      </c>
      <c r="CI49" s="8">
        <f t="shared" si="41"/>
        <v>-53860</v>
      </c>
      <c r="CJ49" s="8">
        <f t="shared" si="42"/>
        <v>0</v>
      </c>
      <c r="CK49" s="45">
        <v>146140</v>
      </c>
      <c r="CL49" s="8">
        <f t="shared" si="7"/>
        <v>0</v>
      </c>
      <c r="CM49" s="8">
        <f t="shared" si="43"/>
        <v>0</v>
      </c>
      <c r="CN49" s="8">
        <f t="shared" si="44"/>
        <v>0</v>
      </c>
      <c r="CO49" s="45">
        <v>146140</v>
      </c>
      <c r="CP49" s="45">
        <f t="shared" si="45"/>
        <v>0</v>
      </c>
      <c r="CQ49" s="8">
        <f t="shared" si="46"/>
        <v>0</v>
      </c>
      <c r="CR49" s="45">
        <v>0</v>
      </c>
      <c r="CS49" s="31">
        <v>246140</v>
      </c>
      <c r="CT49" s="45">
        <f t="shared" si="47"/>
        <v>246140</v>
      </c>
      <c r="CU49" s="8">
        <f t="shared" si="48"/>
        <v>100000</v>
      </c>
      <c r="CV49" s="45">
        <f t="shared" si="49"/>
        <v>100000</v>
      </c>
      <c r="CW49" s="45">
        <f t="shared" si="50"/>
        <v>246140</v>
      </c>
      <c r="CX49" s="45">
        <v>146140</v>
      </c>
      <c r="CY49" s="8">
        <f t="shared" si="51"/>
        <v>0</v>
      </c>
      <c r="CZ49" s="45">
        <f t="shared" si="52"/>
        <v>0</v>
      </c>
      <c r="DA49" s="45">
        <f t="shared" si="53"/>
        <v>-100000</v>
      </c>
      <c r="DB49" s="45">
        <v>146140</v>
      </c>
      <c r="DC49" s="8">
        <f t="shared" si="54"/>
        <v>0</v>
      </c>
      <c r="DD49" s="45">
        <f t="shared" si="55"/>
        <v>0</v>
      </c>
      <c r="DE49" s="45">
        <f t="shared" si="56"/>
        <v>-100000</v>
      </c>
      <c r="DF49" s="45">
        <f t="shared" si="57"/>
        <v>0</v>
      </c>
      <c r="DG49" s="45">
        <v>246140</v>
      </c>
      <c r="DH49" s="47">
        <f t="shared" si="58"/>
        <v>100000</v>
      </c>
      <c r="DI49" s="45">
        <f t="shared" si="59"/>
        <v>100000</v>
      </c>
      <c r="DJ49" s="45">
        <f t="shared" si="60"/>
        <v>0</v>
      </c>
      <c r="DK49" s="45">
        <f t="shared" si="61"/>
        <v>100000</v>
      </c>
      <c r="DL49" s="45"/>
      <c r="DM49" s="45">
        <f t="shared" si="62"/>
        <v>246140</v>
      </c>
      <c r="DN49" s="45">
        <v>246140</v>
      </c>
      <c r="DO49" s="45">
        <f t="shared" si="63"/>
        <v>100000</v>
      </c>
      <c r="DP49" s="45"/>
      <c r="DQ49" s="45">
        <v>-3692</v>
      </c>
      <c r="DR49" s="45">
        <f t="shared" si="64"/>
        <v>242448</v>
      </c>
      <c r="DS49" s="45">
        <f t="shared" si="65"/>
        <v>96308</v>
      </c>
      <c r="DT49" s="45"/>
      <c r="DU49" s="45">
        <f t="shared" si="66"/>
        <v>242448</v>
      </c>
      <c r="DV49" s="45">
        <f t="shared" si="67"/>
        <v>96308</v>
      </c>
      <c r="DW49" s="45">
        <v>242448</v>
      </c>
      <c r="DX49" s="45">
        <v>0</v>
      </c>
      <c r="DY49" s="9"/>
      <c r="DZ49" s="8">
        <f t="shared" si="68"/>
        <v>-242448</v>
      </c>
      <c r="EA49" s="47">
        <v>0</v>
      </c>
      <c r="EB49" s="8">
        <f t="shared" si="69"/>
        <v>-242448</v>
      </c>
      <c r="EC49" s="8">
        <f t="shared" si="70"/>
        <v>0</v>
      </c>
      <c r="ED49" s="71" t="s">
        <v>270</v>
      </c>
      <c r="EE49" s="44">
        <v>250000</v>
      </c>
      <c r="EF49" s="30">
        <f t="shared" si="71"/>
        <v>7552</v>
      </c>
      <c r="EG49" s="30">
        <f t="shared" si="72"/>
        <v>250000</v>
      </c>
      <c r="EH49" s="30">
        <f t="shared" si="73"/>
        <v>250000</v>
      </c>
      <c r="EI49" s="44">
        <v>246140</v>
      </c>
      <c r="EJ49" s="30">
        <f t="shared" si="74"/>
        <v>3692</v>
      </c>
      <c r="EK49" s="30">
        <f t="shared" si="75"/>
        <v>246140</v>
      </c>
      <c r="EL49" s="30">
        <f t="shared" si="76"/>
        <v>-3860</v>
      </c>
      <c r="EM49" s="44">
        <v>246140</v>
      </c>
      <c r="EN49" s="30">
        <f t="shared" si="90"/>
        <v>3692</v>
      </c>
      <c r="EO49" s="30">
        <f t="shared" si="91"/>
        <v>246140</v>
      </c>
      <c r="EP49" s="30">
        <f t="shared" si="92"/>
        <v>-3860</v>
      </c>
      <c r="EQ49" s="30">
        <f t="shared" si="77"/>
        <v>0</v>
      </c>
      <c r="ER49" s="44">
        <v>250000</v>
      </c>
      <c r="ES49" s="30">
        <f t="shared" si="78"/>
        <v>7552</v>
      </c>
      <c r="ET49" s="30">
        <f t="shared" si="79"/>
        <v>250000</v>
      </c>
      <c r="EU49" s="30">
        <f t="shared" si="80"/>
        <v>0</v>
      </c>
      <c r="EV49" s="30">
        <f t="shared" si="81"/>
        <v>3860</v>
      </c>
      <c r="EW49" s="44">
        <v>250000</v>
      </c>
      <c r="EX49" s="30">
        <f t="shared" si="82"/>
        <v>7552</v>
      </c>
      <c r="EY49" s="30">
        <f t="shared" si="83"/>
        <v>0</v>
      </c>
      <c r="EZ49" s="31">
        <v>250000</v>
      </c>
      <c r="FA49" s="30">
        <f t="shared" si="84"/>
        <v>7552</v>
      </c>
      <c r="FB49" s="30">
        <f t="shared" si="85"/>
        <v>0</v>
      </c>
    </row>
    <row r="50" spans="1:158" ht="12.75" x14ac:dyDescent="0.2">
      <c r="A50" s="22" t="s">
        <v>11</v>
      </c>
      <c r="B50" s="23"/>
      <c r="C50" s="61" t="s">
        <v>12</v>
      </c>
      <c r="D50" s="25">
        <v>100000</v>
      </c>
      <c r="E50" s="26">
        <v>1</v>
      </c>
      <c r="F50" s="26">
        <v>1</v>
      </c>
      <c r="G50" s="26">
        <v>1</v>
      </c>
      <c r="H50" s="27"/>
      <c r="I50" s="26">
        <f t="shared" si="0"/>
        <v>1</v>
      </c>
      <c r="J50" s="27"/>
      <c r="K50" s="27"/>
      <c r="L50" s="27">
        <f t="shared" si="1"/>
        <v>0</v>
      </c>
      <c r="M50" s="28">
        <f t="shared" si="8"/>
        <v>1</v>
      </c>
      <c r="N50" s="28">
        <v>1</v>
      </c>
      <c r="O50" s="28">
        <v>1</v>
      </c>
      <c r="P50" s="28">
        <v>1</v>
      </c>
      <c r="Q50" s="28">
        <v>1</v>
      </c>
      <c r="R50" s="28">
        <v>1</v>
      </c>
      <c r="S50" s="28">
        <v>0</v>
      </c>
      <c r="T50" s="28">
        <f t="shared" si="86"/>
        <v>0</v>
      </c>
      <c r="U50" s="28">
        <f t="shared" si="87"/>
        <v>1</v>
      </c>
      <c r="V50" s="28">
        <f t="shared" si="97"/>
        <v>0</v>
      </c>
      <c r="W50" s="29">
        <v>1</v>
      </c>
      <c r="X50" s="29"/>
      <c r="Y50" s="29">
        <f t="shared" si="9"/>
        <v>1</v>
      </c>
      <c r="Z50" s="30">
        <v>1</v>
      </c>
      <c r="AA50" s="30">
        <f t="shared" si="10"/>
        <v>0</v>
      </c>
      <c r="AB50" s="30">
        <v>1</v>
      </c>
      <c r="AC50" s="30">
        <v>1</v>
      </c>
      <c r="AD50" s="31">
        <v>1</v>
      </c>
      <c r="AE50" s="30"/>
      <c r="AF50" s="30"/>
      <c r="AG50" s="30"/>
      <c r="AH50" s="31">
        <v>1</v>
      </c>
      <c r="AI50" s="31">
        <v>1</v>
      </c>
      <c r="AJ50" s="30">
        <f t="shared" si="93"/>
        <v>0</v>
      </c>
      <c r="AK50" s="30">
        <f t="shared" si="11"/>
        <v>0</v>
      </c>
      <c r="AL50" s="30">
        <f t="shared" si="12"/>
        <v>0</v>
      </c>
      <c r="AM50" s="31">
        <f t="shared" si="13"/>
        <v>0</v>
      </c>
      <c r="AN50" s="31">
        <f t="shared" si="14"/>
        <v>0</v>
      </c>
      <c r="AO50" s="31">
        <f t="shared" si="4"/>
        <v>0</v>
      </c>
      <c r="AP50" s="30">
        <v>1</v>
      </c>
      <c r="AQ50" s="30">
        <f t="shared" si="5"/>
        <v>0</v>
      </c>
      <c r="AR50" s="30">
        <f t="shared" si="15"/>
        <v>0</v>
      </c>
      <c r="AS50" s="30">
        <f t="shared" si="16"/>
        <v>0</v>
      </c>
      <c r="AT50" s="30"/>
      <c r="AU50" s="30">
        <f t="shared" si="17"/>
        <v>1</v>
      </c>
      <c r="AV50" s="30">
        <v>1</v>
      </c>
      <c r="AW50" s="30">
        <f t="shared" si="18"/>
        <v>0</v>
      </c>
      <c r="AX50" s="30">
        <v>1</v>
      </c>
      <c r="AY50" s="31">
        <f t="shared" si="88"/>
        <v>0</v>
      </c>
      <c r="AZ50" s="31">
        <f t="shared" si="89"/>
        <v>0</v>
      </c>
      <c r="BA50" s="30">
        <v>1</v>
      </c>
      <c r="BB50" s="30">
        <f t="shared" si="19"/>
        <v>0</v>
      </c>
      <c r="BC50" s="30">
        <f t="shared" si="20"/>
        <v>0</v>
      </c>
      <c r="BD50" s="30">
        <f t="shared" si="21"/>
        <v>0</v>
      </c>
      <c r="BE50" s="30">
        <v>2</v>
      </c>
      <c r="BF50" s="30">
        <v>2</v>
      </c>
      <c r="BG50" s="30">
        <v>2</v>
      </c>
      <c r="BH50" s="30">
        <f t="shared" si="22"/>
        <v>1</v>
      </c>
      <c r="BI50" s="30">
        <f t="shared" si="23"/>
        <v>1</v>
      </c>
      <c r="BJ50" s="30">
        <f t="shared" si="24"/>
        <v>1</v>
      </c>
      <c r="BK50" s="8">
        <f t="shared" si="25"/>
        <v>0</v>
      </c>
      <c r="BL50" s="30"/>
      <c r="BM50" s="30">
        <f t="shared" si="26"/>
        <v>2</v>
      </c>
      <c r="BN50" s="44">
        <v>1</v>
      </c>
      <c r="BO50" s="31">
        <f t="shared" si="27"/>
        <v>-1</v>
      </c>
      <c r="BP50" s="44">
        <v>1</v>
      </c>
      <c r="BQ50" s="8">
        <f t="shared" si="28"/>
        <v>-1</v>
      </c>
      <c r="BR50" s="8">
        <f t="shared" si="29"/>
        <v>0</v>
      </c>
      <c r="BS50" s="44">
        <f>BP50</f>
        <v>1</v>
      </c>
      <c r="BT50" s="47">
        <f t="shared" si="30"/>
        <v>-1</v>
      </c>
      <c r="BU50" s="47">
        <f t="shared" si="31"/>
        <v>0</v>
      </c>
      <c r="BV50" s="47">
        <f t="shared" si="32"/>
        <v>0</v>
      </c>
      <c r="BW50" s="45">
        <v>3</v>
      </c>
      <c r="BX50" s="8">
        <f t="shared" si="33"/>
        <v>1</v>
      </c>
      <c r="BY50" s="8">
        <f t="shared" si="34"/>
        <v>2</v>
      </c>
      <c r="BZ50" s="8">
        <f t="shared" si="35"/>
        <v>2</v>
      </c>
      <c r="CA50" s="45">
        <v>3</v>
      </c>
      <c r="CB50" s="8">
        <f t="shared" si="36"/>
        <v>1</v>
      </c>
      <c r="CC50" s="8">
        <f t="shared" si="37"/>
        <v>2</v>
      </c>
      <c r="CD50" s="8">
        <f t="shared" si="6"/>
        <v>2</v>
      </c>
      <c r="CE50" s="8">
        <f t="shared" si="38"/>
        <v>0</v>
      </c>
      <c r="CF50" s="45">
        <v>3</v>
      </c>
      <c r="CG50" s="8">
        <f t="shared" si="39"/>
        <v>1</v>
      </c>
      <c r="CH50" s="8">
        <f t="shared" si="40"/>
        <v>2</v>
      </c>
      <c r="CI50" s="8">
        <f t="shared" si="41"/>
        <v>2</v>
      </c>
      <c r="CJ50" s="8">
        <f t="shared" si="42"/>
        <v>0</v>
      </c>
      <c r="CK50" s="45">
        <v>3</v>
      </c>
      <c r="CL50" s="8">
        <f t="shared" si="7"/>
        <v>1</v>
      </c>
      <c r="CM50" s="8">
        <f t="shared" si="43"/>
        <v>2</v>
      </c>
      <c r="CN50" s="8">
        <f t="shared" si="44"/>
        <v>0</v>
      </c>
      <c r="CO50" s="45">
        <v>1</v>
      </c>
      <c r="CP50" s="45">
        <f t="shared" si="45"/>
        <v>0</v>
      </c>
      <c r="CQ50" s="8">
        <f t="shared" si="46"/>
        <v>-2</v>
      </c>
      <c r="CR50" s="45">
        <v>5</v>
      </c>
      <c r="CS50" s="32"/>
      <c r="CT50" s="45">
        <f t="shared" si="47"/>
        <v>5</v>
      </c>
      <c r="CU50" s="8">
        <f t="shared" si="48"/>
        <v>2</v>
      </c>
      <c r="CV50" s="45">
        <f t="shared" si="49"/>
        <v>4</v>
      </c>
      <c r="CW50" s="45">
        <f t="shared" si="50"/>
        <v>0</v>
      </c>
      <c r="CX50" s="58">
        <v>5.5</v>
      </c>
      <c r="CY50" s="57">
        <f t="shared" si="51"/>
        <v>2.5</v>
      </c>
      <c r="CZ50" s="58">
        <f t="shared" si="52"/>
        <v>4.5</v>
      </c>
      <c r="DA50" s="58">
        <f t="shared" si="53"/>
        <v>0.5</v>
      </c>
      <c r="DB50" s="58">
        <v>5.5</v>
      </c>
      <c r="DC50" s="8">
        <f t="shared" si="54"/>
        <v>2.5</v>
      </c>
      <c r="DD50" s="45">
        <f t="shared" si="55"/>
        <v>4.5</v>
      </c>
      <c r="DE50" s="45">
        <f t="shared" si="56"/>
        <v>0.5</v>
      </c>
      <c r="DF50" s="45">
        <f t="shared" si="57"/>
        <v>0</v>
      </c>
      <c r="DG50" s="58">
        <v>5.5</v>
      </c>
      <c r="DH50" s="47">
        <f t="shared" si="58"/>
        <v>2.5</v>
      </c>
      <c r="DI50" s="45">
        <f t="shared" si="59"/>
        <v>4.5</v>
      </c>
      <c r="DJ50" s="45">
        <f t="shared" si="60"/>
        <v>0.5</v>
      </c>
      <c r="DK50" s="45">
        <f t="shared" si="61"/>
        <v>0</v>
      </c>
      <c r="DL50" s="45"/>
      <c r="DM50" s="45">
        <f t="shared" si="62"/>
        <v>5.5</v>
      </c>
      <c r="DN50" s="58">
        <v>5.5</v>
      </c>
      <c r="DO50" s="45">
        <f t="shared" si="63"/>
        <v>2.5</v>
      </c>
      <c r="DP50" s="45"/>
      <c r="DQ50" s="45">
        <v>0</v>
      </c>
      <c r="DR50" s="45">
        <f t="shared" si="64"/>
        <v>5.5</v>
      </c>
      <c r="DS50" s="45">
        <f t="shared" si="65"/>
        <v>2.5</v>
      </c>
      <c r="DT50" s="45"/>
      <c r="DU50" s="45">
        <f t="shared" si="66"/>
        <v>5.5</v>
      </c>
      <c r="DV50" s="45">
        <f t="shared" si="67"/>
        <v>2.5</v>
      </c>
      <c r="DW50" s="45">
        <v>5.5</v>
      </c>
      <c r="DX50" s="45">
        <v>6</v>
      </c>
      <c r="DY50" s="9"/>
      <c r="DZ50" s="8">
        <f t="shared" si="68"/>
        <v>0.5</v>
      </c>
      <c r="EA50" s="47">
        <v>1</v>
      </c>
      <c r="EB50" s="8">
        <f t="shared" si="69"/>
        <v>-4.5</v>
      </c>
      <c r="EC50" s="8">
        <f t="shared" si="70"/>
        <v>-5</v>
      </c>
      <c r="ED50" s="73"/>
      <c r="EE50" s="44">
        <v>1</v>
      </c>
      <c r="EF50" s="30">
        <f t="shared" si="71"/>
        <v>-4.5</v>
      </c>
      <c r="EG50" s="30">
        <f t="shared" si="72"/>
        <v>-5</v>
      </c>
      <c r="EH50" s="30">
        <f t="shared" si="73"/>
        <v>0</v>
      </c>
      <c r="EI50" s="44">
        <v>3</v>
      </c>
      <c r="EJ50" s="30">
        <f t="shared" si="74"/>
        <v>-2.5</v>
      </c>
      <c r="EK50" s="30">
        <f t="shared" si="75"/>
        <v>-3</v>
      </c>
      <c r="EL50" s="30">
        <f t="shared" si="76"/>
        <v>2</v>
      </c>
      <c r="EM50" s="44">
        <v>3</v>
      </c>
      <c r="EN50" s="30">
        <f t="shared" si="90"/>
        <v>-2.5</v>
      </c>
      <c r="EO50" s="30">
        <f t="shared" si="91"/>
        <v>-3</v>
      </c>
      <c r="EP50" s="30">
        <f t="shared" si="92"/>
        <v>2</v>
      </c>
      <c r="EQ50" s="30">
        <f t="shared" si="77"/>
        <v>0</v>
      </c>
      <c r="ER50" s="44">
        <v>1</v>
      </c>
      <c r="ES50" s="30">
        <f t="shared" si="78"/>
        <v>-4.5</v>
      </c>
      <c r="ET50" s="30">
        <f t="shared" si="79"/>
        <v>-5</v>
      </c>
      <c r="EU50" s="30">
        <f t="shared" si="80"/>
        <v>0</v>
      </c>
      <c r="EV50" s="30">
        <f t="shared" si="81"/>
        <v>-2</v>
      </c>
      <c r="EW50" s="44">
        <v>1</v>
      </c>
      <c r="EX50" s="30">
        <f t="shared" si="82"/>
        <v>-4.5</v>
      </c>
      <c r="EY50" s="30">
        <f t="shared" si="83"/>
        <v>0</v>
      </c>
      <c r="EZ50" s="31">
        <v>1</v>
      </c>
      <c r="FA50" s="30">
        <f t="shared" si="84"/>
        <v>-4.5</v>
      </c>
      <c r="FB50" s="30">
        <f t="shared" si="85"/>
        <v>0</v>
      </c>
    </row>
    <row r="51" spans="1:158" ht="12.75" x14ac:dyDescent="0.2">
      <c r="A51" s="22" t="s">
        <v>24</v>
      </c>
      <c r="B51" s="23"/>
      <c r="C51" s="61" t="s">
        <v>25</v>
      </c>
      <c r="D51" s="25">
        <v>2270500</v>
      </c>
      <c r="E51" s="26">
        <v>2770500</v>
      </c>
      <c r="F51" s="26">
        <v>1932063</v>
      </c>
      <c r="G51" s="26">
        <v>1500000</v>
      </c>
      <c r="H51" s="27"/>
      <c r="I51" s="26">
        <f t="shared" si="0"/>
        <v>1500000</v>
      </c>
      <c r="J51" s="27"/>
      <c r="K51" s="27"/>
      <c r="L51" s="27">
        <f t="shared" si="1"/>
        <v>0</v>
      </c>
      <c r="M51" s="28">
        <f t="shared" si="8"/>
        <v>1500000</v>
      </c>
      <c r="N51" s="28">
        <v>1500000</v>
      </c>
      <c r="O51" s="28">
        <v>1500000</v>
      </c>
      <c r="P51" s="28">
        <v>1500000</v>
      </c>
      <c r="Q51" s="28">
        <v>1600000</v>
      </c>
      <c r="R51" s="28">
        <v>1600000</v>
      </c>
      <c r="S51" s="28">
        <v>0.1875</v>
      </c>
      <c r="T51" s="28">
        <f t="shared" si="86"/>
        <v>-300000</v>
      </c>
      <c r="U51" s="28">
        <f t="shared" si="87"/>
        <v>1300000</v>
      </c>
      <c r="V51" s="28">
        <f t="shared" si="97"/>
        <v>-200000</v>
      </c>
      <c r="W51" s="29">
        <v>1300000</v>
      </c>
      <c r="X51" s="29"/>
      <c r="Y51" s="29">
        <f t="shared" si="9"/>
        <v>1300000</v>
      </c>
      <c r="Z51" s="30">
        <v>1300000</v>
      </c>
      <c r="AA51" s="30">
        <f t="shared" si="10"/>
        <v>0</v>
      </c>
      <c r="AB51" s="30">
        <v>0</v>
      </c>
      <c r="AC51" s="30">
        <v>1300000</v>
      </c>
      <c r="AD51" s="31">
        <v>1150000</v>
      </c>
      <c r="AE51" s="30">
        <f t="shared" si="96"/>
        <v>1300000</v>
      </c>
      <c r="AF51" s="30"/>
      <c r="AG51" s="30"/>
      <c r="AH51" s="32">
        <v>1300000</v>
      </c>
      <c r="AI51" s="32">
        <v>1300000</v>
      </c>
      <c r="AJ51" s="30">
        <f t="shared" si="93"/>
        <v>-150000</v>
      </c>
      <c r="AK51" s="30">
        <f t="shared" si="11"/>
        <v>-150000</v>
      </c>
      <c r="AL51" s="30">
        <f t="shared" si="12"/>
        <v>-150000</v>
      </c>
      <c r="AM51" s="31">
        <f t="shared" si="13"/>
        <v>0</v>
      </c>
      <c r="AN51" s="31">
        <f t="shared" si="14"/>
        <v>0</v>
      </c>
      <c r="AO51" s="31">
        <f t="shared" si="4"/>
        <v>0</v>
      </c>
      <c r="AP51" s="30">
        <v>1300000</v>
      </c>
      <c r="AQ51" s="30">
        <f t="shared" si="5"/>
        <v>0</v>
      </c>
      <c r="AR51" s="30">
        <f t="shared" si="15"/>
        <v>0</v>
      </c>
      <c r="AS51" s="30">
        <f t="shared" si="16"/>
        <v>0</v>
      </c>
      <c r="AT51" s="30"/>
      <c r="AU51" s="30">
        <f t="shared" si="17"/>
        <v>1300000</v>
      </c>
      <c r="AV51" s="30">
        <v>2000000</v>
      </c>
      <c r="AW51" s="30">
        <f t="shared" si="18"/>
        <v>700000</v>
      </c>
      <c r="AX51" s="30">
        <v>1000000</v>
      </c>
      <c r="AY51" s="31">
        <f t="shared" si="88"/>
        <v>-300000</v>
      </c>
      <c r="AZ51" s="31">
        <f t="shared" si="89"/>
        <v>-1000000</v>
      </c>
      <c r="BA51" s="30">
        <v>2000000</v>
      </c>
      <c r="BB51" s="30">
        <f t="shared" si="19"/>
        <v>700000</v>
      </c>
      <c r="BC51" s="30">
        <f t="shared" si="20"/>
        <v>0</v>
      </c>
      <c r="BD51" s="30">
        <f t="shared" si="21"/>
        <v>1000000</v>
      </c>
      <c r="BE51" s="30">
        <v>1500000</v>
      </c>
      <c r="BF51" s="30">
        <v>2000000</v>
      </c>
      <c r="BG51" s="30">
        <v>2000000</v>
      </c>
      <c r="BH51" s="30">
        <f t="shared" si="22"/>
        <v>700000</v>
      </c>
      <c r="BI51" s="30">
        <f t="shared" si="23"/>
        <v>0</v>
      </c>
      <c r="BJ51" s="30">
        <f t="shared" si="24"/>
        <v>0</v>
      </c>
      <c r="BK51" s="8">
        <f t="shared" si="25"/>
        <v>500000</v>
      </c>
      <c r="BL51" s="30"/>
      <c r="BM51" s="30">
        <f t="shared" si="26"/>
        <v>2000000</v>
      </c>
      <c r="BN51" s="44">
        <v>2000000</v>
      </c>
      <c r="BO51" s="31">
        <f t="shared" si="27"/>
        <v>0</v>
      </c>
      <c r="BP51" s="44">
        <v>1000000</v>
      </c>
      <c r="BQ51" s="8">
        <f t="shared" si="28"/>
        <v>-1000000</v>
      </c>
      <c r="BR51" s="8">
        <f t="shared" si="29"/>
        <v>-1000000</v>
      </c>
      <c r="BS51" s="44">
        <v>2000000</v>
      </c>
      <c r="BT51" s="47">
        <f t="shared" si="30"/>
        <v>0</v>
      </c>
      <c r="BU51" s="47">
        <f t="shared" si="31"/>
        <v>0</v>
      </c>
      <c r="BV51" s="47">
        <f t="shared" si="32"/>
        <v>1000000</v>
      </c>
      <c r="BW51" s="45">
        <v>1500000</v>
      </c>
      <c r="BX51" s="8">
        <f t="shared" si="33"/>
        <v>-500000</v>
      </c>
      <c r="BY51" s="8">
        <f t="shared" si="34"/>
        <v>-500000</v>
      </c>
      <c r="BZ51" s="8">
        <f t="shared" si="35"/>
        <v>-500000</v>
      </c>
      <c r="CA51" s="45">
        <f>1500000+500000</f>
        <v>2000000</v>
      </c>
      <c r="CB51" s="8">
        <f t="shared" si="36"/>
        <v>0</v>
      </c>
      <c r="CC51" s="8">
        <f t="shared" si="37"/>
        <v>0</v>
      </c>
      <c r="CD51" s="8">
        <f t="shared" si="6"/>
        <v>0</v>
      </c>
      <c r="CE51" s="8">
        <f t="shared" si="38"/>
        <v>500000</v>
      </c>
      <c r="CF51" s="45">
        <v>2000000</v>
      </c>
      <c r="CG51" s="8">
        <f t="shared" si="39"/>
        <v>0</v>
      </c>
      <c r="CH51" s="8">
        <f t="shared" si="40"/>
        <v>0</v>
      </c>
      <c r="CI51" s="8">
        <f t="shared" si="41"/>
        <v>0</v>
      </c>
      <c r="CJ51" s="8">
        <f t="shared" si="42"/>
        <v>0</v>
      </c>
      <c r="CK51" s="45">
        <v>2000000</v>
      </c>
      <c r="CL51" s="8">
        <f t="shared" si="7"/>
        <v>0</v>
      </c>
      <c r="CM51" s="8">
        <f t="shared" si="43"/>
        <v>0</v>
      </c>
      <c r="CN51" s="8">
        <f t="shared" si="44"/>
        <v>0</v>
      </c>
      <c r="CO51" s="45">
        <f>CK51</f>
        <v>2000000</v>
      </c>
      <c r="CP51" s="45">
        <f t="shared" si="45"/>
        <v>0</v>
      </c>
      <c r="CQ51" s="8">
        <f t="shared" si="46"/>
        <v>0</v>
      </c>
      <c r="CR51" s="45">
        <v>2000000</v>
      </c>
      <c r="CS51" s="32">
        <v>250000</v>
      </c>
      <c r="CT51" s="45">
        <f t="shared" si="47"/>
        <v>2250000</v>
      </c>
      <c r="CU51" s="8">
        <f t="shared" si="48"/>
        <v>250000</v>
      </c>
      <c r="CV51" s="45">
        <f t="shared" si="49"/>
        <v>250000</v>
      </c>
      <c r="CW51" s="45">
        <f t="shared" si="50"/>
        <v>250000</v>
      </c>
      <c r="CX51" s="45">
        <v>1750000</v>
      </c>
      <c r="CY51" s="8">
        <f t="shared" si="51"/>
        <v>-250000</v>
      </c>
      <c r="CZ51" s="45">
        <f t="shared" si="52"/>
        <v>-250000</v>
      </c>
      <c r="DA51" s="45">
        <f t="shared" si="53"/>
        <v>-500000</v>
      </c>
      <c r="DB51" s="45">
        <v>1750000</v>
      </c>
      <c r="DC51" s="8">
        <f t="shared" si="54"/>
        <v>-250000</v>
      </c>
      <c r="DD51" s="45">
        <f t="shared" si="55"/>
        <v>-250000</v>
      </c>
      <c r="DE51" s="45">
        <f t="shared" si="56"/>
        <v>-500000</v>
      </c>
      <c r="DF51" s="45">
        <f t="shared" si="57"/>
        <v>0</v>
      </c>
      <c r="DG51" s="45">
        <v>2000000</v>
      </c>
      <c r="DH51" s="47">
        <f t="shared" si="58"/>
        <v>0</v>
      </c>
      <c r="DI51" s="45">
        <f t="shared" si="59"/>
        <v>0</v>
      </c>
      <c r="DJ51" s="45">
        <f t="shared" si="60"/>
        <v>-250000</v>
      </c>
      <c r="DK51" s="45">
        <f t="shared" si="61"/>
        <v>250000</v>
      </c>
      <c r="DL51" s="45"/>
      <c r="DM51" s="45">
        <f t="shared" si="62"/>
        <v>2000000</v>
      </c>
      <c r="DN51" s="45">
        <v>2000000</v>
      </c>
      <c r="DO51" s="45">
        <f t="shared" si="63"/>
        <v>0</v>
      </c>
      <c r="DP51" s="45"/>
      <c r="DQ51" s="45">
        <v>-30000</v>
      </c>
      <c r="DR51" s="45">
        <f t="shared" si="64"/>
        <v>1970000</v>
      </c>
      <c r="DS51" s="45">
        <f t="shared" si="65"/>
        <v>-30000</v>
      </c>
      <c r="DT51" s="45"/>
      <c r="DU51" s="45">
        <f t="shared" si="66"/>
        <v>1970000</v>
      </c>
      <c r="DV51" s="45">
        <f t="shared" si="67"/>
        <v>-30000</v>
      </c>
      <c r="DW51" s="45">
        <v>1970000</v>
      </c>
      <c r="DX51" s="45">
        <v>1970000</v>
      </c>
      <c r="DY51" s="9"/>
      <c r="DZ51" s="8">
        <f t="shared" si="68"/>
        <v>0</v>
      </c>
      <c r="EA51" s="47">
        <v>2300000</v>
      </c>
      <c r="EB51" s="8">
        <f t="shared" si="69"/>
        <v>330000</v>
      </c>
      <c r="EC51" s="8">
        <f t="shared" si="70"/>
        <v>330000</v>
      </c>
      <c r="ED51" s="73"/>
      <c r="EE51" s="44">
        <v>2300000</v>
      </c>
      <c r="EF51" s="30">
        <f t="shared" si="71"/>
        <v>330000</v>
      </c>
      <c r="EG51" s="30">
        <f t="shared" si="72"/>
        <v>330000</v>
      </c>
      <c r="EH51" s="30">
        <f t="shared" si="73"/>
        <v>0</v>
      </c>
      <c r="EI51" s="44">
        <v>1970000</v>
      </c>
      <c r="EJ51" s="30">
        <f t="shared" si="74"/>
        <v>0</v>
      </c>
      <c r="EK51" s="30">
        <f t="shared" si="75"/>
        <v>0</v>
      </c>
      <c r="EL51" s="30">
        <f t="shared" si="76"/>
        <v>-330000</v>
      </c>
      <c r="EM51" s="44">
        <v>1970000</v>
      </c>
      <c r="EN51" s="30">
        <f t="shared" si="90"/>
        <v>0</v>
      </c>
      <c r="EO51" s="30">
        <f t="shared" si="91"/>
        <v>0</v>
      </c>
      <c r="EP51" s="30">
        <f t="shared" si="92"/>
        <v>-330000</v>
      </c>
      <c r="EQ51" s="30">
        <f t="shared" si="77"/>
        <v>0</v>
      </c>
      <c r="ER51" s="44">
        <v>2000000</v>
      </c>
      <c r="ES51" s="30">
        <f t="shared" si="78"/>
        <v>30000</v>
      </c>
      <c r="ET51" s="30">
        <f t="shared" si="79"/>
        <v>30000</v>
      </c>
      <c r="EU51" s="30">
        <f t="shared" si="80"/>
        <v>-300000</v>
      </c>
      <c r="EV51" s="30">
        <f t="shared" si="81"/>
        <v>30000</v>
      </c>
      <c r="EW51" s="44">
        <v>2000000</v>
      </c>
      <c r="EX51" s="30">
        <f t="shared" si="82"/>
        <v>30000</v>
      </c>
      <c r="EY51" s="30">
        <f t="shared" si="83"/>
        <v>0</v>
      </c>
      <c r="EZ51" s="31">
        <v>2000000</v>
      </c>
      <c r="FA51" s="30">
        <f t="shared" si="84"/>
        <v>30000</v>
      </c>
      <c r="FB51" s="30">
        <f t="shared" si="85"/>
        <v>0</v>
      </c>
    </row>
    <row r="52" spans="1:158" ht="12.75" x14ac:dyDescent="0.2">
      <c r="A52" s="22" t="s">
        <v>13</v>
      </c>
      <c r="B52" s="23"/>
      <c r="C52" s="60" t="s">
        <v>223</v>
      </c>
      <c r="D52" s="25">
        <v>712000</v>
      </c>
      <c r="E52" s="26">
        <v>712000</v>
      </c>
      <c r="F52" s="26">
        <v>517320</v>
      </c>
      <c r="G52" s="26">
        <v>100000</v>
      </c>
      <c r="H52" s="27"/>
      <c r="I52" s="26">
        <f t="shared" si="0"/>
        <v>100000</v>
      </c>
      <c r="J52" s="27"/>
      <c r="K52" s="27"/>
      <c r="L52" s="27">
        <f t="shared" si="1"/>
        <v>0</v>
      </c>
      <c r="M52" s="28">
        <f t="shared" si="8"/>
        <v>100000</v>
      </c>
      <c r="N52" s="28">
        <v>100000</v>
      </c>
      <c r="O52" s="28">
        <v>100000</v>
      </c>
      <c r="P52" s="28">
        <v>100000</v>
      </c>
      <c r="Q52" s="28">
        <v>100000</v>
      </c>
      <c r="R52" s="28">
        <v>250000</v>
      </c>
      <c r="S52" s="28">
        <v>0.6</v>
      </c>
      <c r="T52" s="28">
        <f t="shared" si="86"/>
        <v>-150000</v>
      </c>
      <c r="U52" s="28">
        <f t="shared" si="87"/>
        <v>100000</v>
      </c>
      <c r="V52" s="28">
        <f t="shared" si="97"/>
        <v>0</v>
      </c>
      <c r="W52" s="29">
        <v>100000</v>
      </c>
      <c r="X52" s="29"/>
      <c r="Y52" s="29">
        <f t="shared" si="9"/>
        <v>100000</v>
      </c>
      <c r="Z52" s="30">
        <v>100000</v>
      </c>
      <c r="AA52" s="30">
        <f t="shared" si="10"/>
        <v>0</v>
      </c>
      <c r="AB52" s="30">
        <v>100000</v>
      </c>
      <c r="AC52" s="30">
        <v>250000</v>
      </c>
      <c r="AD52" s="31">
        <v>100000</v>
      </c>
      <c r="AE52" s="30">
        <f t="shared" si="96"/>
        <v>150000</v>
      </c>
      <c r="AF52" s="30">
        <f>AC52-W52+X52</f>
        <v>150000</v>
      </c>
      <c r="AG52" s="30">
        <f>AC52-Z52</f>
        <v>150000</v>
      </c>
      <c r="AH52" s="31">
        <v>100000</v>
      </c>
      <c r="AI52" s="31">
        <v>250000</v>
      </c>
      <c r="AJ52" s="30">
        <f t="shared" si="93"/>
        <v>0</v>
      </c>
      <c r="AK52" s="30">
        <f t="shared" si="11"/>
        <v>0</v>
      </c>
      <c r="AL52" s="30">
        <f t="shared" si="12"/>
        <v>-150000</v>
      </c>
      <c r="AM52" s="31">
        <f t="shared" si="13"/>
        <v>0</v>
      </c>
      <c r="AN52" s="31">
        <f t="shared" si="14"/>
        <v>0</v>
      </c>
      <c r="AO52" s="31">
        <f t="shared" si="4"/>
        <v>-150000</v>
      </c>
      <c r="AP52" s="30">
        <v>250000</v>
      </c>
      <c r="AQ52" s="30">
        <f t="shared" si="5"/>
        <v>150000</v>
      </c>
      <c r="AR52" s="30">
        <f t="shared" si="15"/>
        <v>150000</v>
      </c>
      <c r="AS52" s="30">
        <f t="shared" si="16"/>
        <v>150000</v>
      </c>
      <c r="AT52" s="30"/>
      <c r="AU52" s="30">
        <f t="shared" si="17"/>
        <v>250000</v>
      </c>
      <c r="AV52" s="30">
        <v>250000</v>
      </c>
      <c r="AW52" s="30">
        <f t="shared" si="18"/>
        <v>0</v>
      </c>
      <c r="AX52" s="30">
        <v>250000</v>
      </c>
      <c r="AY52" s="31">
        <f t="shared" si="88"/>
        <v>0</v>
      </c>
      <c r="AZ52" s="31">
        <f t="shared" si="89"/>
        <v>0</v>
      </c>
      <c r="BA52" s="30">
        <v>350000</v>
      </c>
      <c r="BB52" s="30">
        <f t="shared" si="19"/>
        <v>100000</v>
      </c>
      <c r="BC52" s="30">
        <f t="shared" si="20"/>
        <v>100000</v>
      </c>
      <c r="BD52" s="30">
        <f t="shared" si="21"/>
        <v>100000</v>
      </c>
      <c r="BE52" s="30">
        <v>250000</v>
      </c>
      <c r="BF52" s="30">
        <v>350000</v>
      </c>
      <c r="BG52" s="30">
        <v>350000</v>
      </c>
      <c r="BH52" s="30">
        <f t="shared" si="22"/>
        <v>100000</v>
      </c>
      <c r="BI52" s="30">
        <f t="shared" si="23"/>
        <v>100000</v>
      </c>
      <c r="BJ52" s="30">
        <f t="shared" si="24"/>
        <v>0</v>
      </c>
      <c r="BK52" s="8">
        <f t="shared" si="25"/>
        <v>100000</v>
      </c>
      <c r="BL52" s="30"/>
      <c r="BM52" s="30">
        <f t="shared" si="26"/>
        <v>350000</v>
      </c>
      <c r="BN52" s="44">
        <v>400000</v>
      </c>
      <c r="BO52" s="31">
        <f t="shared" si="27"/>
        <v>50000</v>
      </c>
      <c r="BP52" s="44">
        <v>250000</v>
      </c>
      <c r="BQ52" s="8">
        <f t="shared" si="28"/>
        <v>-100000</v>
      </c>
      <c r="BR52" s="8">
        <f t="shared" si="29"/>
        <v>-150000</v>
      </c>
      <c r="BS52" s="44">
        <v>350000</v>
      </c>
      <c r="BT52" s="47">
        <f t="shared" si="30"/>
        <v>0</v>
      </c>
      <c r="BU52" s="47">
        <f t="shared" si="31"/>
        <v>-50000</v>
      </c>
      <c r="BV52" s="47">
        <f t="shared" si="32"/>
        <v>100000</v>
      </c>
      <c r="BW52" s="45">
        <v>250000</v>
      </c>
      <c r="BX52" s="8">
        <f t="shared" si="33"/>
        <v>-100000</v>
      </c>
      <c r="BY52" s="8">
        <f t="shared" si="34"/>
        <v>-150000</v>
      </c>
      <c r="BZ52" s="8">
        <f t="shared" si="35"/>
        <v>-100000</v>
      </c>
      <c r="CA52" s="45">
        <v>250000</v>
      </c>
      <c r="CB52" s="8">
        <f t="shared" si="36"/>
        <v>-100000</v>
      </c>
      <c r="CC52" s="8">
        <f t="shared" si="37"/>
        <v>-150000</v>
      </c>
      <c r="CD52" s="8">
        <f t="shared" si="6"/>
        <v>-100000</v>
      </c>
      <c r="CE52" s="8">
        <f t="shared" si="38"/>
        <v>0</v>
      </c>
      <c r="CF52" s="45">
        <v>350000</v>
      </c>
      <c r="CG52" s="8">
        <f t="shared" si="39"/>
        <v>0</v>
      </c>
      <c r="CH52" s="8">
        <f t="shared" si="40"/>
        <v>-50000</v>
      </c>
      <c r="CI52" s="8">
        <f t="shared" si="41"/>
        <v>0</v>
      </c>
      <c r="CJ52" s="8">
        <f t="shared" si="42"/>
        <v>100000</v>
      </c>
      <c r="CK52" s="45">
        <v>350000</v>
      </c>
      <c r="CL52" s="8">
        <f t="shared" si="7"/>
        <v>0</v>
      </c>
      <c r="CM52" s="8">
        <f t="shared" si="43"/>
        <v>-50000</v>
      </c>
      <c r="CN52" s="8">
        <f t="shared" si="44"/>
        <v>0</v>
      </c>
      <c r="CO52" s="45">
        <v>350000</v>
      </c>
      <c r="CP52" s="45">
        <f t="shared" si="45"/>
        <v>-50000</v>
      </c>
      <c r="CQ52" s="8">
        <f t="shared" si="46"/>
        <v>0</v>
      </c>
      <c r="CR52" s="45">
        <v>250000</v>
      </c>
      <c r="CS52" s="32">
        <v>150000</v>
      </c>
      <c r="CT52" s="45">
        <f t="shared" si="47"/>
        <v>400000</v>
      </c>
      <c r="CU52" s="8">
        <f t="shared" si="48"/>
        <v>50000</v>
      </c>
      <c r="CV52" s="45">
        <f t="shared" si="49"/>
        <v>50000</v>
      </c>
      <c r="CW52" s="45">
        <f t="shared" si="50"/>
        <v>150000</v>
      </c>
      <c r="CX52" s="45">
        <v>350000</v>
      </c>
      <c r="CY52" s="8">
        <f t="shared" si="51"/>
        <v>0</v>
      </c>
      <c r="CZ52" s="45">
        <f t="shared" si="52"/>
        <v>0</v>
      </c>
      <c r="DA52" s="45">
        <f t="shared" si="53"/>
        <v>-50000</v>
      </c>
      <c r="DB52" s="45">
        <v>400000</v>
      </c>
      <c r="DC52" s="8">
        <f t="shared" si="54"/>
        <v>50000</v>
      </c>
      <c r="DD52" s="45">
        <f t="shared" si="55"/>
        <v>50000</v>
      </c>
      <c r="DE52" s="45">
        <f t="shared" si="56"/>
        <v>0</v>
      </c>
      <c r="DF52" s="45">
        <f t="shared" si="57"/>
        <v>50000</v>
      </c>
      <c r="DG52" s="45">
        <v>400000</v>
      </c>
      <c r="DH52" s="47">
        <f t="shared" si="58"/>
        <v>50000</v>
      </c>
      <c r="DI52" s="45">
        <f t="shared" si="59"/>
        <v>50000</v>
      </c>
      <c r="DJ52" s="45">
        <f t="shared" si="60"/>
        <v>0</v>
      </c>
      <c r="DK52" s="45">
        <f t="shared" si="61"/>
        <v>0</v>
      </c>
      <c r="DL52" s="45"/>
      <c r="DM52" s="45">
        <f t="shared" si="62"/>
        <v>400000</v>
      </c>
      <c r="DN52" s="45">
        <v>400000</v>
      </c>
      <c r="DO52" s="45">
        <f t="shared" si="63"/>
        <v>50000</v>
      </c>
      <c r="DP52" s="45"/>
      <c r="DQ52" s="45">
        <v>-6000</v>
      </c>
      <c r="DR52" s="45">
        <f t="shared" si="64"/>
        <v>394000</v>
      </c>
      <c r="DS52" s="45">
        <f t="shared" si="65"/>
        <v>44000</v>
      </c>
      <c r="DT52" s="45"/>
      <c r="DU52" s="45">
        <f t="shared" si="66"/>
        <v>394000</v>
      </c>
      <c r="DV52" s="45">
        <f t="shared" si="67"/>
        <v>44000</v>
      </c>
      <c r="DW52" s="45">
        <v>394000</v>
      </c>
      <c r="DX52" s="45">
        <v>394000</v>
      </c>
      <c r="DY52" s="9"/>
      <c r="DZ52" s="8">
        <f t="shared" si="68"/>
        <v>0</v>
      </c>
      <c r="EA52" s="47">
        <v>400000</v>
      </c>
      <c r="EB52" s="8">
        <f t="shared" si="69"/>
        <v>6000</v>
      </c>
      <c r="EC52" s="8">
        <f t="shared" si="70"/>
        <v>6000</v>
      </c>
      <c r="ED52" s="73"/>
      <c r="EE52" s="44">
        <v>500000</v>
      </c>
      <c r="EF52" s="30">
        <f t="shared" si="71"/>
        <v>106000</v>
      </c>
      <c r="EG52" s="30">
        <f t="shared" si="72"/>
        <v>106000</v>
      </c>
      <c r="EH52" s="30">
        <f t="shared" si="73"/>
        <v>100000</v>
      </c>
      <c r="EI52" s="44">
        <v>500000</v>
      </c>
      <c r="EJ52" s="30">
        <f t="shared" si="74"/>
        <v>106000</v>
      </c>
      <c r="EK52" s="30">
        <f t="shared" si="75"/>
        <v>106000</v>
      </c>
      <c r="EL52" s="30">
        <f t="shared" si="76"/>
        <v>0</v>
      </c>
      <c r="EM52" s="44">
        <v>500000</v>
      </c>
      <c r="EN52" s="30">
        <f t="shared" si="90"/>
        <v>106000</v>
      </c>
      <c r="EO52" s="30">
        <f t="shared" si="91"/>
        <v>106000</v>
      </c>
      <c r="EP52" s="30">
        <f t="shared" si="92"/>
        <v>0</v>
      </c>
      <c r="EQ52" s="30">
        <f t="shared" si="77"/>
        <v>0</v>
      </c>
      <c r="ER52" s="44">
        <v>500000</v>
      </c>
      <c r="ES52" s="30">
        <f t="shared" si="78"/>
        <v>106000</v>
      </c>
      <c r="ET52" s="30">
        <f t="shared" si="79"/>
        <v>106000</v>
      </c>
      <c r="EU52" s="30">
        <f t="shared" si="80"/>
        <v>0</v>
      </c>
      <c r="EV52" s="30">
        <f t="shared" si="81"/>
        <v>0</v>
      </c>
      <c r="EW52" s="44">
        <v>500000</v>
      </c>
      <c r="EX52" s="30">
        <f t="shared" si="82"/>
        <v>106000</v>
      </c>
      <c r="EY52" s="30">
        <f t="shared" si="83"/>
        <v>0</v>
      </c>
      <c r="EZ52" s="31">
        <v>500000</v>
      </c>
      <c r="FA52" s="30">
        <f t="shared" si="84"/>
        <v>106000</v>
      </c>
      <c r="FB52" s="30">
        <f t="shared" si="85"/>
        <v>0</v>
      </c>
    </row>
    <row r="53" spans="1:158" ht="12.75" x14ac:dyDescent="0.2">
      <c r="A53" s="22" t="s">
        <v>33</v>
      </c>
      <c r="B53" s="23"/>
      <c r="C53" s="61" t="s">
        <v>138</v>
      </c>
      <c r="D53" s="25">
        <v>895367</v>
      </c>
      <c r="E53" s="26">
        <v>991367</v>
      </c>
      <c r="F53" s="26">
        <v>486227</v>
      </c>
      <c r="G53" s="26">
        <v>386227</v>
      </c>
      <c r="H53" s="27"/>
      <c r="I53" s="26">
        <f t="shared" si="0"/>
        <v>386227</v>
      </c>
      <c r="J53" s="27"/>
      <c r="K53" s="27"/>
      <c r="L53" s="27">
        <f t="shared" si="1"/>
        <v>0</v>
      </c>
      <c r="M53" s="28">
        <f t="shared" si="8"/>
        <v>386227</v>
      </c>
      <c r="N53" s="28">
        <v>386227</v>
      </c>
      <c r="O53" s="28">
        <v>353227</v>
      </c>
      <c r="P53" s="28">
        <v>353227</v>
      </c>
      <c r="Q53" s="28">
        <v>386227</v>
      </c>
      <c r="R53" s="28">
        <v>353227</v>
      </c>
      <c r="S53" s="28">
        <v>0.6</v>
      </c>
      <c r="T53" s="28">
        <f t="shared" si="86"/>
        <v>-211936.19999999998</v>
      </c>
      <c r="U53" s="28">
        <f t="shared" si="87"/>
        <v>141290.80000000002</v>
      </c>
      <c r="V53" s="28">
        <f t="shared" si="97"/>
        <v>-244936.19999999998</v>
      </c>
      <c r="W53" s="29">
        <f xml:space="preserve"> 353227</f>
        <v>353227</v>
      </c>
      <c r="X53" s="29"/>
      <c r="Y53" s="29">
        <f t="shared" si="9"/>
        <v>353227</v>
      </c>
      <c r="Z53" s="30">
        <v>353227</v>
      </c>
      <c r="AA53" s="30">
        <f t="shared" si="10"/>
        <v>0</v>
      </c>
      <c r="AB53" s="30">
        <v>353227</v>
      </c>
      <c r="AC53" s="34">
        <v>753227</v>
      </c>
      <c r="AD53" s="32">
        <v>346162</v>
      </c>
      <c r="AE53" s="30">
        <f t="shared" si="96"/>
        <v>400000</v>
      </c>
      <c r="AF53" s="30">
        <f>AC53-W53+X53</f>
        <v>400000</v>
      </c>
      <c r="AG53" s="30">
        <f>AC53-Z53</f>
        <v>400000</v>
      </c>
      <c r="AH53" s="32">
        <v>746162</v>
      </c>
      <c r="AI53" s="32">
        <v>746162</v>
      </c>
      <c r="AJ53" s="34">
        <f t="shared" si="93"/>
        <v>-7065</v>
      </c>
      <c r="AK53" s="34">
        <f t="shared" si="11"/>
        <v>-7065</v>
      </c>
      <c r="AL53" s="34">
        <f t="shared" si="12"/>
        <v>-407065</v>
      </c>
      <c r="AM53" s="32">
        <f t="shared" si="13"/>
        <v>392935</v>
      </c>
      <c r="AN53" s="32">
        <f t="shared" si="14"/>
        <v>392935</v>
      </c>
      <c r="AO53" s="32">
        <f t="shared" si="4"/>
        <v>-7065</v>
      </c>
      <c r="AP53" s="34">
        <v>746162</v>
      </c>
      <c r="AQ53" s="34">
        <f t="shared" si="5"/>
        <v>392935</v>
      </c>
      <c r="AR53" s="34">
        <f t="shared" si="15"/>
        <v>392935</v>
      </c>
      <c r="AS53" s="34">
        <f t="shared" si="16"/>
        <v>392935</v>
      </c>
      <c r="AT53" s="34"/>
      <c r="AU53" s="34">
        <f t="shared" si="17"/>
        <v>746162</v>
      </c>
      <c r="AV53" s="34">
        <v>737022</v>
      </c>
      <c r="AW53" s="34">
        <f t="shared" si="18"/>
        <v>-9140</v>
      </c>
      <c r="AX53" s="34">
        <v>746162</v>
      </c>
      <c r="AY53" s="31">
        <f t="shared" si="88"/>
        <v>0</v>
      </c>
      <c r="AZ53" s="31">
        <f t="shared" si="89"/>
        <v>9140</v>
      </c>
      <c r="BA53" s="34">
        <v>746162</v>
      </c>
      <c r="BB53" s="34">
        <f t="shared" si="19"/>
        <v>0</v>
      </c>
      <c r="BC53" s="34">
        <f t="shared" si="20"/>
        <v>9140</v>
      </c>
      <c r="BD53" s="34">
        <f t="shared" si="21"/>
        <v>0</v>
      </c>
      <c r="BE53" s="34">
        <v>346162</v>
      </c>
      <c r="BF53" s="34">
        <v>346162</v>
      </c>
      <c r="BG53" s="34">
        <v>346162</v>
      </c>
      <c r="BH53" s="30">
        <f t="shared" si="22"/>
        <v>-400000</v>
      </c>
      <c r="BI53" s="30">
        <f t="shared" si="23"/>
        <v>-390860</v>
      </c>
      <c r="BJ53" s="30">
        <f t="shared" si="24"/>
        <v>-400000</v>
      </c>
      <c r="BK53" s="8">
        <f t="shared" si="25"/>
        <v>0</v>
      </c>
      <c r="BL53" s="34"/>
      <c r="BM53" s="30">
        <f t="shared" si="26"/>
        <v>346162</v>
      </c>
      <c r="BN53" s="44">
        <v>346162</v>
      </c>
      <c r="BO53" s="31">
        <f t="shared" si="27"/>
        <v>0</v>
      </c>
      <c r="BP53" s="44">
        <v>0</v>
      </c>
      <c r="BQ53" s="8">
        <f t="shared" si="28"/>
        <v>-346162</v>
      </c>
      <c r="BR53" s="8">
        <f t="shared" si="29"/>
        <v>-346162</v>
      </c>
      <c r="BS53" s="44">
        <f>BP53</f>
        <v>0</v>
      </c>
      <c r="BT53" s="47">
        <f t="shared" si="30"/>
        <v>-346162</v>
      </c>
      <c r="BU53" s="47">
        <f t="shared" si="31"/>
        <v>-346162</v>
      </c>
      <c r="BV53" s="47">
        <f t="shared" si="32"/>
        <v>0</v>
      </c>
      <c r="BW53" s="45">
        <v>346162</v>
      </c>
      <c r="BX53" s="8">
        <f t="shared" si="33"/>
        <v>0</v>
      </c>
      <c r="BY53" s="8">
        <f t="shared" si="34"/>
        <v>0</v>
      </c>
      <c r="BZ53" s="8">
        <f t="shared" si="35"/>
        <v>346162</v>
      </c>
      <c r="CA53" s="45">
        <v>346162</v>
      </c>
      <c r="CB53" s="8">
        <f t="shared" si="36"/>
        <v>0</v>
      </c>
      <c r="CC53" s="8">
        <f t="shared" si="37"/>
        <v>0</v>
      </c>
      <c r="CD53" s="8">
        <f t="shared" si="6"/>
        <v>346162</v>
      </c>
      <c r="CE53" s="8">
        <f t="shared" si="38"/>
        <v>0</v>
      </c>
      <c r="CF53" s="45">
        <v>200000</v>
      </c>
      <c r="CG53" s="8">
        <f t="shared" si="39"/>
        <v>-146162</v>
      </c>
      <c r="CH53" s="8">
        <f t="shared" si="40"/>
        <v>-146162</v>
      </c>
      <c r="CI53" s="8">
        <f t="shared" si="41"/>
        <v>200000</v>
      </c>
      <c r="CJ53" s="8">
        <f t="shared" si="42"/>
        <v>-146162</v>
      </c>
      <c r="CK53" s="45">
        <v>200000</v>
      </c>
      <c r="CL53" s="8">
        <f t="shared" si="7"/>
        <v>-146162</v>
      </c>
      <c r="CM53" s="8">
        <f t="shared" si="43"/>
        <v>-146162</v>
      </c>
      <c r="CN53" s="8">
        <f t="shared" si="44"/>
        <v>0</v>
      </c>
      <c r="CO53" s="45">
        <v>200000</v>
      </c>
      <c r="CP53" s="45">
        <f t="shared" si="45"/>
        <v>-146162</v>
      </c>
      <c r="CQ53" s="8">
        <f t="shared" si="46"/>
        <v>0</v>
      </c>
      <c r="CR53" s="45">
        <v>200000</v>
      </c>
      <c r="CS53" s="32"/>
      <c r="CT53" s="45">
        <f t="shared" si="47"/>
        <v>200000</v>
      </c>
      <c r="CU53" s="8">
        <f t="shared" si="48"/>
        <v>0</v>
      </c>
      <c r="CV53" s="45">
        <f t="shared" si="49"/>
        <v>0</v>
      </c>
      <c r="CW53" s="45">
        <f t="shared" si="50"/>
        <v>0</v>
      </c>
      <c r="CX53" s="45">
        <v>200000</v>
      </c>
      <c r="CY53" s="8">
        <f t="shared" si="51"/>
        <v>0</v>
      </c>
      <c r="CZ53" s="45">
        <f t="shared" si="52"/>
        <v>0</v>
      </c>
      <c r="DA53" s="45">
        <f t="shared" si="53"/>
        <v>0</v>
      </c>
      <c r="DB53" s="45">
        <v>200000</v>
      </c>
      <c r="DC53" s="8">
        <f t="shared" si="54"/>
        <v>0</v>
      </c>
      <c r="DD53" s="45">
        <f t="shared" si="55"/>
        <v>0</v>
      </c>
      <c r="DE53" s="45">
        <f t="shared" si="56"/>
        <v>0</v>
      </c>
      <c r="DF53" s="45">
        <f t="shared" si="57"/>
        <v>0</v>
      </c>
      <c r="DG53" s="45">
        <v>200000</v>
      </c>
      <c r="DH53" s="47">
        <f t="shared" si="58"/>
        <v>0</v>
      </c>
      <c r="DI53" s="45">
        <f t="shared" si="59"/>
        <v>0</v>
      </c>
      <c r="DJ53" s="45">
        <f t="shared" si="60"/>
        <v>0</v>
      </c>
      <c r="DK53" s="45">
        <f t="shared" si="61"/>
        <v>0</v>
      </c>
      <c r="DL53" s="45"/>
      <c r="DM53" s="45">
        <f t="shared" si="62"/>
        <v>200000</v>
      </c>
      <c r="DN53" s="45">
        <v>200000</v>
      </c>
      <c r="DO53" s="45">
        <f t="shared" si="63"/>
        <v>0</v>
      </c>
      <c r="DP53" s="45"/>
      <c r="DQ53" s="45">
        <v>0</v>
      </c>
      <c r="DR53" s="45">
        <f t="shared" si="64"/>
        <v>200000</v>
      </c>
      <c r="DS53" s="45">
        <f t="shared" si="65"/>
        <v>0</v>
      </c>
      <c r="DT53" s="45">
        <v>-188000</v>
      </c>
      <c r="DU53" s="45">
        <f t="shared" si="66"/>
        <v>12000</v>
      </c>
      <c r="DV53" s="45">
        <f t="shared" si="67"/>
        <v>-188000</v>
      </c>
      <c r="DW53" s="45">
        <v>12000</v>
      </c>
      <c r="DX53" s="45">
        <v>0</v>
      </c>
      <c r="DY53" s="9"/>
      <c r="DZ53" s="8">
        <f t="shared" si="68"/>
        <v>-12000</v>
      </c>
      <c r="EA53" s="47">
        <v>0</v>
      </c>
      <c r="EB53" s="8">
        <f t="shared" si="69"/>
        <v>-12000</v>
      </c>
      <c r="EC53" s="8">
        <f t="shared" si="70"/>
        <v>0</v>
      </c>
      <c r="ED53" s="73"/>
      <c r="EE53" s="44">
        <v>0</v>
      </c>
      <c r="EF53" s="30">
        <f t="shared" si="71"/>
        <v>-12000</v>
      </c>
      <c r="EG53" s="30">
        <f t="shared" si="72"/>
        <v>0</v>
      </c>
      <c r="EH53" s="30">
        <f t="shared" si="73"/>
        <v>0</v>
      </c>
      <c r="EI53" s="44">
        <v>200000</v>
      </c>
      <c r="EJ53" s="30">
        <f t="shared" si="74"/>
        <v>188000</v>
      </c>
      <c r="EK53" s="30">
        <f t="shared" si="75"/>
        <v>200000</v>
      </c>
      <c r="EL53" s="30">
        <f t="shared" si="76"/>
        <v>200000</v>
      </c>
      <c r="EM53" s="44">
        <v>200000</v>
      </c>
      <c r="EN53" s="30">
        <f t="shared" si="90"/>
        <v>188000</v>
      </c>
      <c r="EO53" s="30">
        <f t="shared" si="91"/>
        <v>200000</v>
      </c>
      <c r="EP53" s="30">
        <f t="shared" si="92"/>
        <v>200000</v>
      </c>
      <c r="EQ53" s="30">
        <f t="shared" si="77"/>
        <v>0</v>
      </c>
      <c r="ER53" s="44">
        <v>200000</v>
      </c>
      <c r="ES53" s="30">
        <f t="shared" si="78"/>
        <v>188000</v>
      </c>
      <c r="ET53" s="30">
        <f t="shared" si="79"/>
        <v>200000</v>
      </c>
      <c r="EU53" s="30">
        <f t="shared" si="80"/>
        <v>200000</v>
      </c>
      <c r="EV53" s="30">
        <f t="shared" si="81"/>
        <v>0</v>
      </c>
      <c r="EW53" s="44">
        <v>200000</v>
      </c>
      <c r="EX53" s="30">
        <f t="shared" si="82"/>
        <v>188000</v>
      </c>
      <c r="EY53" s="30">
        <f t="shared" si="83"/>
        <v>0</v>
      </c>
      <c r="EZ53" s="31">
        <v>200000</v>
      </c>
      <c r="FA53" s="30">
        <f t="shared" si="84"/>
        <v>188000</v>
      </c>
      <c r="FB53" s="30">
        <f t="shared" si="85"/>
        <v>0</v>
      </c>
    </row>
    <row r="54" spans="1:158" ht="12.75" x14ac:dyDescent="0.2">
      <c r="A54" s="22" t="s">
        <v>108</v>
      </c>
      <c r="B54" s="23"/>
      <c r="C54" s="61" t="s">
        <v>139</v>
      </c>
      <c r="D54" s="25"/>
      <c r="E54" s="26"/>
      <c r="F54" s="26"/>
      <c r="G54" s="26"/>
      <c r="H54" s="27"/>
      <c r="I54" s="26"/>
      <c r="J54" s="27"/>
      <c r="K54" s="27"/>
      <c r="L54" s="27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9"/>
      <c r="X54" s="29"/>
      <c r="Y54" s="29">
        <f t="shared" si="9"/>
        <v>0</v>
      </c>
      <c r="Z54" s="30"/>
      <c r="AA54" s="30"/>
      <c r="AB54" s="30"/>
      <c r="AC54" s="30">
        <v>300000</v>
      </c>
      <c r="AD54" s="31">
        <v>0</v>
      </c>
      <c r="AE54" s="30">
        <f t="shared" si="96"/>
        <v>300000</v>
      </c>
      <c r="AF54" s="30">
        <f>AC54-W54+X54</f>
        <v>300000</v>
      </c>
      <c r="AG54" s="30">
        <f>AC54-Z54</f>
        <v>300000</v>
      </c>
      <c r="AH54" s="32">
        <v>300000</v>
      </c>
      <c r="AI54" s="32">
        <v>300000</v>
      </c>
      <c r="AJ54" s="30">
        <f t="shared" si="93"/>
        <v>0</v>
      </c>
      <c r="AK54" s="30">
        <f t="shared" si="11"/>
        <v>0</v>
      </c>
      <c r="AL54" s="30">
        <f t="shared" si="12"/>
        <v>-300000</v>
      </c>
      <c r="AM54" s="31">
        <f t="shared" si="13"/>
        <v>300000</v>
      </c>
      <c r="AN54" s="31">
        <f t="shared" si="14"/>
        <v>300000</v>
      </c>
      <c r="AO54" s="31">
        <f t="shared" si="4"/>
        <v>0</v>
      </c>
      <c r="AP54" s="30">
        <v>300000</v>
      </c>
      <c r="AQ54" s="30">
        <f t="shared" si="5"/>
        <v>300000</v>
      </c>
      <c r="AR54" s="30">
        <f t="shared" si="15"/>
        <v>300000</v>
      </c>
      <c r="AS54" s="30">
        <f t="shared" si="16"/>
        <v>300000</v>
      </c>
      <c r="AT54" s="30"/>
      <c r="AU54" s="30">
        <f t="shared" si="17"/>
        <v>300000</v>
      </c>
      <c r="AV54" s="30">
        <v>0</v>
      </c>
      <c r="AW54" s="30">
        <f t="shared" si="18"/>
        <v>-300000</v>
      </c>
      <c r="AX54" s="30">
        <v>0</v>
      </c>
      <c r="AY54" s="31">
        <f>AX54-AP54-AT54</f>
        <v>-300000</v>
      </c>
      <c r="AZ54" s="31">
        <f>AX54-AV54</f>
        <v>0</v>
      </c>
      <c r="BA54" s="30">
        <v>251950</v>
      </c>
      <c r="BB54" s="30">
        <f t="shared" si="19"/>
        <v>-48050</v>
      </c>
      <c r="BC54" s="30">
        <f t="shared" si="20"/>
        <v>251950</v>
      </c>
      <c r="BD54" s="30">
        <f t="shared" si="21"/>
        <v>251950</v>
      </c>
      <c r="BE54" s="30">
        <v>251950</v>
      </c>
      <c r="BF54" s="30">
        <v>251950</v>
      </c>
      <c r="BG54" s="30">
        <v>251950</v>
      </c>
      <c r="BH54" s="30">
        <f t="shared" si="22"/>
        <v>-48050</v>
      </c>
      <c r="BI54" s="30">
        <f t="shared" si="23"/>
        <v>251950</v>
      </c>
      <c r="BJ54" s="30">
        <f t="shared" si="24"/>
        <v>0</v>
      </c>
      <c r="BK54" s="8">
        <f t="shared" si="25"/>
        <v>0</v>
      </c>
      <c r="BL54" s="30"/>
      <c r="BM54" s="30">
        <f t="shared" si="26"/>
        <v>251950</v>
      </c>
      <c r="BN54" s="44">
        <v>251950</v>
      </c>
      <c r="BO54" s="31">
        <f t="shared" si="27"/>
        <v>0</v>
      </c>
      <c r="BP54" s="44">
        <v>0</v>
      </c>
      <c r="BQ54" s="8">
        <f t="shared" si="28"/>
        <v>-251950</v>
      </c>
      <c r="BR54" s="8">
        <f t="shared" si="29"/>
        <v>-251950</v>
      </c>
      <c r="BS54" s="44">
        <f>BP54</f>
        <v>0</v>
      </c>
      <c r="BT54" s="47">
        <f t="shared" si="30"/>
        <v>-251950</v>
      </c>
      <c r="BU54" s="47">
        <f t="shared" si="31"/>
        <v>-251950</v>
      </c>
      <c r="BV54" s="47">
        <f t="shared" si="32"/>
        <v>0</v>
      </c>
      <c r="BW54" s="45">
        <v>251950</v>
      </c>
      <c r="BX54" s="8">
        <f t="shared" si="33"/>
        <v>0</v>
      </c>
      <c r="BY54" s="8">
        <f t="shared" si="34"/>
        <v>0</v>
      </c>
      <c r="BZ54" s="8">
        <f t="shared" si="35"/>
        <v>251950</v>
      </c>
      <c r="CA54" s="45">
        <v>251950</v>
      </c>
      <c r="CB54" s="8">
        <f t="shared" si="36"/>
        <v>0</v>
      </c>
      <c r="CC54" s="8">
        <f t="shared" si="37"/>
        <v>0</v>
      </c>
      <c r="CD54" s="8">
        <f t="shared" si="6"/>
        <v>251950</v>
      </c>
      <c r="CE54" s="8">
        <f t="shared" si="38"/>
        <v>0</v>
      </c>
      <c r="CF54" s="45">
        <v>251950</v>
      </c>
      <c r="CG54" s="8">
        <f t="shared" si="39"/>
        <v>0</v>
      </c>
      <c r="CH54" s="8">
        <f t="shared" si="40"/>
        <v>0</v>
      </c>
      <c r="CI54" s="8">
        <f t="shared" si="41"/>
        <v>251950</v>
      </c>
      <c r="CJ54" s="8">
        <f t="shared" si="42"/>
        <v>0</v>
      </c>
      <c r="CK54" s="45">
        <v>251950</v>
      </c>
      <c r="CL54" s="8">
        <f t="shared" si="7"/>
        <v>0</v>
      </c>
      <c r="CM54" s="8">
        <f t="shared" si="43"/>
        <v>0</v>
      </c>
      <c r="CN54" s="8">
        <f t="shared" si="44"/>
        <v>0</v>
      </c>
      <c r="CO54" s="45">
        <f>CK54</f>
        <v>251950</v>
      </c>
      <c r="CP54" s="45">
        <f t="shared" si="45"/>
        <v>0</v>
      </c>
      <c r="CQ54" s="8">
        <f t="shared" si="46"/>
        <v>0</v>
      </c>
      <c r="CR54" s="45">
        <v>0</v>
      </c>
      <c r="CS54" s="32">
        <v>280000</v>
      </c>
      <c r="CT54" s="45">
        <f t="shared" si="47"/>
        <v>280000</v>
      </c>
      <c r="CU54" s="8">
        <f t="shared" si="48"/>
        <v>28050</v>
      </c>
      <c r="CV54" s="45">
        <f t="shared" si="49"/>
        <v>28050</v>
      </c>
      <c r="CW54" s="45">
        <f t="shared" si="50"/>
        <v>280000</v>
      </c>
      <c r="CX54" s="45">
        <v>280000</v>
      </c>
      <c r="CY54" s="8">
        <f t="shared" si="51"/>
        <v>28050</v>
      </c>
      <c r="CZ54" s="45">
        <f t="shared" si="52"/>
        <v>28050</v>
      </c>
      <c r="DA54" s="45">
        <f t="shared" si="53"/>
        <v>0</v>
      </c>
      <c r="DB54" s="45">
        <v>280000</v>
      </c>
      <c r="DC54" s="8">
        <f t="shared" si="54"/>
        <v>28050</v>
      </c>
      <c r="DD54" s="45">
        <f t="shared" si="55"/>
        <v>28050</v>
      </c>
      <c r="DE54" s="45">
        <f t="shared" si="56"/>
        <v>0</v>
      </c>
      <c r="DF54" s="45">
        <f t="shared" si="57"/>
        <v>0</v>
      </c>
      <c r="DG54" s="45">
        <v>280000</v>
      </c>
      <c r="DH54" s="47">
        <f t="shared" si="58"/>
        <v>28050</v>
      </c>
      <c r="DI54" s="45">
        <f t="shared" si="59"/>
        <v>28050</v>
      </c>
      <c r="DJ54" s="45">
        <f t="shared" si="60"/>
        <v>0</v>
      </c>
      <c r="DK54" s="45">
        <f t="shared" si="61"/>
        <v>0</v>
      </c>
      <c r="DL54" s="45"/>
      <c r="DM54" s="45">
        <f t="shared" si="62"/>
        <v>280000</v>
      </c>
      <c r="DN54" s="45">
        <v>280000</v>
      </c>
      <c r="DO54" s="45">
        <f t="shared" si="63"/>
        <v>28050</v>
      </c>
      <c r="DP54" s="45"/>
      <c r="DQ54" s="45">
        <v>-4200</v>
      </c>
      <c r="DR54" s="45">
        <f t="shared" si="64"/>
        <v>275800</v>
      </c>
      <c r="DS54" s="45">
        <f t="shared" si="65"/>
        <v>23850</v>
      </c>
      <c r="DT54" s="45"/>
      <c r="DU54" s="45">
        <f t="shared" si="66"/>
        <v>275800</v>
      </c>
      <c r="DV54" s="45">
        <f t="shared" si="67"/>
        <v>23850</v>
      </c>
      <c r="DW54" s="45">
        <v>275800</v>
      </c>
      <c r="DX54" s="45">
        <v>0</v>
      </c>
      <c r="DY54" s="9"/>
      <c r="DZ54" s="8">
        <f t="shared" si="68"/>
        <v>-275800</v>
      </c>
      <c r="EA54" s="47">
        <v>0</v>
      </c>
      <c r="EB54" s="8">
        <f t="shared" si="69"/>
        <v>-275800</v>
      </c>
      <c r="EC54" s="8">
        <f t="shared" si="70"/>
        <v>0</v>
      </c>
      <c r="ED54" s="73"/>
      <c r="EE54" s="44">
        <v>100000</v>
      </c>
      <c r="EF54" s="30">
        <f t="shared" si="71"/>
        <v>-175800</v>
      </c>
      <c r="EG54" s="30">
        <f t="shared" si="72"/>
        <v>100000</v>
      </c>
      <c r="EH54" s="30">
        <f t="shared" si="73"/>
        <v>100000</v>
      </c>
      <c r="EI54" s="44">
        <v>275800</v>
      </c>
      <c r="EJ54" s="30">
        <f t="shared" si="74"/>
        <v>0</v>
      </c>
      <c r="EK54" s="30">
        <f t="shared" si="75"/>
        <v>275800</v>
      </c>
      <c r="EL54" s="30">
        <f t="shared" si="76"/>
        <v>175800</v>
      </c>
      <c r="EM54" s="44">
        <v>275800</v>
      </c>
      <c r="EN54" s="30">
        <f t="shared" si="90"/>
        <v>0</v>
      </c>
      <c r="EO54" s="30">
        <f t="shared" si="91"/>
        <v>275800</v>
      </c>
      <c r="EP54" s="30">
        <f t="shared" si="92"/>
        <v>175800</v>
      </c>
      <c r="EQ54" s="30">
        <f t="shared" si="77"/>
        <v>0</v>
      </c>
      <c r="ER54" s="44">
        <v>275800</v>
      </c>
      <c r="ES54" s="30">
        <f t="shared" si="78"/>
        <v>0</v>
      </c>
      <c r="ET54" s="30">
        <f t="shared" si="79"/>
        <v>275800</v>
      </c>
      <c r="EU54" s="30">
        <f t="shared" si="80"/>
        <v>175800</v>
      </c>
      <c r="EV54" s="30">
        <f t="shared" si="81"/>
        <v>0</v>
      </c>
      <c r="EW54" s="44">
        <v>275800</v>
      </c>
      <c r="EX54" s="30">
        <f t="shared" si="82"/>
        <v>0</v>
      </c>
      <c r="EY54" s="30">
        <f t="shared" si="83"/>
        <v>0</v>
      </c>
      <c r="EZ54" s="31">
        <v>275800</v>
      </c>
      <c r="FA54" s="30">
        <f t="shared" si="84"/>
        <v>0</v>
      </c>
      <c r="FB54" s="30">
        <f t="shared" si="85"/>
        <v>0</v>
      </c>
    </row>
    <row r="55" spans="1:158" ht="12.75" x14ac:dyDescent="0.2">
      <c r="A55" s="46" t="s">
        <v>201</v>
      </c>
      <c r="B55" s="23"/>
      <c r="C55" s="60" t="s">
        <v>295</v>
      </c>
      <c r="D55" s="25"/>
      <c r="E55" s="26"/>
      <c r="F55" s="26"/>
      <c r="G55" s="26"/>
      <c r="H55" s="27"/>
      <c r="I55" s="26"/>
      <c r="J55" s="27"/>
      <c r="K55" s="27"/>
      <c r="L55" s="27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9"/>
      <c r="X55" s="29"/>
      <c r="Y55" s="29"/>
      <c r="Z55" s="30"/>
      <c r="AA55" s="30"/>
      <c r="AB55" s="30"/>
      <c r="AC55" s="30"/>
      <c r="AD55" s="31"/>
      <c r="AE55" s="30"/>
      <c r="AF55" s="30"/>
      <c r="AG55" s="30"/>
      <c r="AH55" s="32"/>
      <c r="AI55" s="32"/>
      <c r="AJ55" s="30"/>
      <c r="AK55" s="30"/>
      <c r="AL55" s="30"/>
      <c r="AM55" s="31"/>
      <c r="AN55" s="31"/>
      <c r="AO55" s="31"/>
      <c r="AP55" s="30"/>
      <c r="AQ55" s="30"/>
      <c r="AR55" s="30"/>
      <c r="AS55" s="30"/>
      <c r="AT55" s="30"/>
      <c r="AU55" s="30"/>
      <c r="AV55" s="30"/>
      <c r="AW55" s="30"/>
      <c r="AX55" s="30"/>
      <c r="AY55" s="31"/>
      <c r="AZ55" s="31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8"/>
      <c r="BL55" s="30"/>
      <c r="BM55" s="30"/>
      <c r="BN55" s="44"/>
      <c r="BO55" s="31"/>
      <c r="BP55" s="44"/>
      <c r="BQ55" s="8"/>
      <c r="BR55" s="8"/>
      <c r="BS55" s="44"/>
      <c r="BT55" s="47"/>
      <c r="BU55" s="47"/>
      <c r="BV55" s="47"/>
      <c r="BW55" s="45"/>
      <c r="BX55" s="8"/>
      <c r="BY55" s="8"/>
      <c r="BZ55" s="8"/>
      <c r="CA55" s="45">
        <v>200000</v>
      </c>
      <c r="CB55" s="8">
        <f t="shared" ref="CB55" si="100">CA55-BM55</f>
        <v>200000</v>
      </c>
      <c r="CC55" s="8">
        <f t="shared" ref="CC55" si="101">CA55-BN55</f>
        <v>200000</v>
      </c>
      <c r="CD55" s="8">
        <f t="shared" ref="CD55" si="102">CA55-BS55</f>
        <v>200000</v>
      </c>
      <c r="CE55" s="8">
        <f t="shared" ref="CE55" si="103">CA55-BW55</f>
        <v>200000</v>
      </c>
      <c r="CF55" s="45">
        <v>125000</v>
      </c>
      <c r="CG55" s="8">
        <f t="shared" si="39"/>
        <v>125000</v>
      </c>
      <c r="CH55" s="8">
        <f t="shared" si="40"/>
        <v>125000</v>
      </c>
      <c r="CI55" s="8">
        <f t="shared" si="41"/>
        <v>125000</v>
      </c>
      <c r="CJ55" s="8">
        <f t="shared" si="42"/>
        <v>-75000</v>
      </c>
      <c r="CK55" s="45">
        <v>125000</v>
      </c>
      <c r="CL55" s="8">
        <f t="shared" si="7"/>
        <v>125000</v>
      </c>
      <c r="CM55" s="8">
        <f t="shared" si="43"/>
        <v>125000</v>
      </c>
      <c r="CN55" s="8">
        <f t="shared" si="44"/>
        <v>0</v>
      </c>
      <c r="CO55" s="45">
        <v>0</v>
      </c>
      <c r="CP55" s="45">
        <f t="shared" si="45"/>
        <v>0</v>
      </c>
      <c r="CQ55" s="8">
        <f t="shared" si="46"/>
        <v>-125000</v>
      </c>
      <c r="CR55" s="45">
        <v>0</v>
      </c>
      <c r="CS55" s="32"/>
      <c r="CT55" s="45">
        <f t="shared" si="47"/>
        <v>0</v>
      </c>
      <c r="CU55" s="8">
        <f t="shared" si="48"/>
        <v>-125000</v>
      </c>
      <c r="CV55" s="45">
        <f t="shared" si="49"/>
        <v>0</v>
      </c>
      <c r="CW55" s="45">
        <f t="shared" si="50"/>
        <v>0</v>
      </c>
      <c r="CX55" s="45">
        <v>125000</v>
      </c>
      <c r="CY55" s="8">
        <f t="shared" si="51"/>
        <v>0</v>
      </c>
      <c r="CZ55" s="45">
        <f t="shared" si="52"/>
        <v>125000</v>
      </c>
      <c r="DA55" s="45">
        <f t="shared" si="53"/>
        <v>125000</v>
      </c>
      <c r="DB55" s="45">
        <v>200000</v>
      </c>
      <c r="DC55" s="8">
        <f t="shared" si="54"/>
        <v>75000</v>
      </c>
      <c r="DD55" s="45">
        <f t="shared" si="55"/>
        <v>200000</v>
      </c>
      <c r="DE55" s="45">
        <f t="shared" si="56"/>
        <v>200000</v>
      </c>
      <c r="DF55" s="45">
        <f t="shared" si="57"/>
        <v>75000</v>
      </c>
      <c r="DG55" s="45">
        <v>200000</v>
      </c>
      <c r="DH55" s="47">
        <f t="shared" si="58"/>
        <v>75000</v>
      </c>
      <c r="DI55" s="45">
        <f t="shared" si="59"/>
        <v>200000</v>
      </c>
      <c r="DJ55" s="45">
        <f t="shared" si="60"/>
        <v>200000</v>
      </c>
      <c r="DK55" s="45">
        <f t="shared" si="61"/>
        <v>0</v>
      </c>
      <c r="DL55" s="45"/>
      <c r="DM55" s="45">
        <f t="shared" si="62"/>
        <v>200000</v>
      </c>
      <c r="DN55" s="45">
        <v>200000</v>
      </c>
      <c r="DO55" s="45">
        <f t="shared" si="63"/>
        <v>75000</v>
      </c>
      <c r="DP55" s="45"/>
      <c r="DQ55" s="45">
        <v>0</v>
      </c>
      <c r="DR55" s="45">
        <f t="shared" si="64"/>
        <v>200000</v>
      </c>
      <c r="DS55" s="45">
        <f t="shared" si="65"/>
        <v>75000</v>
      </c>
      <c r="DT55" s="45"/>
      <c r="DU55" s="45">
        <f t="shared" si="66"/>
        <v>200000</v>
      </c>
      <c r="DV55" s="45">
        <f t="shared" si="67"/>
        <v>75000</v>
      </c>
      <c r="DW55" s="45">
        <v>200000</v>
      </c>
      <c r="DX55" s="45">
        <v>0</v>
      </c>
      <c r="DY55" s="9"/>
      <c r="DZ55" s="8">
        <f t="shared" si="68"/>
        <v>-200000</v>
      </c>
      <c r="EA55" s="47">
        <v>0</v>
      </c>
      <c r="EB55" s="8">
        <f t="shared" si="69"/>
        <v>-200000</v>
      </c>
      <c r="EC55" s="8">
        <f t="shared" si="70"/>
        <v>0</v>
      </c>
      <c r="ED55" s="73"/>
      <c r="EE55" s="44">
        <v>0</v>
      </c>
      <c r="EF55" s="30">
        <f t="shared" si="71"/>
        <v>-200000</v>
      </c>
      <c r="EG55" s="30">
        <f t="shared" si="72"/>
        <v>0</v>
      </c>
      <c r="EH55" s="30">
        <f t="shared" si="73"/>
        <v>0</v>
      </c>
      <c r="EI55" s="44">
        <v>200000</v>
      </c>
      <c r="EJ55" s="30">
        <f t="shared" si="74"/>
        <v>0</v>
      </c>
      <c r="EK55" s="30">
        <f t="shared" si="75"/>
        <v>200000</v>
      </c>
      <c r="EL55" s="30">
        <f t="shared" si="76"/>
        <v>200000</v>
      </c>
      <c r="EM55" s="44">
        <v>200000</v>
      </c>
      <c r="EN55" s="30">
        <f t="shared" si="90"/>
        <v>0</v>
      </c>
      <c r="EO55" s="30">
        <f t="shared" si="91"/>
        <v>200000</v>
      </c>
      <c r="EP55" s="30">
        <f t="shared" si="92"/>
        <v>200000</v>
      </c>
      <c r="EQ55" s="30">
        <f t="shared" si="77"/>
        <v>0</v>
      </c>
      <c r="ER55" s="44">
        <v>200000</v>
      </c>
      <c r="ES55" s="30">
        <f t="shared" si="78"/>
        <v>0</v>
      </c>
      <c r="ET55" s="30">
        <f t="shared" si="79"/>
        <v>200000</v>
      </c>
      <c r="EU55" s="30">
        <f t="shared" si="80"/>
        <v>200000</v>
      </c>
      <c r="EV55" s="30">
        <f t="shared" si="81"/>
        <v>0</v>
      </c>
      <c r="EW55" s="44">
        <f>200000-200000</f>
        <v>0</v>
      </c>
      <c r="EX55" s="30">
        <f t="shared" si="82"/>
        <v>-200000</v>
      </c>
      <c r="EY55" s="30">
        <f t="shared" si="83"/>
        <v>-200000</v>
      </c>
      <c r="EZ55" s="31">
        <f>200000</f>
        <v>200000</v>
      </c>
      <c r="FA55" s="30">
        <f t="shared" si="84"/>
        <v>0</v>
      </c>
      <c r="FB55" s="30">
        <f t="shared" si="85"/>
        <v>200000</v>
      </c>
    </row>
    <row r="56" spans="1:158" ht="12.75" x14ac:dyDescent="0.2">
      <c r="A56" s="46" t="s">
        <v>292</v>
      </c>
      <c r="B56" s="23"/>
      <c r="C56" s="60" t="s">
        <v>282</v>
      </c>
      <c r="D56" s="25"/>
      <c r="E56" s="26"/>
      <c r="F56" s="26"/>
      <c r="G56" s="26"/>
      <c r="H56" s="27"/>
      <c r="I56" s="26"/>
      <c r="J56" s="27"/>
      <c r="K56" s="27"/>
      <c r="L56" s="27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9"/>
      <c r="X56" s="29"/>
      <c r="Y56" s="29"/>
      <c r="Z56" s="30"/>
      <c r="AA56" s="30"/>
      <c r="AB56" s="30"/>
      <c r="AC56" s="30"/>
      <c r="AD56" s="31"/>
      <c r="AE56" s="30"/>
      <c r="AF56" s="30"/>
      <c r="AG56" s="30"/>
      <c r="AH56" s="32"/>
      <c r="AI56" s="32"/>
      <c r="AJ56" s="30"/>
      <c r="AK56" s="30"/>
      <c r="AL56" s="30"/>
      <c r="AM56" s="31"/>
      <c r="AN56" s="31"/>
      <c r="AO56" s="31"/>
      <c r="AP56" s="30"/>
      <c r="AQ56" s="30"/>
      <c r="AR56" s="30"/>
      <c r="AS56" s="30"/>
      <c r="AT56" s="30"/>
      <c r="AU56" s="30"/>
      <c r="AV56" s="30"/>
      <c r="AW56" s="30"/>
      <c r="AX56" s="30"/>
      <c r="AY56" s="31"/>
      <c r="AZ56" s="31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8"/>
      <c r="BL56" s="30"/>
      <c r="BM56" s="30"/>
      <c r="BN56" s="44"/>
      <c r="BO56" s="31"/>
      <c r="BP56" s="44"/>
      <c r="BQ56" s="8"/>
      <c r="BR56" s="8"/>
      <c r="BS56" s="44"/>
      <c r="BT56" s="47"/>
      <c r="BU56" s="47"/>
      <c r="BV56" s="47"/>
      <c r="BW56" s="45"/>
      <c r="BX56" s="8"/>
      <c r="BY56" s="8"/>
      <c r="BZ56" s="8"/>
      <c r="CA56" s="45"/>
      <c r="CB56" s="8"/>
      <c r="CC56" s="8"/>
      <c r="CD56" s="8"/>
      <c r="CE56" s="8"/>
      <c r="CF56" s="45"/>
      <c r="CG56" s="8"/>
      <c r="CH56" s="8"/>
      <c r="CI56" s="8"/>
      <c r="CJ56" s="8"/>
      <c r="CK56" s="45"/>
      <c r="CL56" s="8"/>
      <c r="CM56" s="8"/>
      <c r="CN56" s="8"/>
      <c r="CO56" s="45"/>
      <c r="CP56" s="45"/>
      <c r="CQ56" s="8"/>
      <c r="CR56" s="45"/>
      <c r="CS56" s="32"/>
      <c r="CT56" s="45"/>
      <c r="CU56" s="8"/>
      <c r="CV56" s="45"/>
      <c r="CW56" s="45"/>
      <c r="CX56" s="45"/>
      <c r="CY56" s="8"/>
      <c r="CZ56" s="45"/>
      <c r="DA56" s="45"/>
      <c r="DB56" s="45"/>
      <c r="DC56" s="8"/>
      <c r="DD56" s="45"/>
      <c r="DE56" s="45"/>
      <c r="DF56" s="45"/>
      <c r="DG56" s="45"/>
      <c r="DH56" s="47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9"/>
      <c r="DZ56" s="8"/>
      <c r="EA56" s="47"/>
      <c r="EB56" s="8"/>
      <c r="EC56" s="8"/>
      <c r="ED56" s="73"/>
      <c r="EE56" s="44"/>
      <c r="EF56" s="30"/>
      <c r="EG56" s="30"/>
      <c r="EH56" s="30"/>
      <c r="EI56" s="44"/>
      <c r="EJ56" s="30"/>
      <c r="EK56" s="30"/>
      <c r="EL56" s="30"/>
      <c r="EM56" s="44">
        <v>150000</v>
      </c>
      <c r="EN56" s="30">
        <f t="shared" si="90"/>
        <v>150000</v>
      </c>
      <c r="EO56" s="30">
        <f t="shared" si="91"/>
        <v>150000</v>
      </c>
      <c r="EP56" s="30">
        <f t="shared" si="92"/>
        <v>150000</v>
      </c>
      <c r="EQ56" s="30">
        <f t="shared" si="77"/>
        <v>150000</v>
      </c>
      <c r="ER56" s="44">
        <v>150000</v>
      </c>
      <c r="ES56" s="30">
        <f t="shared" si="78"/>
        <v>150000</v>
      </c>
      <c r="ET56" s="30">
        <f t="shared" si="79"/>
        <v>150000</v>
      </c>
      <c r="EU56" s="30">
        <f t="shared" si="80"/>
        <v>150000</v>
      </c>
      <c r="EV56" s="30">
        <f t="shared" si="81"/>
        <v>0</v>
      </c>
      <c r="EW56" s="44">
        <v>150000</v>
      </c>
      <c r="EX56" s="30">
        <f t="shared" si="82"/>
        <v>150000</v>
      </c>
      <c r="EY56" s="30">
        <f t="shared" si="83"/>
        <v>0</v>
      </c>
      <c r="EZ56" s="31">
        <v>150000</v>
      </c>
      <c r="FA56" s="30">
        <f t="shared" si="84"/>
        <v>150000</v>
      </c>
      <c r="FB56" s="30">
        <f t="shared" si="85"/>
        <v>0</v>
      </c>
    </row>
    <row r="57" spans="1:158" hidden="1" x14ac:dyDescent="0.2">
      <c r="A57" s="46" t="s">
        <v>265</v>
      </c>
      <c r="B57" s="70" t="s">
        <v>266</v>
      </c>
      <c r="C57" s="82"/>
      <c r="D57" s="69"/>
      <c r="E57" s="9"/>
      <c r="F57" s="9"/>
      <c r="G57" s="9"/>
      <c r="H57" s="9"/>
      <c r="I57" s="9"/>
      <c r="J57" s="68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30"/>
      <c r="AB57" s="9"/>
      <c r="AC57" s="9"/>
      <c r="AD57" s="17"/>
      <c r="AE57" s="9"/>
      <c r="AF57" s="9"/>
      <c r="AG57" s="9"/>
      <c r="AH57" s="9"/>
      <c r="AI57" s="9"/>
      <c r="AJ57" s="9"/>
      <c r="AK57" s="9"/>
      <c r="AL57" s="9"/>
      <c r="AM57" s="17"/>
      <c r="AN57" s="17"/>
      <c r="AO57" s="17"/>
      <c r="AP57" s="9"/>
      <c r="AQ57" s="9"/>
      <c r="AR57" s="9"/>
      <c r="AS57" s="9"/>
      <c r="AT57" s="9"/>
      <c r="AU57" s="9"/>
      <c r="AV57" s="17"/>
      <c r="AW57" s="9"/>
      <c r="AX57" s="9"/>
      <c r="AY57" s="17"/>
      <c r="AZ57" s="17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30"/>
      <c r="BO57" s="30"/>
      <c r="BP57" s="30"/>
      <c r="BQ57" s="9"/>
      <c r="BR57" s="9"/>
      <c r="BS57" s="30"/>
      <c r="BT57" s="9"/>
      <c r="BU57" s="9"/>
      <c r="BV57" s="9"/>
      <c r="BW57" s="30"/>
      <c r="BX57" s="9"/>
      <c r="BY57" s="9"/>
      <c r="BZ57" s="9"/>
      <c r="CA57" s="30"/>
      <c r="CB57" s="9"/>
      <c r="CC57" s="9"/>
      <c r="CD57" s="9"/>
      <c r="CE57" s="9"/>
      <c r="CF57" s="30"/>
      <c r="CG57" s="9"/>
      <c r="CH57" s="9"/>
      <c r="CI57" s="9"/>
      <c r="CJ57" s="9"/>
      <c r="CK57" s="30"/>
      <c r="CL57" s="9"/>
      <c r="CM57" s="9"/>
      <c r="CN57" s="9"/>
      <c r="CO57" s="30"/>
      <c r="CP57" s="30"/>
      <c r="CQ57" s="9"/>
      <c r="CR57" s="30"/>
      <c r="CS57" s="30"/>
      <c r="CT57" s="30"/>
      <c r="CU57" s="9"/>
      <c r="CV57" s="30"/>
      <c r="CW57" s="30"/>
      <c r="CX57" s="30"/>
      <c r="CY57" s="9"/>
      <c r="CZ57" s="30"/>
      <c r="DA57" s="30"/>
      <c r="DB57" s="30"/>
      <c r="DC57" s="9"/>
      <c r="DD57" s="30"/>
      <c r="DE57" s="30"/>
      <c r="DF57" s="30"/>
      <c r="DG57" s="30"/>
      <c r="DH57" s="9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44">
        <v>1379000</v>
      </c>
      <c r="DY57" s="9"/>
      <c r="DZ57" s="8">
        <f t="shared" si="68"/>
        <v>1379000</v>
      </c>
      <c r="EA57" s="47">
        <v>0</v>
      </c>
      <c r="EB57" s="8">
        <f t="shared" si="69"/>
        <v>0</v>
      </c>
      <c r="EC57" s="8">
        <f t="shared" si="70"/>
        <v>-1379000</v>
      </c>
      <c r="ED57" s="71" t="s">
        <v>271</v>
      </c>
      <c r="EE57" s="44">
        <v>0</v>
      </c>
      <c r="EF57" s="30">
        <f t="shared" si="71"/>
        <v>0</v>
      </c>
      <c r="EG57" s="30">
        <f t="shared" si="72"/>
        <v>-1379000</v>
      </c>
      <c r="EH57" s="30">
        <f t="shared" si="73"/>
        <v>0</v>
      </c>
      <c r="EI57" s="44">
        <v>0</v>
      </c>
      <c r="EJ57" s="30">
        <f t="shared" si="74"/>
        <v>0</v>
      </c>
      <c r="EK57" s="30">
        <f t="shared" si="75"/>
        <v>-1379000</v>
      </c>
      <c r="EL57" s="30">
        <f t="shared" si="76"/>
        <v>0</v>
      </c>
      <c r="EM57" s="44">
        <v>0</v>
      </c>
      <c r="EN57" s="30">
        <f t="shared" si="90"/>
        <v>0</v>
      </c>
      <c r="EO57" s="30">
        <f t="shared" si="91"/>
        <v>-1379000</v>
      </c>
      <c r="EP57" s="30">
        <f t="shared" si="92"/>
        <v>0</v>
      </c>
      <c r="EQ57" s="30">
        <f t="shared" si="77"/>
        <v>0</v>
      </c>
      <c r="ER57" s="31">
        <v>0</v>
      </c>
      <c r="ES57" s="30">
        <f t="shared" si="78"/>
        <v>0</v>
      </c>
      <c r="ET57" s="30">
        <f t="shared" si="79"/>
        <v>-1379000</v>
      </c>
      <c r="EU57" s="30">
        <f t="shared" si="80"/>
        <v>0</v>
      </c>
      <c r="EV57" s="30">
        <f t="shared" si="81"/>
        <v>0</v>
      </c>
      <c r="EW57" s="31">
        <v>0</v>
      </c>
      <c r="EX57" s="30">
        <f t="shared" si="82"/>
        <v>0</v>
      </c>
      <c r="EY57" s="30">
        <f t="shared" si="83"/>
        <v>0</v>
      </c>
      <c r="EZ57" s="31">
        <v>0</v>
      </c>
      <c r="FA57" s="30">
        <f t="shared" ref="FA57" si="104">EZ57-DZ57</f>
        <v>-1379000</v>
      </c>
      <c r="FB57" s="30">
        <f t="shared" si="85"/>
        <v>0</v>
      </c>
    </row>
    <row r="58" spans="1:158" ht="12.75" x14ac:dyDescent="0.2">
      <c r="A58" s="42" t="s">
        <v>168</v>
      </c>
      <c r="B58" s="24"/>
      <c r="C58" s="80"/>
      <c r="D58" s="35">
        <f t="shared" ref="D58:L58" si="105">SUM(D9:D53)</f>
        <v>4291565177</v>
      </c>
      <c r="E58" s="36">
        <f t="shared" si="105"/>
        <v>4551124520</v>
      </c>
      <c r="F58" s="36">
        <f t="shared" si="105"/>
        <v>4100990904</v>
      </c>
      <c r="G58" s="36">
        <f t="shared" si="105"/>
        <v>4310153596</v>
      </c>
      <c r="H58" s="37">
        <f t="shared" si="105"/>
        <v>-2250000</v>
      </c>
      <c r="I58" s="36">
        <f t="shared" si="105"/>
        <v>4307903596</v>
      </c>
      <c r="J58" s="37">
        <f t="shared" si="105"/>
        <v>-13378636</v>
      </c>
      <c r="K58" s="37">
        <f t="shared" si="105"/>
        <v>0</v>
      </c>
      <c r="L58" s="37">
        <f t="shared" si="105"/>
        <v>-13378636</v>
      </c>
      <c r="M58" s="38">
        <f t="shared" ref="M58:AR58" si="106">SUM(M9:M54)</f>
        <v>4294524960</v>
      </c>
      <c r="N58" s="38">
        <f t="shared" si="106"/>
        <v>4475708972</v>
      </c>
      <c r="O58" s="38">
        <f t="shared" si="106"/>
        <v>4278073976</v>
      </c>
      <c r="P58" s="38">
        <f t="shared" si="106"/>
        <v>4275882835</v>
      </c>
      <c r="Q58" s="38">
        <f t="shared" si="106"/>
        <v>4292443683</v>
      </c>
      <c r="R58" s="38">
        <f t="shared" si="106"/>
        <v>4290394190</v>
      </c>
      <c r="S58" s="38">
        <f t="shared" si="106"/>
        <v>4.5271800000000004</v>
      </c>
      <c r="T58" s="38">
        <f t="shared" si="106"/>
        <v>-25839554.999050006</v>
      </c>
      <c r="U58" s="38">
        <f t="shared" si="106"/>
        <v>4264554635.0009508</v>
      </c>
      <c r="V58" s="38">
        <f t="shared" si="106"/>
        <v>-29970324.999049995</v>
      </c>
      <c r="W58" s="38">
        <f t="shared" si="106"/>
        <v>4264601913</v>
      </c>
      <c r="X58" s="38">
        <f t="shared" si="106"/>
        <v>2000000</v>
      </c>
      <c r="Y58" s="38">
        <f t="shared" si="106"/>
        <v>4266601913</v>
      </c>
      <c r="Z58" s="38">
        <f t="shared" si="106"/>
        <v>4484465653</v>
      </c>
      <c r="AA58" s="38">
        <f t="shared" si="106"/>
        <v>219863740</v>
      </c>
      <c r="AB58" s="38">
        <f t="shared" si="106"/>
        <v>4480669977</v>
      </c>
      <c r="AC58" s="38">
        <f t="shared" si="106"/>
        <v>4486000305</v>
      </c>
      <c r="AD58" s="38">
        <f t="shared" si="106"/>
        <v>4448424876</v>
      </c>
      <c r="AE58" s="38">
        <f t="shared" si="106"/>
        <v>5330328</v>
      </c>
      <c r="AF58" s="38">
        <f t="shared" si="106"/>
        <v>219398392</v>
      </c>
      <c r="AG58" s="38">
        <f t="shared" si="106"/>
        <v>1534652</v>
      </c>
      <c r="AH58" s="38">
        <f t="shared" si="106"/>
        <v>4463917728</v>
      </c>
      <c r="AI58" s="38">
        <f t="shared" si="106"/>
        <v>4487041280</v>
      </c>
      <c r="AJ58" s="38">
        <f t="shared" si="106"/>
        <v>181822963</v>
      </c>
      <c r="AK58" s="38">
        <f t="shared" si="106"/>
        <v>-36040777</v>
      </c>
      <c r="AL58" s="38">
        <f t="shared" si="106"/>
        <v>-37575429</v>
      </c>
      <c r="AM58" s="38">
        <f t="shared" si="106"/>
        <v>197315815</v>
      </c>
      <c r="AN58" s="38">
        <f t="shared" si="106"/>
        <v>-20547925</v>
      </c>
      <c r="AO58" s="38">
        <f t="shared" si="106"/>
        <v>-22082577</v>
      </c>
      <c r="AP58" s="38">
        <f t="shared" si="106"/>
        <v>4487041280</v>
      </c>
      <c r="AQ58" s="38">
        <f t="shared" si="106"/>
        <v>220439367</v>
      </c>
      <c r="AR58" s="38">
        <f t="shared" si="106"/>
        <v>2575627</v>
      </c>
      <c r="AS58" s="38">
        <f t="shared" ref="AS58:AT58" si="107">SUM(AS9:AS54)</f>
        <v>220439367</v>
      </c>
      <c r="AT58" s="38">
        <f t="shared" si="107"/>
        <v>3000000</v>
      </c>
      <c r="AU58" s="38">
        <f>SUM(AU9:AU55)</f>
        <v>4490041280</v>
      </c>
      <c r="AV58" s="38">
        <f t="shared" ref="AV58:CE58" si="108">SUM(AV9:AV55)</f>
        <v>4647281619</v>
      </c>
      <c r="AW58" s="38">
        <f t="shared" si="108"/>
        <v>157240339</v>
      </c>
      <c r="AX58" s="38">
        <f t="shared" si="108"/>
        <v>4675077596</v>
      </c>
      <c r="AY58" s="38">
        <f t="shared" si="108"/>
        <v>185036316</v>
      </c>
      <c r="AZ58" s="38">
        <f t="shared" si="108"/>
        <v>27795977</v>
      </c>
      <c r="BA58" s="38">
        <f t="shared" si="108"/>
        <v>4682763339</v>
      </c>
      <c r="BB58" s="38">
        <f t="shared" si="108"/>
        <v>192722059</v>
      </c>
      <c r="BC58" s="38">
        <f t="shared" si="108"/>
        <v>35481720</v>
      </c>
      <c r="BD58" s="38">
        <f t="shared" si="108"/>
        <v>7685743</v>
      </c>
      <c r="BE58" s="38">
        <f t="shared" si="108"/>
        <v>4708480378</v>
      </c>
      <c r="BF58" s="38">
        <f t="shared" si="108"/>
        <v>4723601975</v>
      </c>
      <c r="BG58" s="38">
        <f t="shared" si="108"/>
        <v>4723601975</v>
      </c>
      <c r="BH58" s="38">
        <f t="shared" si="108"/>
        <v>233560695</v>
      </c>
      <c r="BI58" s="38">
        <f t="shared" si="108"/>
        <v>76320356</v>
      </c>
      <c r="BJ58" s="38">
        <f t="shared" si="108"/>
        <v>40838636</v>
      </c>
      <c r="BK58" s="38">
        <f t="shared" si="108"/>
        <v>15121597</v>
      </c>
      <c r="BL58" s="38">
        <f t="shared" si="108"/>
        <v>21677486</v>
      </c>
      <c r="BM58" s="38">
        <f t="shared" si="108"/>
        <v>4727674489</v>
      </c>
      <c r="BN58" s="38">
        <f t="shared" si="108"/>
        <v>4954764325</v>
      </c>
      <c r="BO58" s="38">
        <f t="shared" si="108"/>
        <v>227089836</v>
      </c>
      <c r="BP58" s="38">
        <f t="shared" si="108"/>
        <v>4806178326</v>
      </c>
      <c r="BQ58" s="38">
        <f t="shared" si="108"/>
        <v>78503837</v>
      </c>
      <c r="BR58" s="38">
        <f t="shared" si="108"/>
        <v>-148585999</v>
      </c>
      <c r="BS58" s="38">
        <f t="shared" si="108"/>
        <v>4822755174</v>
      </c>
      <c r="BT58" s="38">
        <f t="shared" si="108"/>
        <v>95080685</v>
      </c>
      <c r="BU58" s="38">
        <f t="shared" si="108"/>
        <v>-132009151</v>
      </c>
      <c r="BV58" s="38">
        <f t="shared" si="108"/>
        <v>16576848</v>
      </c>
      <c r="BW58" s="38">
        <f t="shared" si="108"/>
        <v>4862516920</v>
      </c>
      <c r="BX58" s="38">
        <f t="shared" si="108"/>
        <v>134842431</v>
      </c>
      <c r="BY58" s="38">
        <f t="shared" si="108"/>
        <v>-92247405</v>
      </c>
      <c r="BZ58" s="38">
        <f t="shared" si="108"/>
        <v>39761746</v>
      </c>
      <c r="CA58" s="38">
        <f t="shared" si="108"/>
        <v>4872261601</v>
      </c>
      <c r="CB58" s="38">
        <f t="shared" si="108"/>
        <v>144587112</v>
      </c>
      <c r="CC58" s="38">
        <f t="shared" si="108"/>
        <v>-82502724</v>
      </c>
      <c r="CD58" s="38">
        <f t="shared" si="108"/>
        <v>49506427</v>
      </c>
      <c r="CE58" s="38">
        <f t="shared" si="108"/>
        <v>9744681</v>
      </c>
      <c r="CF58" s="38">
        <f t="shared" ref="CF58:CJ58" si="109">SUM(CF9:CF55)</f>
        <v>4874766789</v>
      </c>
      <c r="CG58" s="38">
        <f t="shared" si="109"/>
        <v>147092300</v>
      </c>
      <c r="CH58" s="38">
        <f t="shared" si="109"/>
        <v>-79997536</v>
      </c>
      <c r="CI58" s="38">
        <f t="shared" si="109"/>
        <v>52011615</v>
      </c>
      <c r="CJ58" s="38">
        <f t="shared" si="109"/>
        <v>2505188</v>
      </c>
      <c r="CK58" s="38">
        <f>SUM(CK9:CK55)</f>
        <v>4902931863</v>
      </c>
      <c r="CL58" s="38">
        <f t="shared" ref="CL58:CN58" si="110">SUM(CL9:CL55)</f>
        <v>175257374</v>
      </c>
      <c r="CM58" s="38">
        <f t="shared" si="110"/>
        <v>-51832462</v>
      </c>
      <c r="CN58" s="38">
        <f t="shared" si="110"/>
        <v>28165074</v>
      </c>
      <c r="CO58" s="38">
        <f>SUM(CO9:CO55)</f>
        <v>5005489259</v>
      </c>
      <c r="CP58" s="38">
        <f>SUM(CP9:CP55)</f>
        <v>50724934</v>
      </c>
      <c r="CQ58" s="53">
        <f t="shared" si="46"/>
        <v>102557396</v>
      </c>
      <c r="CR58" s="38">
        <f>SUM(CR9:CR55)</f>
        <v>4977080254</v>
      </c>
      <c r="CS58" s="38">
        <f>SUM(CS9:CS55)</f>
        <v>7470693</v>
      </c>
      <c r="CT58" s="32">
        <f>+CS58+CR58</f>
        <v>4984550947</v>
      </c>
      <c r="CU58" s="32">
        <f t="shared" ref="CU58:CW58" si="111">+CT58+CS58</f>
        <v>4992021640</v>
      </c>
      <c r="CV58" s="32">
        <f t="shared" si="111"/>
        <v>9976572587</v>
      </c>
      <c r="CW58" s="32">
        <f t="shared" si="111"/>
        <v>14968594227</v>
      </c>
      <c r="CX58" s="38">
        <f>SUM(CX9:CX55)</f>
        <v>5005239030.5</v>
      </c>
      <c r="CY58" s="38">
        <f t="shared" ref="CY58:DA58" si="112">SUM(CY9:CY55)</f>
        <v>102307167.5</v>
      </c>
      <c r="CZ58" s="38">
        <f t="shared" si="112"/>
        <v>-250228.5</v>
      </c>
      <c r="DA58" s="38">
        <f t="shared" si="112"/>
        <v>20688083.5</v>
      </c>
      <c r="DB58" s="38">
        <f>SUM(DB9:DB55)</f>
        <v>5007464030.5</v>
      </c>
      <c r="DC58" s="38">
        <f t="shared" ref="DC58:DE58" si="113">SUM(DC9:DC55)</f>
        <v>104532167.5</v>
      </c>
      <c r="DD58" s="38">
        <f t="shared" si="113"/>
        <v>1974771.5</v>
      </c>
      <c r="DE58" s="38">
        <f t="shared" si="113"/>
        <v>22913083.5</v>
      </c>
      <c r="DF58" s="38">
        <f t="shared" ref="DF58" si="114">SUM(DF9:DF55)</f>
        <v>2225000</v>
      </c>
      <c r="DG58" s="38">
        <f>SUM(DG9:DG55)</f>
        <v>5012091563.5</v>
      </c>
      <c r="DH58" s="38">
        <f t="shared" ref="DH58:DM58" si="115">SUM(DH9:DH55)</f>
        <v>109159700.5</v>
      </c>
      <c r="DI58" s="38">
        <f t="shared" si="115"/>
        <v>6602304.5</v>
      </c>
      <c r="DJ58" s="38">
        <f t="shared" si="115"/>
        <v>27540616.5</v>
      </c>
      <c r="DK58" s="38">
        <f t="shared" si="115"/>
        <v>4627533</v>
      </c>
      <c r="DL58" s="38">
        <f t="shared" si="115"/>
        <v>-2205000</v>
      </c>
      <c r="DM58" s="38">
        <f t="shared" si="115"/>
        <v>5009886563.5</v>
      </c>
      <c r="DN58" s="38">
        <f>SUM(DN9:DN55)</f>
        <v>5013091563.5</v>
      </c>
      <c r="DO58" s="38">
        <f>SUM(DO9:DO55)</f>
        <v>109159700.5</v>
      </c>
      <c r="DP58" s="38">
        <f t="shared" ref="DP58:DT58" si="116">SUM(DP9:DP55)</f>
        <v>1100000</v>
      </c>
      <c r="DQ58" s="38">
        <f t="shared" si="116"/>
        <v>-34414227</v>
      </c>
      <c r="DR58" s="38">
        <f t="shared" si="116"/>
        <v>4979777336.5</v>
      </c>
      <c r="DS58" s="38">
        <f t="shared" si="116"/>
        <v>76845473.5</v>
      </c>
      <c r="DT58" s="38">
        <f t="shared" si="116"/>
        <v>-16618704</v>
      </c>
      <c r="DU58" s="38">
        <f t="shared" ref="DU58:DY58" si="117">SUM(DU9:DU55)</f>
        <v>4963158632.5</v>
      </c>
      <c r="DV58" s="38">
        <f t="shared" si="117"/>
        <v>60226769.5</v>
      </c>
      <c r="DW58" s="38">
        <f t="shared" si="117"/>
        <v>4968158632.5</v>
      </c>
      <c r="DX58" s="38">
        <f>SUM(DX9:DX57)</f>
        <v>5054911587</v>
      </c>
      <c r="DY58" s="38">
        <f t="shared" si="117"/>
        <v>0</v>
      </c>
      <c r="DZ58" s="38">
        <f>SUM(DZ9:DZ57)</f>
        <v>91752954.5</v>
      </c>
      <c r="EA58" s="38">
        <f>SUM(EA9:EA57)</f>
        <v>5076886234</v>
      </c>
      <c r="EB58" s="38">
        <f t="shared" ref="EB58:EH58" si="118">SUM(EB9:EB57)</f>
        <v>113727601.5</v>
      </c>
      <c r="EC58" s="38">
        <f t="shared" si="118"/>
        <v>21974647</v>
      </c>
      <c r="ED58" s="38">
        <f t="shared" si="118"/>
        <v>0</v>
      </c>
      <c r="EE58" s="38">
        <f t="shared" si="118"/>
        <v>5084671681</v>
      </c>
      <c r="EF58" s="38">
        <f>SUM(EF9:EF57)</f>
        <v>121513048.5</v>
      </c>
      <c r="EG58" s="38">
        <f t="shared" si="118"/>
        <v>29760094</v>
      </c>
      <c r="EH58" s="38">
        <f t="shared" si="118"/>
        <v>7785447</v>
      </c>
      <c r="EI58" s="38">
        <f t="shared" ref="EI58" si="119">SUM(EI9:EI57)</f>
        <v>5089443856</v>
      </c>
      <c r="EJ58" s="38">
        <f>SUM(EJ9:EJ57)</f>
        <v>126285223.5</v>
      </c>
      <c r="EK58" s="38">
        <f t="shared" ref="EK58:EM58" si="120">SUM(EK9:EK57)</f>
        <v>34532269</v>
      </c>
      <c r="EL58" s="38">
        <f t="shared" si="120"/>
        <v>4772175</v>
      </c>
      <c r="EM58" s="38">
        <f t="shared" si="120"/>
        <v>5102908856</v>
      </c>
      <c r="EN58" s="38">
        <f>SUM(EN9:EN57)</f>
        <v>139750223.5</v>
      </c>
      <c r="EO58" s="38">
        <f t="shared" ref="EO58:ER58" si="121">SUM(EO9:EO57)</f>
        <v>47997269</v>
      </c>
      <c r="EP58" s="38">
        <f t="shared" si="121"/>
        <v>18237175</v>
      </c>
      <c r="EQ58" s="38">
        <f t="shared" si="121"/>
        <v>13465000</v>
      </c>
      <c r="ER58" s="38">
        <f t="shared" si="121"/>
        <v>5113644536</v>
      </c>
      <c r="ES58" s="38">
        <f>SUM(ES9:ES57)</f>
        <v>145485903.5</v>
      </c>
      <c r="ET58" s="38">
        <f t="shared" ref="ET58:EU58" si="122">SUM(ET9:ET57)</f>
        <v>58732949</v>
      </c>
      <c r="EU58" s="38">
        <f t="shared" si="122"/>
        <v>28972855</v>
      </c>
      <c r="EV58" s="38">
        <f>SUM(EV9:EV57)</f>
        <v>10735680</v>
      </c>
      <c r="EW58" s="38">
        <f t="shared" ref="EW58" si="123">SUM(EW9:EW57)</f>
        <v>5093981823</v>
      </c>
      <c r="EX58" s="38">
        <f>SUM(EX9:EX57)</f>
        <v>125823190.5</v>
      </c>
      <c r="EY58" s="38">
        <f t="shared" ref="EY58:EZ58" si="124">SUM(EY9:EY57)</f>
        <v>-19662713</v>
      </c>
      <c r="EZ58" s="38">
        <f t="shared" si="124"/>
        <v>5113644536</v>
      </c>
      <c r="FA58" s="38">
        <f>SUM(FA9:FA57)</f>
        <v>144106903.5</v>
      </c>
      <c r="FB58" s="38">
        <f t="shared" ref="FB58" si="125">SUM(FB9:FB57)</f>
        <v>19662713</v>
      </c>
    </row>
  </sheetData>
  <mergeCells count="4">
    <mergeCell ref="B6:B8"/>
    <mergeCell ref="J5:L5"/>
    <mergeCell ref="A1:FB1"/>
    <mergeCell ref="A2:FB2"/>
  </mergeCells>
  <phoneticPr fontId="5" type="noConversion"/>
  <pageMargins left="0.5" right="0.5" top="0.2" bottom="0.5" header="0.18" footer="0.22"/>
  <pageSetup scale="70" orientation="landscape" r:id="rId1"/>
  <headerFooter alignWithMargins="0">
    <oddFooter>&amp;R&amp;8&amp;Z&amp;F Budget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DESE-231-19261</_dlc_DocId>
    <_dlc_DocIdUrl xmlns="733efe1c-5bbe-4968-87dc-d400e65c879f">
      <Url>https://sharepoint.doemass.org/ese/webteam/cps/_layouts/DocIdRedir.aspx?ID=DESE-231-19261</Url>
      <Description>DESE-231-19261</Description>
    </_dlc_DocIdUrl>
  </documentManagement>
</p:properties>
</file>

<file path=customXml/itemProps1.xml><?xml version="1.0" encoding="utf-8"?>
<ds:datastoreItem xmlns:ds="http://schemas.openxmlformats.org/officeDocument/2006/customXml" ds:itemID="{944A90F2-95BD-47FA-8771-0E4F35C51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624F0-8F54-4E15-8E40-E0C510D4EE2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CF65560-BB6A-4F55-AEA1-85718B0D02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67F3F1F-B005-4A19-B26F-9D3515D8C73C}">
  <ds:schemaRefs>
    <ds:schemaRef ds:uri="733efe1c-5bbe-4968-87dc-d400e65c879f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a4e05da-b9bc-4326-ad73-01ef31b95567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BOE's FY16 Maintenance Budgets and Expansion Budget Recommendations, September 2015</dc:title>
  <dc:creator>ESE</dc:creator>
  <cp:lastModifiedBy>ESE</cp:lastModifiedBy>
  <cp:lastPrinted>2015-09-09T14:12:00Z</cp:lastPrinted>
  <dcterms:created xsi:type="dcterms:W3CDTF">2003-04-23T14:43:01Z</dcterms:created>
  <dcterms:modified xsi:type="dcterms:W3CDTF">2015-09-17T21:56:15Z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7fce3497-b811-4816-8f81-a1114d49a771</vt:lpwstr>
  </property>
  <property fmtid="{D5CDD505-2E9C-101B-9397-08002B2CF9AE}" pid="4" name="metadate">
    <vt:lpwstr>Sep 17 2015</vt:lpwstr>
  </property>
</Properties>
</file>