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0" yWindow="1965" windowWidth="20730" windowHeight="11655" tabRatio="702"/>
  </bookViews>
  <sheets>
    <sheet name="Sheet1" sheetId="5" r:id="rId1"/>
    <sheet name="Sheet2" sheetId="6" r:id="rId2"/>
  </sheets>
  <definedNames>
    <definedName name="_xlnm._FilterDatabase" localSheetId="0" hidden="1">Sheet1!$A$7:$EH$59</definedName>
    <definedName name="_xlnm.Print_Area" localSheetId="0">Sheet1!$A$1:$FM$59</definedName>
    <definedName name="_xlnm.Print_Titles" localSheetId="0">Sheet1!$1:$8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M10" i="5"/>
  <c r="FM11"/>
  <c r="FM12"/>
  <c r="FM13"/>
  <c r="FM14"/>
  <c r="FM15"/>
  <c r="FM16"/>
  <c r="FM17"/>
  <c r="FM18"/>
  <c r="FM19"/>
  <c r="FM20"/>
  <c r="FM21"/>
  <c r="FM22"/>
  <c r="FM23"/>
  <c r="FM24"/>
  <c r="FM25"/>
  <c r="FM26"/>
  <c r="FM27"/>
  <c r="FM28"/>
  <c r="FM29"/>
  <c r="FM30"/>
  <c r="FM31"/>
  <c r="FM32"/>
  <c r="FM33"/>
  <c r="FM34"/>
  <c r="FM35"/>
  <c r="FM36"/>
  <c r="FM37"/>
  <c r="FM38"/>
  <c r="FM39"/>
  <c r="FM40"/>
  <c r="FM41"/>
  <c r="FM42"/>
  <c r="FM43"/>
  <c r="FM44"/>
  <c r="FM45"/>
  <c r="FM46"/>
  <c r="FM47"/>
  <c r="FM48"/>
  <c r="FM49"/>
  <c r="FM50"/>
  <c r="FM51"/>
  <c r="FM52"/>
  <c r="FM53"/>
  <c r="FM54"/>
  <c r="FM55"/>
  <c r="FM56"/>
  <c r="FM57"/>
  <c r="FM9"/>
  <c r="FA9"/>
  <c r="FD9"/>
  <c r="FE9"/>
  <c r="FG9"/>
  <c r="FL9"/>
  <c r="FK59"/>
  <c r="FD10"/>
  <c r="FG10"/>
  <c r="FL10"/>
  <c r="FD11"/>
  <c r="FG11"/>
  <c r="FL11"/>
  <c r="FL12"/>
  <c r="FD13"/>
  <c r="FG13"/>
  <c r="FL13"/>
  <c r="FD14"/>
  <c r="FG14"/>
  <c r="FL14"/>
  <c r="FD15"/>
  <c r="FG15"/>
  <c r="FL15"/>
  <c r="FA16"/>
  <c r="FD16"/>
  <c r="FG16"/>
  <c r="FL16"/>
  <c r="FD17"/>
  <c r="FG17"/>
  <c r="FL17"/>
  <c r="FD18"/>
  <c r="FE18"/>
  <c r="FG18"/>
  <c r="FL18"/>
  <c r="FA19"/>
  <c r="FD19"/>
  <c r="FG19"/>
  <c r="FL19"/>
  <c r="FD20"/>
  <c r="FG20"/>
  <c r="FL20"/>
  <c r="FD21"/>
  <c r="FE21"/>
  <c r="FG21"/>
  <c r="FL21"/>
  <c r="FD22"/>
  <c r="FG22"/>
  <c r="FL22"/>
  <c r="FD23"/>
  <c r="FG23"/>
  <c r="FL23"/>
  <c r="FA24"/>
  <c r="FD24"/>
  <c r="FG24"/>
  <c r="FL24"/>
  <c r="FD25"/>
  <c r="FG25"/>
  <c r="FL25"/>
  <c r="FD26"/>
  <c r="FG26"/>
  <c r="FL26"/>
  <c r="FD27"/>
  <c r="FG27"/>
  <c r="FL27"/>
  <c r="FD28"/>
  <c r="FG28"/>
  <c r="FL28"/>
  <c r="FD29"/>
  <c r="FG29"/>
  <c r="FL29"/>
  <c r="FA30"/>
  <c r="FD30"/>
  <c r="FG30"/>
  <c r="FL30"/>
  <c r="FA31"/>
  <c r="FD31"/>
  <c r="FE31"/>
  <c r="FG31"/>
  <c r="FL31"/>
  <c r="FD32"/>
  <c r="FG32"/>
  <c r="FL32"/>
  <c r="FD33"/>
  <c r="FG33"/>
  <c r="FL33"/>
  <c r="FD34"/>
  <c r="FG34"/>
  <c r="FL34"/>
  <c r="FD35"/>
  <c r="FG35"/>
  <c r="FL35"/>
  <c r="FD36"/>
  <c r="FG36"/>
  <c r="FL36"/>
  <c r="FD37"/>
  <c r="FG37"/>
  <c r="FL37"/>
  <c r="FD38"/>
  <c r="FG38"/>
  <c r="FL38"/>
  <c r="FD39"/>
  <c r="FG39"/>
  <c r="FL39"/>
  <c r="FD40"/>
  <c r="FG40"/>
  <c r="FL40"/>
  <c r="FD41"/>
  <c r="FG41"/>
  <c r="FL41"/>
  <c r="FD42"/>
  <c r="FG42"/>
  <c r="FL42"/>
  <c r="FA43"/>
  <c r="FD43"/>
  <c r="FE43"/>
  <c r="FG43"/>
  <c r="FL43"/>
  <c r="FD44"/>
  <c r="FG44"/>
  <c r="FL44"/>
  <c r="FD45"/>
  <c r="FG45"/>
  <c r="FL45"/>
  <c r="FD46"/>
  <c r="FE46"/>
  <c r="FG46"/>
  <c r="FL46"/>
  <c r="FD47"/>
  <c r="FG47"/>
  <c r="FL47"/>
  <c r="FA48"/>
  <c r="FD48"/>
  <c r="FG48"/>
  <c r="FL48"/>
  <c r="FD49"/>
  <c r="FG49"/>
  <c r="FL49"/>
  <c r="FD50"/>
  <c r="FG50"/>
  <c r="FL50"/>
  <c r="FD51"/>
  <c r="FG51"/>
  <c r="FL51"/>
  <c r="FD52"/>
  <c r="FG52"/>
  <c r="FL52"/>
  <c r="FD53"/>
  <c r="FG53"/>
  <c r="FL53"/>
  <c r="FD54"/>
  <c r="FG54"/>
  <c r="FL54"/>
  <c r="FD55"/>
  <c r="FG55"/>
  <c r="FL55"/>
  <c r="FA56"/>
  <c r="FD56"/>
  <c r="FG56"/>
  <c r="FL56"/>
  <c r="FD57"/>
  <c r="FG57"/>
  <c r="FL57"/>
  <c r="FI9"/>
  <c r="FI12"/>
  <c r="FE59"/>
  <c r="FI17"/>
  <c r="FI22"/>
  <c r="FI33"/>
  <c r="FI37"/>
  <c r="FI41"/>
  <c r="FI46"/>
  <c r="FI11"/>
  <c r="FH59"/>
  <c r="FF59"/>
  <c r="FC59"/>
  <c r="FI10"/>
  <c r="FI13"/>
  <c r="FI14"/>
  <c r="FI15"/>
  <c r="FI18"/>
  <c r="FI20"/>
  <c r="FI21"/>
  <c r="FI23"/>
  <c r="FI25"/>
  <c r="FI26"/>
  <c r="FI27"/>
  <c r="FI28"/>
  <c r="FI29"/>
  <c r="FI32"/>
  <c r="FI34"/>
  <c r="FI35"/>
  <c r="FI36"/>
  <c r="FI38"/>
  <c r="FI39"/>
  <c r="FI40"/>
  <c r="FI42"/>
  <c r="FI44"/>
  <c r="FI45"/>
  <c r="FI47"/>
  <c r="FI49"/>
  <c r="FI50"/>
  <c r="FI51"/>
  <c r="FI52"/>
  <c r="FI53"/>
  <c r="FI54"/>
  <c r="FI55"/>
  <c r="FI57"/>
  <c r="FD58"/>
  <c r="EZ10"/>
  <c r="EZ11"/>
  <c r="EZ13"/>
  <c r="EZ14"/>
  <c r="EZ15"/>
  <c r="EZ17"/>
  <c r="EZ18"/>
  <c r="EZ20"/>
  <c r="EZ21"/>
  <c r="EZ22"/>
  <c r="EZ23"/>
  <c r="EZ25"/>
  <c r="EZ26"/>
  <c r="EZ27"/>
  <c r="EZ28"/>
  <c r="EZ29"/>
  <c r="EZ32"/>
  <c r="EZ33"/>
  <c r="EZ34"/>
  <c r="EZ35"/>
  <c r="EZ36"/>
  <c r="EZ37"/>
  <c r="EZ38"/>
  <c r="EZ39"/>
  <c r="EZ40"/>
  <c r="EZ41"/>
  <c r="EZ42"/>
  <c r="EZ44"/>
  <c r="EZ45"/>
  <c r="EZ46"/>
  <c r="EZ47"/>
  <c r="EZ49"/>
  <c r="EZ50"/>
  <c r="EZ51"/>
  <c r="EZ52"/>
  <c r="EZ53"/>
  <c r="EZ54"/>
  <c r="EZ55"/>
  <c r="EZ57"/>
  <c r="EZ58"/>
  <c r="FB10"/>
  <c r="FB11"/>
  <c r="FB13"/>
  <c r="FB14"/>
  <c r="FB15"/>
  <c r="FB17"/>
  <c r="FB18"/>
  <c r="FB20"/>
  <c r="FB21"/>
  <c r="FB23"/>
  <c r="FB25"/>
  <c r="FB26"/>
  <c r="FB27"/>
  <c r="FB28"/>
  <c r="FB29"/>
  <c r="FB32"/>
  <c r="FB33"/>
  <c r="FB34"/>
  <c r="FB35"/>
  <c r="FB36"/>
  <c r="FB37"/>
  <c r="FB38"/>
  <c r="FB39"/>
  <c r="FB40"/>
  <c r="FB41"/>
  <c r="FB42"/>
  <c r="FB44"/>
  <c r="FB45"/>
  <c r="FB46"/>
  <c r="FB47"/>
  <c r="FB49"/>
  <c r="FB50"/>
  <c r="FB51"/>
  <c r="FB52"/>
  <c r="FB53"/>
  <c r="FB54"/>
  <c r="FB55"/>
  <c r="FB57"/>
  <c r="FB9"/>
  <c r="FI56"/>
  <c r="FB48"/>
  <c r="FB43"/>
  <c r="FI19"/>
  <c r="FB31"/>
  <c r="FB24"/>
  <c r="FB16"/>
  <c r="A16" i="6"/>
  <c r="A20"/>
  <c r="EX10" i="5"/>
  <c r="EY10"/>
  <c r="EX11"/>
  <c r="EY11"/>
  <c r="EX13"/>
  <c r="EY13"/>
  <c r="EX14"/>
  <c r="EY14"/>
  <c r="EX15"/>
  <c r="EY15"/>
  <c r="EX17"/>
  <c r="EY17"/>
  <c r="EX18"/>
  <c r="EY18"/>
  <c r="EX20"/>
  <c r="EY20"/>
  <c r="EX21"/>
  <c r="EY21"/>
  <c r="EY22"/>
  <c r="EX23"/>
  <c r="EY23"/>
  <c r="EX25"/>
  <c r="EY25"/>
  <c r="EX26"/>
  <c r="EY26"/>
  <c r="EX27"/>
  <c r="EY27"/>
  <c r="EX28"/>
  <c r="EY28"/>
  <c r="EX29"/>
  <c r="EY29"/>
  <c r="EX32"/>
  <c r="EY32"/>
  <c r="EX33"/>
  <c r="EY33"/>
  <c r="EX34"/>
  <c r="EY34"/>
  <c r="EX35"/>
  <c r="EY35"/>
  <c r="EX36"/>
  <c r="EY36"/>
  <c r="EX37"/>
  <c r="EY37"/>
  <c r="EX38"/>
  <c r="EY38"/>
  <c r="EX39"/>
  <c r="EY39"/>
  <c r="EX40"/>
  <c r="EY40"/>
  <c r="EX41"/>
  <c r="EY41"/>
  <c r="EX42"/>
  <c r="EY42"/>
  <c r="EX44"/>
  <c r="EY44"/>
  <c r="EX45"/>
  <c r="EY45"/>
  <c r="EX46"/>
  <c r="EY46"/>
  <c r="EX47"/>
  <c r="EY47"/>
  <c r="EX49"/>
  <c r="EY49"/>
  <c r="EX50"/>
  <c r="EY50"/>
  <c r="EX51"/>
  <c r="EY51"/>
  <c r="EX52"/>
  <c r="EY52"/>
  <c r="EX53"/>
  <c r="EY53"/>
  <c r="EX54"/>
  <c r="EY54"/>
  <c r="EX55"/>
  <c r="EY55"/>
  <c r="EX57"/>
  <c r="EY57"/>
  <c r="EX58"/>
  <c r="EY58"/>
  <c r="EW56"/>
  <c r="EY56"/>
  <c r="EW48"/>
  <c r="EY48"/>
  <c r="EW43"/>
  <c r="EY43"/>
  <c r="EW19"/>
  <c r="EY19"/>
  <c r="EW9"/>
  <c r="EY9"/>
  <c r="EW31"/>
  <c r="EX31"/>
  <c r="EW30"/>
  <c r="EW24"/>
  <c r="EW16"/>
  <c r="C16" i="6"/>
  <c r="B16"/>
  <c r="ES10" i="5"/>
  <c r="ES11"/>
  <c r="ES13"/>
  <c r="ES14"/>
  <c r="ES15"/>
  <c r="ES17"/>
  <c r="ES18"/>
  <c r="ES19"/>
  <c r="ES20"/>
  <c r="ES21"/>
  <c r="ES23"/>
  <c r="ES25"/>
  <c r="ES26"/>
  <c r="ES27"/>
  <c r="ES28"/>
  <c r="ES29"/>
  <c r="ES32"/>
  <c r="ES33"/>
  <c r="ES34"/>
  <c r="ES35"/>
  <c r="ES36"/>
  <c r="ES37"/>
  <c r="ES38"/>
  <c r="ES39"/>
  <c r="ES40"/>
  <c r="ES41"/>
  <c r="ES42"/>
  <c r="ES43"/>
  <c r="ES44"/>
  <c r="ES45"/>
  <c r="ES46"/>
  <c r="ES47"/>
  <c r="ES48"/>
  <c r="ES49"/>
  <c r="ES50"/>
  <c r="ES51"/>
  <c r="ES52"/>
  <c r="ES53"/>
  <c r="ES54"/>
  <c r="ES55"/>
  <c r="ES56"/>
  <c r="ES57"/>
  <c r="ES58"/>
  <c r="ES9"/>
  <c r="CR59"/>
  <c r="CS59"/>
  <c r="CX59"/>
  <c r="DG59"/>
  <c r="DN59"/>
  <c r="DP59"/>
  <c r="DQ59"/>
  <c r="DT59"/>
  <c r="DW22"/>
  <c r="ES22"/>
  <c r="FL59"/>
  <c r="FM59"/>
  <c r="EZ30"/>
  <c r="FI43"/>
  <c r="FB56"/>
  <c r="FB30"/>
  <c r="FI31"/>
  <c r="FI48"/>
  <c r="FI24"/>
  <c r="FI16"/>
  <c r="FI30"/>
  <c r="FI59"/>
  <c r="FA59"/>
  <c r="EZ56"/>
  <c r="EX9"/>
  <c r="FB22"/>
  <c r="EZ9"/>
  <c r="EZ43"/>
  <c r="EZ31"/>
  <c r="EZ19"/>
  <c r="FB19"/>
  <c r="EZ48"/>
  <c r="EZ24"/>
  <c r="EZ16"/>
  <c r="EX48"/>
  <c r="EX56"/>
  <c r="EX30"/>
  <c r="EX24"/>
  <c r="EX22"/>
  <c r="EX16"/>
  <c r="EX43"/>
  <c r="EX19"/>
  <c r="EW59"/>
  <c r="CT59"/>
  <c r="CU59"/>
  <c r="CV59"/>
  <c r="CW59"/>
  <c r="DW59"/>
  <c r="EV11"/>
  <c r="EV13"/>
  <c r="EV14"/>
  <c r="EV15"/>
  <c r="EV17"/>
  <c r="EV18"/>
  <c r="EV19"/>
  <c r="EV20"/>
  <c r="EV23"/>
  <c r="EV25"/>
  <c r="EV26"/>
  <c r="EV27"/>
  <c r="EV28"/>
  <c r="EV29"/>
  <c r="EV32"/>
  <c r="EV33"/>
  <c r="EV34"/>
  <c r="EV35"/>
  <c r="EV36"/>
  <c r="EV38"/>
  <c r="EV39"/>
  <c r="EV40"/>
  <c r="EV41"/>
  <c r="EV42"/>
  <c r="EV44"/>
  <c r="EV45"/>
  <c r="EV46"/>
  <c r="EV47"/>
  <c r="EV49"/>
  <c r="EV50"/>
  <c r="EV51"/>
  <c r="EV52"/>
  <c r="EV53"/>
  <c r="EV54"/>
  <c r="EV55"/>
  <c r="EV56"/>
  <c r="EV57"/>
  <c r="EV58"/>
  <c r="ET10"/>
  <c r="EU10"/>
  <c r="ET11"/>
  <c r="EU11"/>
  <c r="ET13"/>
  <c r="EU13"/>
  <c r="ET14"/>
  <c r="EU14"/>
  <c r="ET15"/>
  <c r="EU15"/>
  <c r="ET17"/>
  <c r="EU17"/>
  <c r="ET18"/>
  <c r="EU18"/>
  <c r="ET19"/>
  <c r="EU19"/>
  <c r="ET20"/>
  <c r="EU20"/>
  <c r="ET21"/>
  <c r="EU21"/>
  <c r="ET22"/>
  <c r="EU22"/>
  <c r="ET23"/>
  <c r="EU23"/>
  <c r="ET25"/>
  <c r="EU25"/>
  <c r="ET26"/>
  <c r="EU26"/>
  <c r="ET27"/>
  <c r="EU27"/>
  <c r="ET28"/>
  <c r="EU28"/>
  <c r="ET29"/>
  <c r="EU29"/>
  <c r="ET32"/>
  <c r="EU32"/>
  <c r="ET33"/>
  <c r="EU33"/>
  <c r="ET34"/>
  <c r="EU34"/>
  <c r="ET35"/>
  <c r="EU35"/>
  <c r="ET36"/>
  <c r="EU36"/>
  <c r="ET37"/>
  <c r="EU37"/>
  <c r="ET38"/>
  <c r="EU38"/>
  <c r="ET39"/>
  <c r="EU39"/>
  <c r="ET40"/>
  <c r="EU40"/>
  <c r="ET41"/>
  <c r="EU41"/>
  <c r="ET42"/>
  <c r="EU42"/>
  <c r="ET43"/>
  <c r="EU43"/>
  <c r="ET44"/>
  <c r="EU44"/>
  <c r="ET45"/>
  <c r="EU45"/>
  <c r="ET46"/>
  <c r="EU46"/>
  <c r="ET47"/>
  <c r="EU47"/>
  <c r="ET48"/>
  <c r="EU48"/>
  <c r="ET49"/>
  <c r="EU49"/>
  <c r="ET50"/>
  <c r="EU50"/>
  <c r="ET51"/>
  <c r="EU51"/>
  <c r="ET52"/>
  <c r="EU52"/>
  <c r="ET53"/>
  <c r="EU53"/>
  <c r="ET54"/>
  <c r="EU54"/>
  <c r="ET55"/>
  <c r="EU55"/>
  <c r="ET56"/>
  <c r="EU56"/>
  <c r="ET57"/>
  <c r="EU57"/>
  <c r="ET58"/>
  <c r="EU58"/>
  <c r="EU9"/>
  <c r="ET9"/>
  <c r="ER31"/>
  <c r="ER30"/>
  <c r="EY30"/>
  <c r="ER24"/>
  <c r="ES24"/>
  <c r="ER16"/>
  <c r="ES16"/>
  <c r="EM43"/>
  <c r="EV43"/>
  <c r="FD59"/>
  <c r="EZ59"/>
  <c r="EX59"/>
  <c r="ES31"/>
  <c r="EY31"/>
  <c r="EY16"/>
  <c r="EY24"/>
  <c r="EU30"/>
  <c r="ES30"/>
  <c r="EU16"/>
  <c r="ET31"/>
  <c r="ET24"/>
  <c r="ET16"/>
  <c r="EU31"/>
  <c r="ET30"/>
  <c r="EU24"/>
  <c r="ER59"/>
  <c r="EP43"/>
  <c r="EM37"/>
  <c r="EO37"/>
  <c r="EQ11"/>
  <c r="EQ13"/>
  <c r="EQ14"/>
  <c r="EQ15"/>
  <c r="EQ17"/>
  <c r="EQ18"/>
  <c r="EQ19"/>
  <c r="EQ20"/>
  <c r="EQ23"/>
  <c r="EQ25"/>
  <c r="EQ26"/>
  <c r="EQ27"/>
  <c r="EQ28"/>
  <c r="EQ29"/>
  <c r="EQ32"/>
  <c r="EQ33"/>
  <c r="EQ34"/>
  <c r="EQ35"/>
  <c r="EQ36"/>
  <c r="EQ37"/>
  <c r="EQ38"/>
  <c r="EQ39"/>
  <c r="EQ40"/>
  <c r="EQ41"/>
  <c r="EQ42"/>
  <c r="EQ44"/>
  <c r="EQ45"/>
  <c r="EQ46"/>
  <c r="EQ47"/>
  <c r="EQ49"/>
  <c r="EQ50"/>
  <c r="EQ51"/>
  <c r="EQ52"/>
  <c r="EQ53"/>
  <c r="EQ54"/>
  <c r="EQ55"/>
  <c r="EQ56"/>
  <c r="EQ57"/>
  <c r="EQ58"/>
  <c r="EM21"/>
  <c r="EV21"/>
  <c r="EM48"/>
  <c r="EQ48"/>
  <c r="EM16"/>
  <c r="EV16"/>
  <c r="EM31"/>
  <c r="EO31"/>
  <c r="EO11"/>
  <c r="EP11"/>
  <c r="EO13"/>
  <c r="EP13"/>
  <c r="EO14"/>
  <c r="EP14"/>
  <c r="EO15"/>
  <c r="EP15"/>
  <c r="EO17"/>
  <c r="EP17"/>
  <c r="EO18"/>
  <c r="EP18"/>
  <c r="EO19"/>
  <c r="EP19"/>
  <c r="EO20"/>
  <c r="EP20"/>
  <c r="EO21"/>
  <c r="EO23"/>
  <c r="EP23"/>
  <c r="EO25"/>
  <c r="EP25"/>
  <c r="EO26"/>
  <c r="EP26"/>
  <c r="EO27"/>
  <c r="EP27"/>
  <c r="EO28"/>
  <c r="EP28"/>
  <c r="EO29"/>
  <c r="EP29"/>
  <c r="EO32"/>
  <c r="EP32"/>
  <c r="EO33"/>
  <c r="EP33"/>
  <c r="EN34"/>
  <c r="EO34"/>
  <c r="EP34"/>
  <c r="EN35"/>
  <c r="EO35"/>
  <c r="EP35"/>
  <c r="EO36"/>
  <c r="EP36"/>
  <c r="EO38"/>
  <c r="EP38"/>
  <c r="EO39"/>
  <c r="EP39"/>
  <c r="EO40"/>
  <c r="EP40"/>
  <c r="EO41"/>
  <c r="EP41"/>
  <c r="EO42"/>
  <c r="EP42"/>
  <c r="EO44"/>
  <c r="EP44"/>
  <c r="EO45"/>
  <c r="EP45"/>
  <c r="EO46"/>
  <c r="EP46"/>
  <c r="EO47"/>
  <c r="EP47"/>
  <c r="EO49"/>
  <c r="EP49"/>
  <c r="EO50"/>
  <c r="EP50"/>
  <c r="EO51"/>
  <c r="EP51"/>
  <c r="EO52"/>
  <c r="EP52"/>
  <c r="EO53"/>
  <c r="EP53"/>
  <c r="EO54"/>
  <c r="EP54"/>
  <c r="EO55"/>
  <c r="EP55"/>
  <c r="EO56"/>
  <c r="EP56"/>
  <c r="EN57"/>
  <c r="EO57"/>
  <c r="EP57"/>
  <c r="EN58"/>
  <c r="EO58"/>
  <c r="EP58"/>
  <c r="EM30"/>
  <c r="EV30"/>
  <c r="EM24"/>
  <c r="EP24"/>
  <c r="EM9"/>
  <c r="EV9"/>
  <c r="EM22"/>
  <c r="EV22"/>
  <c r="EM10"/>
  <c r="EV10"/>
  <c r="EK10"/>
  <c r="EL10"/>
  <c r="EK11"/>
  <c r="EL11"/>
  <c r="EK13"/>
  <c r="EL13"/>
  <c r="EK14"/>
  <c r="EL14"/>
  <c r="EK15"/>
  <c r="EL15"/>
  <c r="EK16"/>
  <c r="EL16"/>
  <c r="EK17"/>
  <c r="EL17"/>
  <c r="EK18"/>
  <c r="EL18"/>
  <c r="EK19"/>
  <c r="EL19"/>
  <c r="EK20"/>
  <c r="EL20"/>
  <c r="EK21"/>
  <c r="EL21"/>
  <c r="EK22"/>
  <c r="EL22"/>
  <c r="EK23"/>
  <c r="EL23"/>
  <c r="EK24"/>
  <c r="EL24"/>
  <c r="EK25"/>
  <c r="EL25"/>
  <c r="EK26"/>
  <c r="EL26"/>
  <c r="EK27"/>
  <c r="EL27"/>
  <c r="EK28"/>
  <c r="EL28"/>
  <c r="EK29"/>
  <c r="EL29"/>
  <c r="EK30"/>
  <c r="EL30"/>
  <c r="EK31"/>
  <c r="EL31"/>
  <c r="EK32"/>
  <c r="EL32"/>
  <c r="EK33"/>
  <c r="EL33"/>
  <c r="EJ34"/>
  <c r="EK34"/>
  <c r="EL34"/>
  <c r="EJ35"/>
  <c r="EK35"/>
  <c r="EL35"/>
  <c r="EK36"/>
  <c r="EL36"/>
  <c r="EK37"/>
  <c r="EL37"/>
  <c r="EK38"/>
  <c r="EL38"/>
  <c r="EK39"/>
  <c r="EL39"/>
  <c r="EK40"/>
  <c r="EL40"/>
  <c r="EK41"/>
  <c r="EL41"/>
  <c r="EK42"/>
  <c r="EL42"/>
  <c r="EK43"/>
  <c r="EL43"/>
  <c r="EK44"/>
  <c r="EL44"/>
  <c r="EK45"/>
  <c r="EL45"/>
  <c r="EK46"/>
  <c r="EL46"/>
  <c r="EK47"/>
  <c r="EL47"/>
  <c r="EK48"/>
  <c r="EL48"/>
  <c r="EK49"/>
  <c r="EL49"/>
  <c r="EK50"/>
  <c r="EL50"/>
  <c r="EK51"/>
  <c r="EL51"/>
  <c r="EK52"/>
  <c r="EL52"/>
  <c r="EK53"/>
  <c r="EL53"/>
  <c r="EK54"/>
  <c r="EL54"/>
  <c r="EK55"/>
  <c r="EL55"/>
  <c r="EK56"/>
  <c r="EL56"/>
  <c r="EJ58"/>
  <c r="EK58"/>
  <c r="EL58"/>
  <c r="EL9"/>
  <c r="EK9"/>
  <c r="EI59"/>
  <c r="EG10"/>
  <c r="EH10"/>
  <c r="EG11"/>
  <c r="EH11"/>
  <c r="EG13"/>
  <c r="EH13"/>
  <c r="EG14"/>
  <c r="EH14"/>
  <c r="EG15"/>
  <c r="EH15"/>
  <c r="EG16"/>
  <c r="EH16"/>
  <c r="EG17"/>
  <c r="EH17"/>
  <c r="EG18"/>
  <c r="EH18"/>
  <c r="EG19"/>
  <c r="EH19"/>
  <c r="EG20"/>
  <c r="EH20"/>
  <c r="EG21"/>
  <c r="EH21"/>
  <c r="EG22"/>
  <c r="EH22"/>
  <c r="EG23"/>
  <c r="EH23"/>
  <c r="EG24"/>
  <c r="EH24"/>
  <c r="EG25"/>
  <c r="EH25"/>
  <c r="EG26"/>
  <c r="EH26"/>
  <c r="EG27"/>
  <c r="EH27"/>
  <c r="EG28"/>
  <c r="EH28"/>
  <c r="EG29"/>
  <c r="EH29"/>
  <c r="EG30"/>
  <c r="EH30"/>
  <c r="EG31"/>
  <c r="EH31"/>
  <c r="EG32"/>
  <c r="EH32"/>
  <c r="EG33"/>
  <c r="EH33"/>
  <c r="EF34"/>
  <c r="EG34"/>
  <c r="EH34"/>
  <c r="EF35"/>
  <c r="EG35"/>
  <c r="EH35"/>
  <c r="EG36"/>
  <c r="EH36"/>
  <c r="EG37"/>
  <c r="EH37"/>
  <c r="EG38"/>
  <c r="EH38"/>
  <c r="EG39"/>
  <c r="EH39"/>
  <c r="EG40"/>
  <c r="EH40"/>
  <c r="EG41"/>
  <c r="EH41"/>
  <c r="EG42"/>
  <c r="EH42"/>
  <c r="EG43"/>
  <c r="EH43"/>
  <c r="EG44"/>
  <c r="EH44"/>
  <c r="EG45"/>
  <c r="EH45"/>
  <c r="EG46"/>
  <c r="EH46"/>
  <c r="EG47"/>
  <c r="EH47"/>
  <c r="EG48"/>
  <c r="EH48"/>
  <c r="EG49"/>
  <c r="EH49"/>
  <c r="EG50"/>
  <c r="EH50"/>
  <c r="EG51"/>
  <c r="EH51"/>
  <c r="EG52"/>
  <c r="EH52"/>
  <c r="EG53"/>
  <c r="EH53"/>
  <c r="EG54"/>
  <c r="EH54"/>
  <c r="EG55"/>
  <c r="EH55"/>
  <c r="EG56"/>
  <c r="EH56"/>
  <c r="EF58"/>
  <c r="EG58"/>
  <c r="EH58"/>
  <c r="EH9"/>
  <c r="EG9"/>
  <c r="ED59"/>
  <c r="EE59"/>
  <c r="EY59"/>
  <c r="EP21"/>
  <c r="EP16"/>
  <c r="EU59"/>
  <c r="EO16"/>
  <c r="EQ24"/>
  <c r="EV24"/>
  <c r="EO24"/>
  <c r="EQ21"/>
  <c r="EO10"/>
  <c r="EP10"/>
  <c r="EO30"/>
  <c r="EP9"/>
  <c r="EP30"/>
  <c r="EP22"/>
  <c r="EQ31"/>
  <c r="EQ10"/>
  <c r="EV31"/>
  <c r="EP48"/>
  <c r="EV48"/>
  <c r="EO9"/>
  <c r="EQ16"/>
  <c r="EP37"/>
  <c r="EV37"/>
  <c r="EO22"/>
  <c r="EQ9"/>
  <c r="EQ30"/>
  <c r="EQ22"/>
  <c r="ET59"/>
  <c r="EO43"/>
  <c r="EQ43"/>
  <c r="EO48"/>
  <c r="EP31"/>
  <c r="EM59"/>
  <c r="EK59"/>
  <c r="EL59"/>
  <c r="EH59"/>
  <c r="EG59"/>
  <c r="EA59"/>
  <c r="DX59"/>
  <c r="EC10"/>
  <c r="EC11"/>
  <c r="EC13"/>
  <c r="EC14"/>
  <c r="EC15"/>
  <c r="EC16"/>
  <c r="EC17"/>
  <c r="EC18"/>
  <c r="EC19"/>
  <c r="EC20"/>
  <c r="EC21"/>
  <c r="EC22"/>
  <c r="EC23"/>
  <c r="EC24"/>
  <c r="EC25"/>
  <c r="EC26"/>
  <c r="EC27"/>
  <c r="EC28"/>
  <c r="EC29"/>
  <c r="EC30"/>
  <c r="EC31"/>
  <c r="EC32"/>
  <c r="EC33"/>
  <c r="EB34"/>
  <c r="EC34"/>
  <c r="EB35"/>
  <c r="EC35"/>
  <c r="EC36"/>
  <c r="EC37"/>
  <c r="EC38"/>
  <c r="EC39"/>
  <c r="EC40"/>
  <c r="EC41"/>
  <c r="EC42"/>
  <c r="EC43"/>
  <c r="EC44"/>
  <c r="EC45"/>
  <c r="EC46"/>
  <c r="EC47"/>
  <c r="EC48"/>
  <c r="EC49"/>
  <c r="EC50"/>
  <c r="EC51"/>
  <c r="EC52"/>
  <c r="EC53"/>
  <c r="EC54"/>
  <c r="EC55"/>
  <c r="EC56"/>
  <c r="EB58"/>
  <c r="EC58"/>
  <c r="EC9"/>
  <c r="EV59"/>
  <c r="EP59"/>
  <c r="EQ59"/>
  <c r="EO59"/>
  <c r="EC59"/>
  <c r="DZ58"/>
  <c r="DZ34"/>
  <c r="DZ35"/>
  <c r="DY59"/>
  <c r="FB59"/>
  <c r="FG59"/>
  <c r="DR10"/>
  <c r="DS10"/>
  <c r="DR11"/>
  <c r="DU11"/>
  <c r="DR13"/>
  <c r="DU13"/>
  <c r="DR14"/>
  <c r="DU14"/>
  <c r="DR15"/>
  <c r="DS15"/>
  <c r="DR16"/>
  <c r="DU16"/>
  <c r="DR17"/>
  <c r="DU17"/>
  <c r="DR18"/>
  <c r="DS18"/>
  <c r="DR19"/>
  <c r="DS19"/>
  <c r="DR20"/>
  <c r="DU20"/>
  <c r="DR21"/>
  <c r="DU21"/>
  <c r="DR22"/>
  <c r="DU22"/>
  <c r="DR23"/>
  <c r="DS23"/>
  <c r="DR24"/>
  <c r="DU24"/>
  <c r="DR25"/>
  <c r="DU25"/>
  <c r="DR26"/>
  <c r="DS26"/>
  <c r="DR27"/>
  <c r="DS27"/>
  <c r="DR28"/>
  <c r="DU28"/>
  <c r="DR29"/>
  <c r="DU29"/>
  <c r="DR30"/>
  <c r="DS30"/>
  <c r="DR31"/>
  <c r="DU31"/>
  <c r="DR32"/>
  <c r="DU32"/>
  <c r="DR33"/>
  <c r="DU33"/>
  <c r="DR36"/>
  <c r="DS36"/>
  <c r="DR37"/>
  <c r="DU37"/>
  <c r="DR38"/>
  <c r="DU38"/>
  <c r="DR39"/>
  <c r="DU39"/>
  <c r="DR40"/>
  <c r="DS40"/>
  <c r="DR41"/>
  <c r="DS41"/>
  <c r="DR42"/>
  <c r="DU42"/>
  <c r="DR43"/>
  <c r="DU43"/>
  <c r="DR44"/>
  <c r="DS44"/>
  <c r="DR45"/>
  <c r="DS45"/>
  <c r="DR46"/>
  <c r="DU46"/>
  <c r="DR47"/>
  <c r="DU47"/>
  <c r="DR48"/>
  <c r="DS48"/>
  <c r="DR49"/>
  <c r="DU49"/>
  <c r="DR50"/>
  <c r="DU50"/>
  <c r="DR51"/>
  <c r="DU51"/>
  <c r="DR52"/>
  <c r="DS52"/>
  <c r="DR53"/>
  <c r="DU53"/>
  <c r="DR54"/>
  <c r="DU54"/>
  <c r="DR55"/>
  <c r="DU55"/>
  <c r="DR56"/>
  <c r="DS56"/>
  <c r="DR9"/>
  <c r="DO10"/>
  <c r="DO11"/>
  <c r="DO13"/>
  <c r="DO14"/>
  <c r="DO15"/>
  <c r="DO16"/>
  <c r="DO18"/>
  <c r="DO19"/>
  <c r="DO20"/>
  <c r="DO21"/>
  <c r="DO22"/>
  <c r="DO23"/>
  <c r="DO24"/>
  <c r="DO25"/>
  <c r="DO26"/>
  <c r="DO27"/>
  <c r="DO29"/>
  <c r="DO30"/>
  <c r="DO31"/>
  <c r="DO32"/>
  <c r="DO33"/>
  <c r="DO36"/>
  <c r="DO38"/>
  <c r="DO39"/>
  <c r="DO40"/>
  <c r="DO41"/>
  <c r="DO43"/>
  <c r="DO44"/>
  <c r="DO45"/>
  <c r="DO46"/>
  <c r="DO47"/>
  <c r="DO48"/>
  <c r="DO49"/>
  <c r="DO50"/>
  <c r="DO51"/>
  <c r="DO52"/>
  <c r="DO53"/>
  <c r="DO54"/>
  <c r="DO55"/>
  <c r="DO56"/>
  <c r="DM10"/>
  <c r="DM11"/>
  <c r="DM13"/>
  <c r="DM14"/>
  <c r="DM15"/>
  <c r="DM16"/>
  <c r="DM17"/>
  <c r="DM18"/>
  <c r="DM19"/>
  <c r="DM20"/>
  <c r="DM21"/>
  <c r="DM22"/>
  <c r="DM23"/>
  <c r="DM24"/>
  <c r="DM25"/>
  <c r="DM26"/>
  <c r="DM27"/>
  <c r="DM28"/>
  <c r="DM29"/>
  <c r="DM30"/>
  <c r="DM31"/>
  <c r="DM32"/>
  <c r="DM33"/>
  <c r="DM36"/>
  <c r="DM37"/>
  <c r="DM38"/>
  <c r="DM39"/>
  <c r="DM40"/>
  <c r="DM41"/>
  <c r="DM43"/>
  <c r="DM44"/>
  <c r="DM45"/>
  <c r="DM46"/>
  <c r="DM47"/>
  <c r="DM48"/>
  <c r="DM49"/>
  <c r="DM50"/>
  <c r="DM51"/>
  <c r="DM52"/>
  <c r="DM53"/>
  <c r="DM54"/>
  <c r="DM55"/>
  <c r="DM56"/>
  <c r="DL9"/>
  <c r="DL59"/>
  <c r="CK37"/>
  <c r="DH37"/>
  <c r="DK10"/>
  <c r="DK11"/>
  <c r="DK13"/>
  <c r="DK14"/>
  <c r="DK15"/>
  <c r="DK16"/>
  <c r="DK17"/>
  <c r="DK18"/>
  <c r="DK19"/>
  <c r="DK20"/>
  <c r="DK22"/>
  <c r="DK23"/>
  <c r="DK24"/>
  <c r="DK25"/>
  <c r="DK26"/>
  <c r="DK27"/>
  <c r="DK28"/>
  <c r="DK29"/>
  <c r="DK30"/>
  <c r="DK31"/>
  <c r="DK32"/>
  <c r="DK33"/>
  <c r="DK36"/>
  <c r="DK37"/>
  <c r="DK38"/>
  <c r="DK39"/>
  <c r="DK40"/>
  <c r="DK41"/>
  <c r="DK43"/>
  <c r="DK44"/>
  <c r="DK45"/>
  <c r="DK46"/>
  <c r="DK47"/>
  <c r="DK48"/>
  <c r="DK49"/>
  <c r="DK50"/>
  <c r="DK51"/>
  <c r="DK52"/>
  <c r="DK53"/>
  <c r="DK54"/>
  <c r="DK55"/>
  <c r="DK56"/>
  <c r="DK9"/>
  <c r="DJ14"/>
  <c r="DJ15"/>
  <c r="DI10"/>
  <c r="DI11"/>
  <c r="DI14"/>
  <c r="DI15"/>
  <c r="DI16"/>
  <c r="DI17"/>
  <c r="DI18"/>
  <c r="DI19"/>
  <c r="DI20"/>
  <c r="DI21"/>
  <c r="DI22"/>
  <c r="DI23"/>
  <c r="DI25"/>
  <c r="DI26"/>
  <c r="DI27"/>
  <c r="DI28"/>
  <c r="DI29"/>
  <c r="DI30"/>
  <c r="DI31"/>
  <c r="DI32"/>
  <c r="DI33"/>
  <c r="DI38"/>
  <c r="DI39"/>
  <c r="DI40"/>
  <c r="DI44"/>
  <c r="DI45"/>
  <c r="DI46"/>
  <c r="DI47"/>
  <c r="DI49"/>
  <c r="DI50"/>
  <c r="DI51"/>
  <c r="DI53"/>
  <c r="DI54"/>
  <c r="DI56"/>
  <c r="DI9"/>
  <c r="DH10"/>
  <c r="DH11"/>
  <c r="DH13"/>
  <c r="DH14"/>
  <c r="DH15"/>
  <c r="DH16"/>
  <c r="DH18"/>
  <c r="DH19"/>
  <c r="DH20"/>
  <c r="DH21"/>
  <c r="DH22"/>
  <c r="DH23"/>
  <c r="DH24"/>
  <c r="DH25"/>
  <c r="DH26"/>
  <c r="DH27"/>
  <c r="DH29"/>
  <c r="DH30"/>
  <c r="DH31"/>
  <c r="DH32"/>
  <c r="DH33"/>
  <c r="DH36"/>
  <c r="DH38"/>
  <c r="DH39"/>
  <c r="DH40"/>
  <c r="DH41"/>
  <c r="DH43"/>
  <c r="DH44"/>
  <c r="DH45"/>
  <c r="DH46"/>
  <c r="DH47"/>
  <c r="DH48"/>
  <c r="DH49"/>
  <c r="DH50"/>
  <c r="DH51"/>
  <c r="DH52"/>
  <c r="DH53"/>
  <c r="DH54"/>
  <c r="DH55"/>
  <c r="DH56"/>
  <c r="DB21"/>
  <c r="DU9"/>
  <c r="EJ9"/>
  <c r="DR59"/>
  <c r="DK21"/>
  <c r="DK59"/>
  <c r="DB59"/>
  <c r="DS22"/>
  <c r="EJ14"/>
  <c r="EN14"/>
  <c r="EJ53"/>
  <c r="EN53"/>
  <c r="EJ49"/>
  <c r="EN49"/>
  <c r="EJ37"/>
  <c r="EN37"/>
  <c r="EJ31"/>
  <c r="EN31"/>
  <c r="EJ54"/>
  <c r="EN54"/>
  <c r="EJ50"/>
  <c r="EN50"/>
  <c r="EJ46"/>
  <c r="EN46"/>
  <c r="EJ42"/>
  <c r="EN42"/>
  <c r="EJ38"/>
  <c r="EN38"/>
  <c r="EJ32"/>
  <c r="EN32"/>
  <c r="EN28"/>
  <c r="EJ24"/>
  <c r="EN24"/>
  <c r="EJ20"/>
  <c r="EN20"/>
  <c r="EJ16"/>
  <c r="EN16"/>
  <c r="EN11"/>
  <c r="EJ55"/>
  <c r="EN55"/>
  <c r="EJ51"/>
  <c r="EN51"/>
  <c r="EJ47"/>
  <c r="EN47"/>
  <c r="EJ43"/>
  <c r="EN43"/>
  <c r="EJ39"/>
  <c r="EN39"/>
  <c r="EJ33"/>
  <c r="EN33"/>
  <c r="EJ29"/>
  <c r="EN29"/>
  <c r="EJ25"/>
  <c r="EN25"/>
  <c r="EJ21"/>
  <c r="EN21"/>
  <c r="EN17"/>
  <c r="EJ13"/>
  <c r="EN13"/>
  <c r="EF28"/>
  <c r="EJ28"/>
  <c r="EF11"/>
  <c r="EJ11"/>
  <c r="EF17"/>
  <c r="EJ17"/>
  <c r="EB14"/>
  <c r="EF14"/>
  <c r="EB53"/>
  <c r="EF53"/>
  <c r="EB49"/>
  <c r="EF49"/>
  <c r="EB37"/>
  <c r="EF37"/>
  <c r="EB31"/>
  <c r="EF31"/>
  <c r="EB54"/>
  <c r="EF54"/>
  <c r="EB50"/>
  <c r="EF50"/>
  <c r="EB46"/>
  <c r="EF46"/>
  <c r="EB42"/>
  <c r="EF42"/>
  <c r="EB38"/>
  <c r="EF38"/>
  <c r="EB32"/>
  <c r="EF32"/>
  <c r="EB24"/>
  <c r="EF24"/>
  <c r="EB20"/>
  <c r="EF20"/>
  <c r="EB16"/>
  <c r="EF16"/>
  <c r="EB55"/>
  <c r="EF55"/>
  <c r="EB51"/>
  <c r="EF51"/>
  <c r="EB47"/>
  <c r="EF47"/>
  <c r="EB43"/>
  <c r="EF43"/>
  <c r="EB39"/>
  <c r="EF39"/>
  <c r="EB33"/>
  <c r="EF33"/>
  <c r="EB29"/>
  <c r="EF29"/>
  <c r="EB25"/>
  <c r="EF25"/>
  <c r="EB21"/>
  <c r="EF21"/>
  <c r="EB13"/>
  <c r="EF13"/>
  <c r="DZ9"/>
  <c r="DZ28"/>
  <c r="EB28"/>
  <c r="DZ11"/>
  <c r="EB11"/>
  <c r="DZ17"/>
  <c r="EB17"/>
  <c r="DV31"/>
  <c r="DZ31"/>
  <c r="DV49"/>
  <c r="DZ49"/>
  <c r="DV53"/>
  <c r="DZ53"/>
  <c r="DV37"/>
  <c r="DZ37"/>
  <c r="DV55"/>
  <c r="DZ55"/>
  <c r="DV51"/>
  <c r="DZ51"/>
  <c r="DV47"/>
  <c r="DZ47"/>
  <c r="DV43"/>
  <c r="DZ43"/>
  <c r="DV39"/>
  <c r="DZ39"/>
  <c r="DV33"/>
  <c r="DZ33"/>
  <c r="DV29"/>
  <c r="DZ29"/>
  <c r="DV25"/>
  <c r="DZ25"/>
  <c r="DV21"/>
  <c r="DZ21"/>
  <c r="DV13"/>
  <c r="DZ13"/>
  <c r="DS49"/>
  <c r="DS31"/>
  <c r="DU41"/>
  <c r="DU23"/>
  <c r="DV14"/>
  <c r="DZ14"/>
  <c r="DS53"/>
  <c r="DS37"/>
  <c r="DU45"/>
  <c r="DU27"/>
  <c r="DU10"/>
  <c r="DU15"/>
  <c r="DV54"/>
  <c r="DZ54"/>
  <c r="DV50"/>
  <c r="DZ50"/>
  <c r="DV46"/>
  <c r="DZ46"/>
  <c r="DV42"/>
  <c r="DZ42"/>
  <c r="DV38"/>
  <c r="DZ38"/>
  <c r="DV32"/>
  <c r="DZ32"/>
  <c r="DV24"/>
  <c r="DZ24"/>
  <c r="DV20"/>
  <c r="DZ20"/>
  <c r="DV16"/>
  <c r="DZ16"/>
  <c r="DU19"/>
  <c r="DV11"/>
  <c r="DS14"/>
  <c r="DS54"/>
  <c r="DS50"/>
  <c r="DS46"/>
  <c r="DS42"/>
  <c r="DS38"/>
  <c r="DS32"/>
  <c r="DS24"/>
  <c r="DU56"/>
  <c r="DU52"/>
  <c r="DU48"/>
  <c r="DU44"/>
  <c r="DU40"/>
  <c r="DU36"/>
  <c r="DU30"/>
  <c r="DU26"/>
  <c r="EJ22"/>
  <c r="DU18"/>
  <c r="DS55"/>
  <c r="DS51"/>
  <c r="DS47"/>
  <c r="DS43"/>
  <c r="DS39"/>
  <c r="DS33"/>
  <c r="DS29"/>
  <c r="DS25"/>
  <c r="DS20"/>
  <c r="DS16"/>
  <c r="DS11"/>
  <c r="DS21"/>
  <c r="DS13"/>
  <c r="DO37"/>
  <c r="DM9"/>
  <c r="DM59"/>
  <c r="DC10"/>
  <c r="DD10"/>
  <c r="DF10"/>
  <c r="DC11"/>
  <c r="DD11"/>
  <c r="DF11"/>
  <c r="DC13"/>
  <c r="DF13"/>
  <c r="DC14"/>
  <c r="DD14"/>
  <c r="DE14"/>
  <c r="DF14"/>
  <c r="DC15"/>
  <c r="DD15"/>
  <c r="DE15"/>
  <c r="DF15"/>
  <c r="DC16"/>
  <c r="DD16"/>
  <c r="DF16"/>
  <c r="DD17"/>
  <c r="DF17"/>
  <c r="DC18"/>
  <c r="DD18"/>
  <c r="DF18"/>
  <c r="DC19"/>
  <c r="DD19"/>
  <c r="DF19"/>
  <c r="DC20"/>
  <c r="DD20"/>
  <c r="DF20"/>
  <c r="DC21"/>
  <c r="DD21"/>
  <c r="DF21"/>
  <c r="DC22"/>
  <c r="DD22"/>
  <c r="DF22"/>
  <c r="DC23"/>
  <c r="DD23"/>
  <c r="DF23"/>
  <c r="DC24"/>
  <c r="DF24"/>
  <c r="DC25"/>
  <c r="DD25"/>
  <c r="DF25"/>
  <c r="DC26"/>
  <c r="DD26"/>
  <c r="DF26"/>
  <c r="DC27"/>
  <c r="DD27"/>
  <c r="DF27"/>
  <c r="DD28"/>
  <c r="DF28"/>
  <c r="DC29"/>
  <c r="DD29"/>
  <c r="DF29"/>
  <c r="DC30"/>
  <c r="DD30"/>
  <c r="DF30"/>
  <c r="DC31"/>
  <c r="DD31"/>
  <c r="DF31"/>
  <c r="DC32"/>
  <c r="DD32"/>
  <c r="DF32"/>
  <c r="DC33"/>
  <c r="DD33"/>
  <c r="DF33"/>
  <c r="DC36"/>
  <c r="DF36"/>
  <c r="DC37"/>
  <c r="DF37"/>
  <c r="DC38"/>
  <c r="DD38"/>
  <c r="DF38"/>
  <c r="DC39"/>
  <c r="DD39"/>
  <c r="DF39"/>
  <c r="DC40"/>
  <c r="DD40"/>
  <c r="DF40"/>
  <c r="DC41"/>
  <c r="DF41"/>
  <c r="DC43"/>
  <c r="DF43"/>
  <c r="DC44"/>
  <c r="DD44"/>
  <c r="DF44"/>
  <c r="DC45"/>
  <c r="DD45"/>
  <c r="DF45"/>
  <c r="DC46"/>
  <c r="DD46"/>
  <c r="DF46"/>
  <c r="DC47"/>
  <c r="DD47"/>
  <c r="DF47"/>
  <c r="DC48"/>
  <c r="DF48"/>
  <c r="DC49"/>
  <c r="DD49"/>
  <c r="DF49"/>
  <c r="DC50"/>
  <c r="DD50"/>
  <c r="DF50"/>
  <c r="DC51"/>
  <c r="DD51"/>
  <c r="DF51"/>
  <c r="DC52"/>
  <c r="DF52"/>
  <c r="DC53"/>
  <c r="DD53"/>
  <c r="DF53"/>
  <c r="DC54"/>
  <c r="DD54"/>
  <c r="DF54"/>
  <c r="DC55"/>
  <c r="DF55"/>
  <c r="DC56"/>
  <c r="DD56"/>
  <c r="DF56"/>
  <c r="DF9"/>
  <c r="DD9"/>
  <c r="CZ9"/>
  <c r="CY10"/>
  <c r="CZ10"/>
  <c r="CY11"/>
  <c r="CZ11"/>
  <c r="CY13"/>
  <c r="CY14"/>
  <c r="CZ14"/>
  <c r="DA14"/>
  <c r="CY15"/>
  <c r="CZ15"/>
  <c r="DA15"/>
  <c r="CY16"/>
  <c r="CZ16"/>
  <c r="CZ17"/>
  <c r="CY18"/>
  <c r="CZ18"/>
  <c r="CY19"/>
  <c r="CZ19"/>
  <c r="CY20"/>
  <c r="CZ20"/>
  <c r="CY21"/>
  <c r="CZ21"/>
  <c r="CY22"/>
  <c r="CZ22"/>
  <c r="CY23"/>
  <c r="CZ23"/>
  <c r="CY24"/>
  <c r="CY25"/>
  <c r="CZ25"/>
  <c r="CY26"/>
  <c r="CZ26"/>
  <c r="CY27"/>
  <c r="CZ27"/>
  <c r="CZ28"/>
  <c r="CY29"/>
  <c r="CZ29"/>
  <c r="CY30"/>
  <c r="CZ30"/>
  <c r="CY31"/>
  <c r="CZ31"/>
  <c r="CY32"/>
  <c r="CZ32"/>
  <c r="CY33"/>
  <c r="CZ33"/>
  <c r="CY36"/>
  <c r="CY37"/>
  <c r="CY38"/>
  <c r="CZ38"/>
  <c r="CY39"/>
  <c r="CZ39"/>
  <c r="CY40"/>
  <c r="CZ40"/>
  <c r="CY41"/>
  <c r="CY43"/>
  <c r="CY44"/>
  <c r="CZ44"/>
  <c r="CY45"/>
  <c r="CZ45"/>
  <c r="CY46"/>
  <c r="CZ46"/>
  <c r="CY47"/>
  <c r="CZ47"/>
  <c r="CY48"/>
  <c r="CY49"/>
  <c r="CZ49"/>
  <c r="CY50"/>
  <c r="CZ50"/>
  <c r="CY51"/>
  <c r="CZ51"/>
  <c r="CY52"/>
  <c r="CY53"/>
  <c r="CZ53"/>
  <c r="CY54"/>
  <c r="CZ54"/>
  <c r="CY55"/>
  <c r="CY56"/>
  <c r="CZ56"/>
  <c r="EB9"/>
  <c r="EF9"/>
  <c r="EN9"/>
  <c r="DF59"/>
  <c r="DU59"/>
  <c r="EJ18"/>
  <c r="ES59"/>
  <c r="EN18"/>
  <c r="EJ52"/>
  <c r="EN52"/>
  <c r="EJ27"/>
  <c r="EN27"/>
  <c r="EJ30"/>
  <c r="EN30"/>
  <c r="EJ48"/>
  <c r="EN48"/>
  <c r="EJ19"/>
  <c r="EN19"/>
  <c r="EJ10"/>
  <c r="EN10"/>
  <c r="EJ41"/>
  <c r="EN41"/>
  <c r="EJ26"/>
  <c r="EN26"/>
  <c r="EJ44"/>
  <c r="EN44"/>
  <c r="EJ15"/>
  <c r="EN15"/>
  <c r="EJ23"/>
  <c r="EN23"/>
  <c r="EN22"/>
  <c r="EJ40"/>
  <c r="EN40"/>
  <c r="EJ56"/>
  <c r="EN56"/>
  <c r="EJ45"/>
  <c r="EN45"/>
  <c r="EJ36"/>
  <c r="EN36"/>
  <c r="EB30"/>
  <c r="EF30"/>
  <c r="EB48"/>
  <c r="EF48"/>
  <c r="EB19"/>
  <c r="EF19"/>
  <c r="EB10"/>
  <c r="EF10"/>
  <c r="EB41"/>
  <c r="EF41"/>
  <c r="EB26"/>
  <c r="EF26"/>
  <c r="EB44"/>
  <c r="EF44"/>
  <c r="EB15"/>
  <c r="EF15"/>
  <c r="EB23"/>
  <c r="EF23"/>
  <c r="EB22"/>
  <c r="EF22"/>
  <c r="EB40"/>
  <c r="EF40"/>
  <c r="EB56"/>
  <c r="EF56"/>
  <c r="EB45"/>
  <c r="EF45"/>
  <c r="EB18"/>
  <c r="EF18"/>
  <c r="EB36"/>
  <c r="EF36"/>
  <c r="EB52"/>
  <c r="EF52"/>
  <c r="EB27"/>
  <c r="EF27"/>
  <c r="DV56"/>
  <c r="DZ56"/>
  <c r="DV45"/>
  <c r="DZ45"/>
  <c r="DV26"/>
  <c r="DZ26"/>
  <c r="DV44"/>
  <c r="DZ44"/>
  <c r="DV15"/>
  <c r="DZ15"/>
  <c r="DV23"/>
  <c r="DZ23"/>
  <c r="DV40"/>
  <c r="DZ40"/>
  <c r="DV18"/>
  <c r="DZ18"/>
  <c r="DV36"/>
  <c r="DZ36"/>
  <c r="DV52"/>
  <c r="DZ52"/>
  <c r="DV27"/>
  <c r="DZ27"/>
  <c r="DV22"/>
  <c r="DZ22"/>
  <c r="DV30"/>
  <c r="DZ30"/>
  <c r="DV48"/>
  <c r="DZ48"/>
  <c r="DV19"/>
  <c r="DZ19"/>
  <c r="DV10"/>
  <c r="DZ10"/>
  <c r="DV41"/>
  <c r="DZ41"/>
  <c r="CT10"/>
  <c r="CT11"/>
  <c r="CT13"/>
  <c r="CT16"/>
  <c r="CT17"/>
  <c r="CT18"/>
  <c r="CT19"/>
  <c r="CT20"/>
  <c r="CT21"/>
  <c r="CT22"/>
  <c r="CT23"/>
  <c r="CT24"/>
  <c r="CT25"/>
  <c r="CT26"/>
  <c r="CT27"/>
  <c r="CT28"/>
  <c r="CT29"/>
  <c r="CT30"/>
  <c r="CT31"/>
  <c r="CT32"/>
  <c r="CT33"/>
  <c r="CT36"/>
  <c r="CT37"/>
  <c r="CT38"/>
  <c r="CT39"/>
  <c r="CT40"/>
  <c r="CT41"/>
  <c r="CT43"/>
  <c r="CT44"/>
  <c r="CT45"/>
  <c r="CT46"/>
  <c r="CT47"/>
  <c r="CT48"/>
  <c r="CT49"/>
  <c r="CT50"/>
  <c r="CT51"/>
  <c r="CT52"/>
  <c r="CT53"/>
  <c r="CT54"/>
  <c r="CT55"/>
  <c r="CT56"/>
  <c r="CT9"/>
  <c r="CO43"/>
  <c r="CO41"/>
  <c r="CO13"/>
  <c r="CO24"/>
  <c r="CP44"/>
  <c r="CP38"/>
  <c r="CO55"/>
  <c r="CO52"/>
  <c r="CO48"/>
  <c r="CO37"/>
  <c r="CO36"/>
  <c r="CP22"/>
  <c r="CP10"/>
  <c r="CP11"/>
  <c r="CP16"/>
  <c r="CP17"/>
  <c r="CP18"/>
  <c r="CP19"/>
  <c r="CP20"/>
  <c r="CP23"/>
  <c r="CP25"/>
  <c r="CP26"/>
  <c r="CP27"/>
  <c r="CP28"/>
  <c r="CP29"/>
  <c r="CP30"/>
  <c r="CP31"/>
  <c r="CP32"/>
  <c r="CP33"/>
  <c r="CP39"/>
  <c r="CP40"/>
  <c r="CP45"/>
  <c r="CP46"/>
  <c r="CP47"/>
  <c r="CP49"/>
  <c r="CP50"/>
  <c r="CP51"/>
  <c r="CP53"/>
  <c r="CP54"/>
  <c r="CP56"/>
  <c r="CP9"/>
  <c r="CQ10"/>
  <c r="CQ11"/>
  <c r="CQ16"/>
  <c r="CQ18"/>
  <c r="CQ19"/>
  <c r="CQ20"/>
  <c r="CQ23"/>
  <c r="CQ25"/>
  <c r="CQ26"/>
  <c r="CQ27"/>
  <c r="CQ29"/>
  <c r="CQ30"/>
  <c r="CQ31"/>
  <c r="CQ32"/>
  <c r="CQ33"/>
  <c r="CQ39"/>
  <c r="CQ40"/>
  <c r="CQ45"/>
  <c r="CQ46"/>
  <c r="CQ47"/>
  <c r="CQ49"/>
  <c r="CQ50"/>
  <c r="CQ51"/>
  <c r="CQ53"/>
  <c r="CQ54"/>
  <c r="CQ56"/>
  <c r="EJ59"/>
  <c r="CO59"/>
  <c r="EN59"/>
  <c r="EB59"/>
  <c r="EF59"/>
  <c r="DZ59"/>
  <c r="DJ56"/>
  <c r="DE56"/>
  <c r="DJ52"/>
  <c r="DE52"/>
  <c r="DJ44"/>
  <c r="DE44"/>
  <c r="DJ39"/>
  <c r="DE39"/>
  <c r="DJ29"/>
  <c r="DE29"/>
  <c r="DI36"/>
  <c r="DD36"/>
  <c r="DI55"/>
  <c r="DD55"/>
  <c r="DI13"/>
  <c r="DD13"/>
  <c r="DJ9"/>
  <c r="DA9"/>
  <c r="DE9"/>
  <c r="DJ53"/>
  <c r="DE53"/>
  <c r="CU49"/>
  <c r="DJ49"/>
  <c r="DE49"/>
  <c r="DJ45"/>
  <c r="DE45"/>
  <c r="DJ40"/>
  <c r="DE40"/>
  <c r="DJ36"/>
  <c r="DE36"/>
  <c r="DJ30"/>
  <c r="DE30"/>
  <c r="CU26"/>
  <c r="DJ26"/>
  <c r="DE26"/>
  <c r="DJ22"/>
  <c r="DE22"/>
  <c r="DJ18"/>
  <c r="DE18"/>
  <c r="DJ11"/>
  <c r="DE11"/>
  <c r="DI52"/>
  <c r="DD52"/>
  <c r="DI24"/>
  <c r="DD24"/>
  <c r="DJ54"/>
  <c r="DE54"/>
  <c r="CU50"/>
  <c r="DJ50"/>
  <c r="DE50"/>
  <c r="DJ46"/>
  <c r="DE46"/>
  <c r="CU41"/>
  <c r="DJ41"/>
  <c r="DE41"/>
  <c r="DJ37"/>
  <c r="DE37"/>
  <c r="CU31"/>
  <c r="DJ31"/>
  <c r="DE31"/>
  <c r="CV27"/>
  <c r="DJ27"/>
  <c r="DE27"/>
  <c r="CU23"/>
  <c r="DJ23"/>
  <c r="DE23"/>
  <c r="CV19"/>
  <c r="DJ19"/>
  <c r="DE19"/>
  <c r="CU13"/>
  <c r="DJ13"/>
  <c r="DE13"/>
  <c r="DI48"/>
  <c r="DD48"/>
  <c r="DI43"/>
  <c r="DD43"/>
  <c r="DJ55"/>
  <c r="DE55"/>
  <c r="CV51"/>
  <c r="DJ51"/>
  <c r="DE51"/>
  <c r="DJ47"/>
  <c r="DE47"/>
  <c r="DJ43"/>
  <c r="DE43"/>
  <c r="CV38"/>
  <c r="DJ38"/>
  <c r="DE38"/>
  <c r="DJ32"/>
  <c r="DE32"/>
  <c r="CV28"/>
  <c r="DJ28"/>
  <c r="DE28"/>
  <c r="DJ24"/>
  <c r="DE24"/>
  <c r="CV20"/>
  <c r="DJ20"/>
  <c r="DE20"/>
  <c r="DJ16"/>
  <c r="DE16"/>
  <c r="DI41"/>
  <c r="DD41"/>
  <c r="DJ48"/>
  <c r="DE48"/>
  <c r="DJ33"/>
  <c r="DE33"/>
  <c r="DJ25"/>
  <c r="DE25"/>
  <c r="DJ21"/>
  <c r="DE21"/>
  <c r="DJ17"/>
  <c r="DE17"/>
  <c r="DJ10"/>
  <c r="DE10"/>
  <c r="DI37"/>
  <c r="DD37"/>
  <c r="CV43"/>
  <c r="CV50"/>
  <c r="CV56"/>
  <c r="CW56"/>
  <c r="DA56"/>
  <c r="CV33"/>
  <c r="CW33"/>
  <c r="DA33"/>
  <c r="CP55"/>
  <c r="CZ55"/>
  <c r="CV9"/>
  <c r="CW9"/>
  <c r="CV53"/>
  <c r="DA53"/>
  <c r="CW53"/>
  <c r="CV45"/>
  <c r="DA45"/>
  <c r="CW45"/>
  <c r="CV40"/>
  <c r="DA40"/>
  <c r="CW40"/>
  <c r="CV36"/>
  <c r="DA36"/>
  <c r="CW36"/>
  <c r="CV30"/>
  <c r="DA30"/>
  <c r="CW30"/>
  <c r="CV22"/>
  <c r="DA22"/>
  <c r="CW22"/>
  <c r="CV18"/>
  <c r="DA18"/>
  <c r="CW18"/>
  <c r="CV11"/>
  <c r="DA11"/>
  <c r="CW11"/>
  <c r="CP52"/>
  <c r="CZ52"/>
  <c r="CQ24"/>
  <c r="CZ24"/>
  <c r="DA54"/>
  <c r="CW54"/>
  <c r="CW50"/>
  <c r="DA50"/>
  <c r="CW46"/>
  <c r="DA46"/>
  <c r="CW41"/>
  <c r="DA41"/>
  <c r="CW37"/>
  <c r="DA37"/>
  <c r="CW31"/>
  <c r="DA31"/>
  <c r="CW27"/>
  <c r="DA27"/>
  <c r="CW23"/>
  <c r="DA23"/>
  <c r="CW19"/>
  <c r="DA19"/>
  <c r="DA13"/>
  <c r="CW13"/>
  <c r="CP48"/>
  <c r="CZ48"/>
  <c r="CP43"/>
  <c r="CZ43"/>
  <c r="CU55"/>
  <c r="DA55"/>
  <c r="CW55"/>
  <c r="CU51"/>
  <c r="DA51"/>
  <c r="CW51"/>
  <c r="CU47"/>
  <c r="DA47"/>
  <c r="CW47"/>
  <c r="CU43"/>
  <c r="DA43"/>
  <c r="CW43"/>
  <c r="CU38"/>
  <c r="DA38"/>
  <c r="CW38"/>
  <c r="CU32"/>
  <c r="DA32"/>
  <c r="CW32"/>
  <c r="DA28"/>
  <c r="CW28"/>
  <c r="CU24"/>
  <c r="DA24"/>
  <c r="CW24"/>
  <c r="CU20"/>
  <c r="DA20"/>
  <c r="CW20"/>
  <c r="CU16"/>
  <c r="DA16"/>
  <c r="CW16"/>
  <c r="CU53"/>
  <c r="CV54"/>
  <c r="CV46"/>
  <c r="CV31"/>
  <c r="CV23"/>
  <c r="CU54"/>
  <c r="CU46"/>
  <c r="CU37"/>
  <c r="CU27"/>
  <c r="CU19"/>
  <c r="CV55"/>
  <c r="CV47"/>
  <c r="CV32"/>
  <c r="CV24"/>
  <c r="CV16"/>
  <c r="CU40"/>
  <c r="CU30"/>
  <c r="CU22"/>
  <c r="CQ37"/>
  <c r="CZ37"/>
  <c r="CV52"/>
  <c r="CW52"/>
  <c r="DA52"/>
  <c r="CV44"/>
  <c r="CW44"/>
  <c r="DA44"/>
  <c r="CV29"/>
  <c r="CW29"/>
  <c r="DA29"/>
  <c r="CV25"/>
  <c r="CW25"/>
  <c r="DA25"/>
  <c r="CV21"/>
  <c r="CW21"/>
  <c r="DA21"/>
  <c r="CV17"/>
  <c r="CW17"/>
  <c r="DA17"/>
  <c r="CV10"/>
  <c r="CW10"/>
  <c r="DA10"/>
  <c r="CP41"/>
  <c r="CZ41"/>
  <c r="CV48"/>
  <c r="CW48"/>
  <c r="DA48"/>
  <c r="CP13"/>
  <c r="CZ13"/>
  <c r="CV49"/>
  <c r="DA49"/>
  <c r="CW49"/>
  <c r="CV26"/>
  <c r="DA26"/>
  <c r="CW26"/>
  <c r="CU45"/>
  <c r="CU36"/>
  <c r="CU18"/>
  <c r="CV39"/>
  <c r="CW39"/>
  <c r="DA39"/>
  <c r="CP36"/>
  <c r="CZ36"/>
  <c r="CV41"/>
  <c r="CV37"/>
  <c r="CV13"/>
  <c r="CU56"/>
  <c r="CU52"/>
  <c r="CU48"/>
  <c r="CU44"/>
  <c r="CU39"/>
  <c r="CU33"/>
  <c r="CU29"/>
  <c r="CU25"/>
  <c r="CU21"/>
  <c r="CU10"/>
  <c r="CU11"/>
  <c r="CQ55"/>
  <c r="CP37"/>
  <c r="CQ36"/>
  <c r="CQ52"/>
  <c r="CP24"/>
  <c r="CQ43"/>
  <c r="CQ13"/>
  <c r="CQ41"/>
  <c r="CP21"/>
  <c r="CQ21"/>
  <c r="CQ38"/>
  <c r="CQ48"/>
  <c r="CQ44"/>
  <c r="CQ22"/>
  <c r="CP59"/>
  <c r="DD59"/>
  <c r="CZ59"/>
  <c r="DJ59"/>
  <c r="DA59"/>
  <c r="DE59"/>
  <c r="DI59"/>
  <c r="CK17"/>
  <c r="CK9"/>
  <c r="CK28"/>
  <c r="BM37"/>
  <c r="CM10"/>
  <c r="CM11"/>
  <c r="CM13"/>
  <c r="CM16"/>
  <c r="CM18"/>
  <c r="CM19"/>
  <c r="CM20"/>
  <c r="CM21"/>
  <c r="CM24"/>
  <c r="CM22"/>
  <c r="CM23"/>
  <c r="CM25"/>
  <c r="CM26"/>
  <c r="CM27"/>
  <c r="CM29"/>
  <c r="CM30"/>
  <c r="CM31"/>
  <c r="CM32"/>
  <c r="CM33"/>
  <c r="CM36"/>
  <c r="CM37"/>
  <c r="CM38"/>
  <c r="CM39"/>
  <c r="CM40"/>
  <c r="CM41"/>
  <c r="CM43"/>
  <c r="CM44"/>
  <c r="CM45"/>
  <c r="CM46"/>
  <c r="CM47"/>
  <c r="CM48"/>
  <c r="CM49"/>
  <c r="CM50"/>
  <c r="CM51"/>
  <c r="CM52"/>
  <c r="CM53"/>
  <c r="CM54"/>
  <c r="CM55"/>
  <c r="CM56"/>
  <c r="CN10"/>
  <c r="CN11"/>
  <c r="CN13"/>
  <c r="CN16"/>
  <c r="CN18"/>
  <c r="CN19"/>
  <c r="CN20"/>
  <c r="CN21"/>
  <c r="CN24"/>
  <c r="CN22"/>
  <c r="CN23"/>
  <c r="CN25"/>
  <c r="CN26"/>
  <c r="CN27"/>
  <c r="CN29"/>
  <c r="CN30"/>
  <c r="CN31"/>
  <c r="CN32"/>
  <c r="CN33"/>
  <c r="CN36"/>
  <c r="CN37"/>
  <c r="CN38"/>
  <c r="CN39"/>
  <c r="CN40"/>
  <c r="CN41"/>
  <c r="CN43"/>
  <c r="CN44"/>
  <c r="CN45"/>
  <c r="CN46"/>
  <c r="CN47"/>
  <c r="CN48"/>
  <c r="CN49"/>
  <c r="CN50"/>
  <c r="CN51"/>
  <c r="CN52"/>
  <c r="CN53"/>
  <c r="CN54"/>
  <c r="CN55"/>
  <c r="CN56"/>
  <c r="CL38"/>
  <c r="CL49"/>
  <c r="CL56"/>
  <c r="CJ11"/>
  <c r="CJ13"/>
  <c r="CJ18"/>
  <c r="CJ19"/>
  <c r="CJ20"/>
  <c r="CJ23"/>
  <c r="CJ25"/>
  <c r="CJ26"/>
  <c r="CJ27"/>
  <c r="CJ28"/>
  <c r="CJ29"/>
  <c r="CJ31"/>
  <c r="CJ32"/>
  <c r="CJ36"/>
  <c r="CJ37"/>
  <c r="CJ38"/>
  <c r="CJ39"/>
  <c r="CJ40"/>
  <c r="CJ41"/>
  <c r="CJ44"/>
  <c r="CJ45"/>
  <c r="CJ46"/>
  <c r="CJ47"/>
  <c r="CJ49"/>
  <c r="CJ50"/>
  <c r="CJ51"/>
  <c r="CJ53"/>
  <c r="CJ54"/>
  <c r="CJ55"/>
  <c r="CJ56"/>
  <c r="CI10"/>
  <c r="CI11"/>
  <c r="CI13"/>
  <c r="CI16"/>
  <c r="CI21"/>
  <c r="CI22"/>
  <c r="CI25"/>
  <c r="CI26"/>
  <c r="CI29"/>
  <c r="CI30"/>
  <c r="CI31"/>
  <c r="CI33"/>
  <c r="CI44"/>
  <c r="CI45"/>
  <c r="CI47"/>
  <c r="CI48"/>
  <c r="CI49"/>
  <c r="CI50"/>
  <c r="CI52"/>
  <c r="CI53"/>
  <c r="CI56"/>
  <c r="CI9"/>
  <c r="CH10"/>
  <c r="CH11"/>
  <c r="CH13"/>
  <c r="CH16"/>
  <c r="CH17"/>
  <c r="CH18"/>
  <c r="CH19"/>
  <c r="CH20"/>
  <c r="CH21"/>
  <c r="CH24"/>
  <c r="CH22"/>
  <c r="CH23"/>
  <c r="CH25"/>
  <c r="CH26"/>
  <c r="CH27"/>
  <c r="CH28"/>
  <c r="CH29"/>
  <c r="CH30"/>
  <c r="CH31"/>
  <c r="CH32"/>
  <c r="CH33"/>
  <c r="CH36"/>
  <c r="CH37"/>
  <c r="CH38"/>
  <c r="CH39"/>
  <c r="CH40"/>
  <c r="CH41"/>
  <c r="CH43"/>
  <c r="CH44"/>
  <c r="CH45"/>
  <c r="CH46"/>
  <c r="CH47"/>
  <c r="CH48"/>
  <c r="CH49"/>
  <c r="CH50"/>
  <c r="CH51"/>
  <c r="CH52"/>
  <c r="CH53"/>
  <c r="CH54"/>
  <c r="CH55"/>
  <c r="CH56"/>
  <c r="CH9"/>
  <c r="CG38"/>
  <c r="CG49"/>
  <c r="CG56"/>
  <c r="CF59"/>
  <c r="BM24"/>
  <c r="CG24"/>
  <c r="CB56"/>
  <c r="CC56"/>
  <c r="CD56"/>
  <c r="CE56"/>
  <c r="AV59"/>
  <c r="AX59"/>
  <c r="BA59"/>
  <c r="BN59"/>
  <c r="BP59"/>
  <c r="BW59"/>
  <c r="CA9"/>
  <c r="CJ9"/>
  <c r="CA48"/>
  <c r="CJ48"/>
  <c r="CA16"/>
  <c r="CE16"/>
  <c r="CA10"/>
  <c r="CJ10"/>
  <c r="CE11"/>
  <c r="CE13"/>
  <c r="CE18"/>
  <c r="CE19"/>
  <c r="CE20"/>
  <c r="CE23"/>
  <c r="CE25"/>
  <c r="CE26"/>
  <c r="CE27"/>
  <c r="CE28"/>
  <c r="CE29"/>
  <c r="CE31"/>
  <c r="CE32"/>
  <c r="CE36"/>
  <c r="CE37"/>
  <c r="CE38"/>
  <c r="CE39"/>
  <c r="CE40"/>
  <c r="CE41"/>
  <c r="CE44"/>
  <c r="CE45"/>
  <c r="CE46"/>
  <c r="CE47"/>
  <c r="CE49"/>
  <c r="CE50"/>
  <c r="CE51"/>
  <c r="CE53"/>
  <c r="CE54"/>
  <c r="CE55"/>
  <c r="CA24"/>
  <c r="CJ24"/>
  <c r="CA22"/>
  <c r="CE22"/>
  <c r="CA30"/>
  <c r="CJ30"/>
  <c r="CA33"/>
  <c r="CE33"/>
  <c r="CA17"/>
  <c r="CE17"/>
  <c r="CA21"/>
  <c r="CE21"/>
  <c r="CA52"/>
  <c r="CE52"/>
  <c r="CA43"/>
  <c r="CJ43"/>
  <c r="DS9"/>
  <c r="DV9"/>
  <c r="DO28"/>
  <c r="DV28"/>
  <c r="DS28"/>
  <c r="DO17"/>
  <c r="DS17"/>
  <c r="DV17"/>
  <c r="DO9"/>
  <c r="DH28"/>
  <c r="DC28"/>
  <c r="DH17"/>
  <c r="DC17"/>
  <c r="DH9"/>
  <c r="CY9"/>
  <c r="DC9"/>
  <c r="CU28"/>
  <c r="CY28"/>
  <c r="CU9"/>
  <c r="CU17"/>
  <c r="CY17"/>
  <c r="CN17"/>
  <c r="CQ17"/>
  <c r="CN9"/>
  <c r="CQ9"/>
  <c r="CK59"/>
  <c r="CQ59"/>
  <c r="CM28"/>
  <c r="CQ28"/>
  <c r="CM17"/>
  <c r="CE9"/>
  <c r="CN28"/>
  <c r="CE48"/>
  <c r="CH59"/>
  <c r="CM9"/>
  <c r="CL24"/>
  <c r="CE10"/>
  <c r="CE43"/>
  <c r="CE30"/>
  <c r="CE24"/>
  <c r="CJ52"/>
  <c r="CJ33"/>
  <c r="CJ22"/>
  <c r="CJ21"/>
  <c r="CJ17"/>
  <c r="CA59"/>
  <c r="CJ16"/>
  <c r="CB24"/>
  <c r="CB38"/>
  <c r="CB49"/>
  <c r="CM59"/>
  <c r="DH59"/>
  <c r="DV59"/>
  <c r="DO59"/>
  <c r="DS59"/>
  <c r="CY59"/>
  <c r="CN59"/>
  <c r="DC59"/>
  <c r="CE59"/>
  <c r="CJ59"/>
  <c r="CD9"/>
  <c r="BZ9"/>
  <c r="CD10"/>
  <c r="CD11"/>
  <c r="CD13"/>
  <c r="CD16"/>
  <c r="CD21"/>
  <c r="CD22"/>
  <c r="CD25"/>
  <c r="CD26"/>
  <c r="CD29"/>
  <c r="CD30"/>
  <c r="CD31"/>
  <c r="CD33"/>
  <c r="CD44"/>
  <c r="CD45"/>
  <c r="CD47"/>
  <c r="CD48"/>
  <c r="CD49"/>
  <c r="CD50"/>
  <c r="CD52"/>
  <c r="CD53"/>
  <c r="CC10"/>
  <c r="CC11"/>
  <c r="CC13"/>
  <c r="CC16"/>
  <c r="CC17"/>
  <c r="CC18"/>
  <c r="CC19"/>
  <c r="CC20"/>
  <c r="CC21"/>
  <c r="CC24"/>
  <c r="CC22"/>
  <c r="CC23"/>
  <c r="CC25"/>
  <c r="CC26"/>
  <c r="CC27"/>
  <c r="CC28"/>
  <c r="CC29"/>
  <c r="CC30"/>
  <c r="CC31"/>
  <c r="CC32"/>
  <c r="CC33"/>
  <c r="CC36"/>
  <c r="CC37"/>
  <c r="CC38"/>
  <c r="CC39"/>
  <c r="CC40"/>
  <c r="CC41"/>
  <c r="CC43"/>
  <c r="CC44"/>
  <c r="CC45"/>
  <c r="CC46"/>
  <c r="CC47"/>
  <c r="CC48"/>
  <c r="CC49"/>
  <c r="CC50"/>
  <c r="CC51"/>
  <c r="CC52"/>
  <c r="CC53"/>
  <c r="CC54"/>
  <c r="CC55"/>
  <c r="CC9"/>
  <c r="BZ10"/>
  <c r="BZ11"/>
  <c r="BZ13"/>
  <c r="BZ16"/>
  <c r="BZ21"/>
  <c r="BZ22"/>
  <c r="BZ25"/>
  <c r="BZ26"/>
  <c r="BZ29"/>
  <c r="BZ30"/>
  <c r="BZ31"/>
  <c r="BZ33"/>
  <c r="BZ44"/>
  <c r="BZ45"/>
  <c r="BZ47"/>
  <c r="BZ48"/>
  <c r="BZ49"/>
  <c r="BZ50"/>
  <c r="BZ52"/>
  <c r="BZ53"/>
  <c r="BY10"/>
  <c r="BY11"/>
  <c r="BY13"/>
  <c r="BY16"/>
  <c r="BY17"/>
  <c r="BY18"/>
  <c r="BY19"/>
  <c r="BY20"/>
  <c r="BY21"/>
  <c r="BY24"/>
  <c r="BY22"/>
  <c r="BY23"/>
  <c r="BY25"/>
  <c r="BY26"/>
  <c r="BY27"/>
  <c r="BY28"/>
  <c r="BY29"/>
  <c r="BY30"/>
  <c r="BY31"/>
  <c r="BY32"/>
  <c r="BY33"/>
  <c r="BY36"/>
  <c r="BY37"/>
  <c r="BY38"/>
  <c r="BY39"/>
  <c r="BY40"/>
  <c r="BY41"/>
  <c r="BY43"/>
  <c r="BY44"/>
  <c r="BY45"/>
  <c r="BY46"/>
  <c r="BY47"/>
  <c r="BY48"/>
  <c r="BY49"/>
  <c r="BY50"/>
  <c r="BY51"/>
  <c r="BY52"/>
  <c r="BY53"/>
  <c r="BY54"/>
  <c r="BY55"/>
  <c r="BY9"/>
  <c r="BX24"/>
  <c r="BX38"/>
  <c r="BX49"/>
  <c r="BV10"/>
  <c r="BV11"/>
  <c r="BV13"/>
  <c r="BV16"/>
  <c r="BV21"/>
  <c r="BV22"/>
  <c r="BV25"/>
  <c r="BV26"/>
  <c r="BV29"/>
  <c r="BV30"/>
  <c r="BV31"/>
  <c r="BV33"/>
  <c r="BV44"/>
  <c r="BV45"/>
  <c r="BV47"/>
  <c r="BV48"/>
  <c r="BV49"/>
  <c r="BV50"/>
  <c r="BV52"/>
  <c r="BV53"/>
  <c r="BV9"/>
  <c r="BS55"/>
  <c r="CI55"/>
  <c r="BS54"/>
  <c r="CI54"/>
  <c r="BS51"/>
  <c r="CI51"/>
  <c r="BS46"/>
  <c r="CI46"/>
  <c r="BS37"/>
  <c r="CI37"/>
  <c r="BS38"/>
  <c r="CI38"/>
  <c r="BS39"/>
  <c r="CI39"/>
  <c r="BS40"/>
  <c r="CI40"/>
  <c r="BS41"/>
  <c r="CI41"/>
  <c r="BS43"/>
  <c r="CI43"/>
  <c r="BS36"/>
  <c r="CI36"/>
  <c r="BS32"/>
  <c r="CI32"/>
  <c r="BS28"/>
  <c r="CI28"/>
  <c r="BS27"/>
  <c r="CI27"/>
  <c r="BS23"/>
  <c r="CI23"/>
  <c r="BS24"/>
  <c r="CI24"/>
  <c r="BS18"/>
  <c r="CI18"/>
  <c r="BS19"/>
  <c r="CI19"/>
  <c r="BS20"/>
  <c r="CI20"/>
  <c r="BS17"/>
  <c r="BT49"/>
  <c r="BU49"/>
  <c r="BU10"/>
  <c r="BU11"/>
  <c r="BU13"/>
  <c r="BU16"/>
  <c r="BU21"/>
  <c r="BU22"/>
  <c r="BU25"/>
  <c r="BU26"/>
  <c r="BU29"/>
  <c r="BU30"/>
  <c r="BU31"/>
  <c r="BU33"/>
  <c r="BU39"/>
  <c r="BU40"/>
  <c r="BU44"/>
  <c r="BU45"/>
  <c r="BU47"/>
  <c r="BU48"/>
  <c r="BU50"/>
  <c r="BU52"/>
  <c r="BU53"/>
  <c r="BU9"/>
  <c r="BR10"/>
  <c r="BR11"/>
  <c r="BR13"/>
  <c r="BR16"/>
  <c r="BR17"/>
  <c r="BR18"/>
  <c r="BR19"/>
  <c r="BR20"/>
  <c r="BR21"/>
  <c r="BR24"/>
  <c r="BR22"/>
  <c r="BR23"/>
  <c r="BR25"/>
  <c r="BR26"/>
  <c r="BR27"/>
  <c r="BR28"/>
  <c r="BR29"/>
  <c r="BR30"/>
  <c r="BR31"/>
  <c r="BR32"/>
  <c r="BR33"/>
  <c r="BR36"/>
  <c r="BR37"/>
  <c r="BR38"/>
  <c r="BR39"/>
  <c r="BR40"/>
  <c r="BR41"/>
  <c r="BR43"/>
  <c r="BR44"/>
  <c r="BR45"/>
  <c r="BR46"/>
  <c r="BR47"/>
  <c r="BR48"/>
  <c r="BR50"/>
  <c r="BR51"/>
  <c r="BR52"/>
  <c r="BR53"/>
  <c r="BR54"/>
  <c r="BR55"/>
  <c r="BR9"/>
  <c r="BQ38"/>
  <c r="BO38"/>
  <c r="Y10"/>
  <c r="Y11"/>
  <c r="Y13"/>
  <c r="Y16"/>
  <c r="Y17"/>
  <c r="Y18"/>
  <c r="Y19"/>
  <c r="Y20"/>
  <c r="Y21"/>
  <c r="Y24"/>
  <c r="Y22"/>
  <c r="Y23"/>
  <c r="Y25"/>
  <c r="Y26"/>
  <c r="Y27"/>
  <c r="Y28"/>
  <c r="Y29"/>
  <c r="Y30"/>
  <c r="Y31"/>
  <c r="Y32"/>
  <c r="Y33"/>
  <c r="Y36"/>
  <c r="Y37"/>
  <c r="Y39"/>
  <c r="Y40"/>
  <c r="Y41"/>
  <c r="Y43"/>
  <c r="Y44"/>
  <c r="Y45"/>
  <c r="Y46"/>
  <c r="Y47"/>
  <c r="Y48"/>
  <c r="Y50"/>
  <c r="Y51"/>
  <c r="Y52"/>
  <c r="Y53"/>
  <c r="Y55"/>
  <c r="Y9"/>
  <c r="BL40"/>
  <c r="BM40"/>
  <c r="BL31"/>
  <c r="BM31"/>
  <c r="CL31"/>
  <c r="BL18"/>
  <c r="BM10"/>
  <c r="CL10"/>
  <c r="BM11"/>
  <c r="CL11"/>
  <c r="BM13"/>
  <c r="CL13"/>
  <c r="BM16"/>
  <c r="CL16"/>
  <c r="BM19"/>
  <c r="CL19"/>
  <c r="BM20"/>
  <c r="CL20"/>
  <c r="BM21"/>
  <c r="CL21"/>
  <c r="BO24"/>
  <c r="BM23"/>
  <c r="CL23"/>
  <c r="BM25"/>
  <c r="BM26"/>
  <c r="CL26"/>
  <c r="BM27"/>
  <c r="CL27"/>
  <c r="BM28"/>
  <c r="CL28"/>
  <c r="BM29"/>
  <c r="CL29"/>
  <c r="BM30"/>
  <c r="CL30"/>
  <c r="BM32"/>
  <c r="CL32"/>
  <c r="BM33"/>
  <c r="CL33"/>
  <c r="BM36"/>
  <c r="CL36"/>
  <c r="CL37"/>
  <c r="BM39"/>
  <c r="CL39"/>
  <c r="BM41"/>
  <c r="CL41"/>
  <c r="BM43"/>
  <c r="BM44"/>
  <c r="CL44"/>
  <c r="BM45"/>
  <c r="BM46"/>
  <c r="CL46"/>
  <c r="BM47"/>
  <c r="BM48"/>
  <c r="CL48"/>
  <c r="BM50"/>
  <c r="CL50"/>
  <c r="BM51"/>
  <c r="CL51"/>
  <c r="BM52"/>
  <c r="CL52"/>
  <c r="BM53"/>
  <c r="CL53"/>
  <c r="BM54"/>
  <c r="CL54"/>
  <c r="BM55"/>
  <c r="CL55"/>
  <c r="BM9"/>
  <c r="CL9"/>
  <c r="BK30"/>
  <c r="BJ30"/>
  <c r="BI30"/>
  <c r="BG22"/>
  <c r="BG17"/>
  <c r="BK55"/>
  <c r="BK54"/>
  <c r="BK53"/>
  <c r="BK52"/>
  <c r="BK51"/>
  <c r="BK50"/>
  <c r="BK48"/>
  <c r="BK47"/>
  <c r="BK46"/>
  <c r="BK44"/>
  <c r="BK43"/>
  <c r="BK41"/>
  <c r="BK40"/>
  <c r="BK39"/>
  <c r="BK37"/>
  <c r="BK36"/>
  <c r="BK33"/>
  <c r="BK32"/>
  <c r="BK31"/>
  <c r="BK29"/>
  <c r="BK28"/>
  <c r="BK27"/>
  <c r="BK26"/>
  <c r="BK25"/>
  <c r="BK23"/>
  <c r="BK24"/>
  <c r="BK21"/>
  <c r="BK20"/>
  <c r="BK19"/>
  <c r="BK18"/>
  <c r="BK13"/>
  <c r="BK11"/>
  <c r="BK9"/>
  <c r="BJ55"/>
  <c r="BJ54"/>
  <c r="BJ53"/>
  <c r="BJ52"/>
  <c r="BJ51"/>
  <c r="BJ50"/>
  <c r="BJ48"/>
  <c r="BJ47"/>
  <c r="BJ46"/>
  <c r="BJ45"/>
  <c r="BJ44"/>
  <c r="BJ43"/>
  <c r="BJ41"/>
  <c r="BJ40"/>
  <c r="BJ39"/>
  <c r="BJ37"/>
  <c r="BJ36"/>
  <c r="BJ33"/>
  <c r="BJ32"/>
  <c r="BJ31"/>
  <c r="BJ29"/>
  <c r="BJ28"/>
  <c r="BJ27"/>
  <c r="BJ26"/>
  <c r="BJ25"/>
  <c r="BJ23"/>
  <c r="BJ24"/>
  <c r="BJ21"/>
  <c r="BJ20"/>
  <c r="BJ19"/>
  <c r="BJ18"/>
  <c r="BJ16"/>
  <c r="BJ13"/>
  <c r="BJ11"/>
  <c r="BJ10"/>
  <c r="BJ9"/>
  <c r="BI55"/>
  <c r="BI54"/>
  <c r="BI53"/>
  <c r="BI52"/>
  <c r="BI51"/>
  <c r="BI50"/>
  <c r="BI48"/>
  <c r="BI47"/>
  <c r="BI46"/>
  <c r="BI45"/>
  <c r="BI44"/>
  <c r="BI43"/>
  <c r="BI41"/>
  <c r="BI40"/>
  <c r="BI39"/>
  <c r="BI37"/>
  <c r="BI36"/>
  <c r="BI33"/>
  <c r="BI32"/>
  <c r="BI31"/>
  <c r="BI29"/>
  <c r="BI28"/>
  <c r="BI27"/>
  <c r="BI26"/>
  <c r="BI25"/>
  <c r="BI23"/>
  <c r="BI24"/>
  <c r="BI21"/>
  <c r="BI20"/>
  <c r="BI19"/>
  <c r="BI18"/>
  <c r="BI16"/>
  <c r="BI13"/>
  <c r="BI11"/>
  <c r="BI10"/>
  <c r="BI9"/>
  <c r="BF22"/>
  <c r="BJ22"/>
  <c r="BF17"/>
  <c r="BI17"/>
  <c r="BE10"/>
  <c r="BE45"/>
  <c r="BK45"/>
  <c r="BE16"/>
  <c r="BK16"/>
  <c r="BE17"/>
  <c r="BE22"/>
  <c r="AT59"/>
  <c r="AU10"/>
  <c r="BH10"/>
  <c r="AU11"/>
  <c r="BH11"/>
  <c r="AU13"/>
  <c r="BH13"/>
  <c r="AU16"/>
  <c r="BH16"/>
  <c r="AU17"/>
  <c r="AU18"/>
  <c r="BH18"/>
  <c r="AU19"/>
  <c r="BH19"/>
  <c r="AU20"/>
  <c r="BH20"/>
  <c r="AU21"/>
  <c r="BH21"/>
  <c r="AU24"/>
  <c r="BH24"/>
  <c r="AU22"/>
  <c r="AU23"/>
  <c r="BH23"/>
  <c r="AU25"/>
  <c r="BH25"/>
  <c r="AU26"/>
  <c r="AU27"/>
  <c r="BH27"/>
  <c r="AU28"/>
  <c r="BH28"/>
  <c r="AU29"/>
  <c r="BH29"/>
  <c r="AU30"/>
  <c r="BH30"/>
  <c r="AU31"/>
  <c r="BH31"/>
  <c r="AU32"/>
  <c r="BH32"/>
  <c r="AU33"/>
  <c r="BH33"/>
  <c r="AU36"/>
  <c r="BH36"/>
  <c r="AU37"/>
  <c r="BH37"/>
  <c r="AU39"/>
  <c r="BH39"/>
  <c r="AU40"/>
  <c r="BH40"/>
  <c r="AU41"/>
  <c r="BH41"/>
  <c r="AU43"/>
  <c r="BH43"/>
  <c r="AU44"/>
  <c r="BH44"/>
  <c r="AU45"/>
  <c r="BH45"/>
  <c r="AU46"/>
  <c r="BH46"/>
  <c r="AU47"/>
  <c r="BH47"/>
  <c r="AU48"/>
  <c r="BH48"/>
  <c r="AU50"/>
  <c r="BH50"/>
  <c r="AU51"/>
  <c r="BH51"/>
  <c r="AU52"/>
  <c r="BH52"/>
  <c r="AU53"/>
  <c r="BH53"/>
  <c r="AU54"/>
  <c r="BH54"/>
  <c r="AU55"/>
  <c r="BH55"/>
  <c r="AU9"/>
  <c r="BD10"/>
  <c r="BD11"/>
  <c r="BD13"/>
  <c r="BD16"/>
  <c r="BD17"/>
  <c r="BD18"/>
  <c r="BD19"/>
  <c r="BD20"/>
  <c r="BD21"/>
  <c r="BD24"/>
  <c r="BD22"/>
  <c r="BD23"/>
  <c r="BD25"/>
  <c r="BD26"/>
  <c r="BD27"/>
  <c r="BD28"/>
  <c r="BD29"/>
  <c r="BD30"/>
  <c r="BD31"/>
  <c r="BD32"/>
  <c r="BD33"/>
  <c r="BD36"/>
  <c r="BD37"/>
  <c r="BD39"/>
  <c r="BD40"/>
  <c r="BD41"/>
  <c r="BD43"/>
  <c r="BD44"/>
  <c r="BD45"/>
  <c r="BD46"/>
  <c r="BD47"/>
  <c r="BD48"/>
  <c r="BD50"/>
  <c r="BD51"/>
  <c r="BD52"/>
  <c r="BD53"/>
  <c r="BD54"/>
  <c r="BD55"/>
  <c r="BD9"/>
  <c r="BC10"/>
  <c r="BC11"/>
  <c r="BC13"/>
  <c r="BC16"/>
  <c r="BC17"/>
  <c r="BC18"/>
  <c r="BC19"/>
  <c r="BC20"/>
  <c r="BC21"/>
  <c r="BC24"/>
  <c r="BC22"/>
  <c r="BC23"/>
  <c r="BC25"/>
  <c r="BC26"/>
  <c r="BC27"/>
  <c r="BC28"/>
  <c r="BC29"/>
  <c r="BC30"/>
  <c r="BC31"/>
  <c r="BC32"/>
  <c r="BC33"/>
  <c r="BC36"/>
  <c r="BC37"/>
  <c r="BC39"/>
  <c r="BC40"/>
  <c r="BC41"/>
  <c r="BC43"/>
  <c r="BC44"/>
  <c r="BC45"/>
  <c r="BC46"/>
  <c r="BC47"/>
  <c r="BC48"/>
  <c r="BC50"/>
  <c r="BC51"/>
  <c r="BC52"/>
  <c r="BC53"/>
  <c r="BC54"/>
  <c r="BC55"/>
  <c r="BC9"/>
  <c r="BB10"/>
  <c r="BB11"/>
  <c r="BB13"/>
  <c r="BB16"/>
  <c r="BB17"/>
  <c r="BB18"/>
  <c r="BB19"/>
  <c r="BB20"/>
  <c r="BB21"/>
  <c r="BB24"/>
  <c r="BB22"/>
  <c r="BB23"/>
  <c r="BB25"/>
  <c r="BB26"/>
  <c r="BB27"/>
  <c r="BB28"/>
  <c r="BB29"/>
  <c r="BB30"/>
  <c r="BB31"/>
  <c r="BB32"/>
  <c r="BB33"/>
  <c r="BB36"/>
  <c r="BB37"/>
  <c r="BB39"/>
  <c r="BB40"/>
  <c r="BB41"/>
  <c r="BB43"/>
  <c r="BB44"/>
  <c r="BB45"/>
  <c r="BB46"/>
  <c r="BB47"/>
  <c r="BB48"/>
  <c r="BB50"/>
  <c r="BB51"/>
  <c r="BB52"/>
  <c r="BB53"/>
  <c r="BB54"/>
  <c r="BB55"/>
  <c r="BB9"/>
  <c r="AY11"/>
  <c r="AZ11"/>
  <c r="AY13"/>
  <c r="AZ13"/>
  <c r="AY16"/>
  <c r="AZ16"/>
  <c r="AY17"/>
  <c r="AZ17"/>
  <c r="AY18"/>
  <c r="AZ18"/>
  <c r="AY19"/>
  <c r="AZ19"/>
  <c r="AY20"/>
  <c r="AZ20"/>
  <c r="AY21"/>
  <c r="AZ21"/>
  <c r="AY24"/>
  <c r="AZ24"/>
  <c r="AY22"/>
  <c r="AZ22"/>
  <c r="AY23"/>
  <c r="AZ23"/>
  <c r="AY25"/>
  <c r="AZ25"/>
  <c r="AY26"/>
  <c r="AZ26"/>
  <c r="AY27"/>
  <c r="AZ27"/>
  <c r="AY28"/>
  <c r="AZ28"/>
  <c r="AY29"/>
  <c r="AZ29"/>
  <c r="AY30"/>
  <c r="AZ30"/>
  <c r="AY31"/>
  <c r="AZ31"/>
  <c r="AY32"/>
  <c r="AZ32"/>
  <c r="AY33"/>
  <c r="AZ33"/>
  <c r="AY36"/>
  <c r="AZ36"/>
  <c r="AY37"/>
  <c r="AZ37"/>
  <c r="AY39"/>
  <c r="AZ39"/>
  <c r="AY40"/>
  <c r="AZ40"/>
  <c r="AY41"/>
  <c r="AZ41"/>
  <c r="AY43"/>
  <c r="AZ43"/>
  <c r="AY44"/>
  <c r="AZ44"/>
  <c r="AY45"/>
  <c r="AZ45"/>
  <c r="AY46"/>
  <c r="AZ46"/>
  <c r="AY47"/>
  <c r="AZ47"/>
  <c r="AY48"/>
  <c r="AZ48"/>
  <c r="AY50"/>
  <c r="AZ50"/>
  <c r="AY51"/>
  <c r="AZ51"/>
  <c r="AY52"/>
  <c r="AZ52"/>
  <c r="AY53"/>
  <c r="AZ53"/>
  <c r="AY54"/>
  <c r="AZ54"/>
  <c r="AY9"/>
  <c r="AZ10"/>
  <c r="AZ55"/>
  <c r="AZ9"/>
  <c r="AY10"/>
  <c r="AY55"/>
  <c r="AW25"/>
  <c r="AS25"/>
  <c r="AA25"/>
  <c r="AW10"/>
  <c r="AW11"/>
  <c r="AW13"/>
  <c r="AW16"/>
  <c r="AW17"/>
  <c r="AW18"/>
  <c r="AW19"/>
  <c r="AW20"/>
  <c r="AW21"/>
  <c r="AW22"/>
  <c r="AW23"/>
  <c r="AW26"/>
  <c r="AW27"/>
  <c r="AW28"/>
  <c r="AW29"/>
  <c r="AW30"/>
  <c r="AW31"/>
  <c r="AW32"/>
  <c r="AW33"/>
  <c r="AW37"/>
  <c r="AW39"/>
  <c r="AW40"/>
  <c r="AW41"/>
  <c r="AW43"/>
  <c r="AW44"/>
  <c r="AW45"/>
  <c r="AW46"/>
  <c r="AW47"/>
  <c r="AW48"/>
  <c r="AW50"/>
  <c r="AW51"/>
  <c r="AW52"/>
  <c r="AW53"/>
  <c r="AW54"/>
  <c r="AW55"/>
  <c r="AW9"/>
  <c r="X59"/>
  <c r="AP59"/>
  <c r="AS55"/>
  <c r="AS53"/>
  <c r="AS52"/>
  <c r="AS51"/>
  <c r="AS50"/>
  <c r="AS48"/>
  <c r="AS47"/>
  <c r="AS46"/>
  <c r="AS45"/>
  <c r="AS44"/>
  <c r="AS43"/>
  <c r="AS41"/>
  <c r="AS40"/>
  <c r="AS39"/>
  <c r="AS37"/>
  <c r="AS33"/>
  <c r="AS32"/>
  <c r="AS31"/>
  <c r="AS30"/>
  <c r="AS29"/>
  <c r="AS28"/>
  <c r="AS27"/>
  <c r="AS26"/>
  <c r="AS23"/>
  <c r="AS22"/>
  <c r="AS21"/>
  <c r="AS20"/>
  <c r="AS19"/>
  <c r="AS18"/>
  <c r="AS17"/>
  <c r="AS16"/>
  <c r="AS13"/>
  <c r="AS11"/>
  <c r="AS10"/>
  <c r="AS9"/>
  <c r="AR55"/>
  <c r="AR54"/>
  <c r="AR53"/>
  <c r="AR52"/>
  <c r="AR51"/>
  <c r="AR50"/>
  <c r="AR48"/>
  <c r="AR47"/>
  <c r="AR46"/>
  <c r="AR45"/>
  <c r="AR44"/>
  <c r="AR43"/>
  <c r="AR41"/>
  <c r="AR40"/>
  <c r="AR39"/>
  <c r="AR37"/>
  <c r="AR33"/>
  <c r="AR32"/>
  <c r="AR31"/>
  <c r="AR30"/>
  <c r="AR29"/>
  <c r="AR28"/>
  <c r="AR27"/>
  <c r="AR26"/>
  <c r="AR23"/>
  <c r="AR22"/>
  <c r="AR21"/>
  <c r="AR20"/>
  <c r="AR19"/>
  <c r="AR18"/>
  <c r="AR17"/>
  <c r="AR16"/>
  <c r="AR13"/>
  <c r="AR11"/>
  <c r="AR10"/>
  <c r="AR9"/>
  <c r="AQ55"/>
  <c r="AQ53"/>
  <c r="AQ52"/>
  <c r="AQ51"/>
  <c r="AQ50"/>
  <c r="AQ48"/>
  <c r="AQ47"/>
  <c r="AQ46"/>
  <c r="AQ45"/>
  <c r="AQ44"/>
  <c r="AQ43"/>
  <c r="AQ41"/>
  <c r="AQ40"/>
  <c r="AQ39"/>
  <c r="AQ37"/>
  <c r="AQ33"/>
  <c r="AQ32"/>
  <c r="AQ31"/>
  <c r="AQ30"/>
  <c r="AQ29"/>
  <c r="AQ28"/>
  <c r="AQ27"/>
  <c r="AQ26"/>
  <c r="AQ23"/>
  <c r="AQ22"/>
  <c r="AQ21"/>
  <c r="AQ20"/>
  <c r="AQ19"/>
  <c r="AQ18"/>
  <c r="AQ17"/>
  <c r="AQ16"/>
  <c r="AQ13"/>
  <c r="AQ11"/>
  <c r="AQ10"/>
  <c r="AQ9"/>
  <c r="AI59"/>
  <c r="AH59"/>
  <c r="AO10"/>
  <c r="AO11"/>
  <c r="AO13"/>
  <c r="AO16"/>
  <c r="AO17"/>
  <c r="AO18"/>
  <c r="AO19"/>
  <c r="AO20"/>
  <c r="AO21"/>
  <c r="AO22"/>
  <c r="AO23"/>
  <c r="AO26"/>
  <c r="AO27"/>
  <c r="AO28"/>
  <c r="AO29"/>
  <c r="AO30"/>
  <c r="AO31"/>
  <c r="AO32"/>
  <c r="AO33"/>
  <c r="AO37"/>
  <c r="AO39"/>
  <c r="AO40"/>
  <c r="AO41"/>
  <c r="AO43"/>
  <c r="AO44"/>
  <c r="AO45"/>
  <c r="AO46"/>
  <c r="AO47"/>
  <c r="AO48"/>
  <c r="AO50"/>
  <c r="AO51"/>
  <c r="AO52"/>
  <c r="AO53"/>
  <c r="AO54"/>
  <c r="AO55"/>
  <c r="AO9"/>
  <c r="AN10"/>
  <c r="AN11"/>
  <c r="AN13"/>
  <c r="AN16"/>
  <c r="AN17"/>
  <c r="AN18"/>
  <c r="AN19"/>
  <c r="AN20"/>
  <c r="AN21"/>
  <c r="AN22"/>
  <c r="AN23"/>
  <c r="AN26"/>
  <c r="AN27"/>
  <c r="AN28"/>
  <c r="AN29"/>
  <c r="AN30"/>
  <c r="AN31"/>
  <c r="AN32"/>
  <c r="AN33"/>
  <c r="AN37"/>
  <c r="AN39"/>
  <c r="AN40"/>
  <c r="AN41"/>
  <c r="AN43"/>
  <c r="AN44"/>
  <c r="AN45"/>
  <c r="AN46"/>
  <c r="AN47"/>
  <c r="AN48"/>
  <c r="AN50"/>
  <c r="AN51"/>
  <c r="AN52"/>
  <c r="AN53"/>
  <c r="AN54"/>
  <c r="AN55"/>
  <c r="AN9"/>
  <c r="AM16"/>
  <c r="AM10"/>
  <c r="AM11"/>
  <c r="AM13"/>
  <c r="AM17"/>
  <c r="AM18"/>
  <c r="AM19"/>
  <c r="AM20"/>
  <c r="AM21"/>
  <c r="AM22"/>
  <c r="AM23"/>
  <c r="AM26"/>
  <c r="AM27"/>
  <c r="AM28"/>
  <c r="AM29"/>
  <c r="AM30"/>
  <c r="AM31"/>
  <c r="AM32"/>
  <c r="AM33"/>
  <c r="AM37"/>
  <c r="AM39"/>
  <c r="AM40"/>
  <c r="AM41"/>
  <c r="AM43"/>
  <c r="AM44"/>
  <c r="AM45"/>
  <c r="AM46"/>
  <c r="AM47"/>
  <c r="AM48"/>
  <c r="AM50"/>
  <c r="AM51"/>
  <c r="AM52"/>
  <c r="AM53"/>
  <c r="AM55"/>
  <c r="AM9"/>
  <c r="AJ16"/>
  <c r="AK13"/>
  <c r="AL16"/>
  <c r="AK16"/>
  <c r="AK10"/>
  <c r="AK11"/>
  <c r="AK17"/>
  <c r="AK18"/>
  <c r="AK19"/>
  <c r="AK20"/>
  <c r="AK21"/>
  <c r="AK22"/>
  <c r="AK23"/>
  <c r="AK26"/>
  <c r="AK27"/>
  <c r="AK28"/>
  <c r="AK29"/>
  <c r="AK30"/>
  <c r="AK31"/>
  <c r="AK32"/>
  <c r="AK33"/>
  <c r="AK37"/>
  <c r="AK39"/>
  <c r="AK40"/>
  <c r="AK41"/>
  <c r="AK43"/>
  <c r="AK44"/>
  <c r="AK45"/>
  <c r="AK46"/>
  <c r="AK47"/>
  <c r="AK48"/>
  <c r="AK50"/>
  <c r="AK51"/>
  <c r="AK52"/>
  <c r="AK53"/>
  <c r="AK54"/>
  <c r="AK55"/>
  <c r="AK9"/>
  <c r="AJ10"/>
  <c r="AJ11"/>
  <c r="AJ13"/>
  <c r="AJ17"/>
  <c r="AJ18"/>
  <c r="AJ19"/>
  <c r="AJ20"/>
  <c r="AJ21"/>
  <c r="AJ22"/>
  <c r="AJ23"/>
  <c r="AJ26"/>
  <c r="AJ27"/>
  <c r="AJ28"/>
  <c r="AJ29"/>
  <c r="AJ30"/>
  <c r="AJ31"/>
  <c r="AJ32"/>
  <c r="AJ33"/>
  <c r="AJ37"/>
  <c r="AJ39"/>
  <c r="AJ40"/>
  <c r="AJ41"/>
  <c r="AJ43"/>
  <c r="AJ44"/>
  <c r="AJ45"/>
  <c r="AJ46"/>
  <c r="AJ47"/>
  <c r="AJ48"/>
  <c r="AJ50"/>
  <c r="AJ51"/>
  <c r="AJ52"/>
  <c r="AJ53"/>
  <c r="AJ55"/>
  <c r="AJ9"/>
  <c r="AD59"/>
  <c r="AL10"/>
  <c r="AL11"/>
  <c r="AL13"/>
  <c r="AL17"/>
  <c r="AL18"/>
  <c r="AL19"/>
  <c r="AL20"/>
  <c r="AL21"/>
  <c r="AL22"/>
  <c r="AL23"/>
  <c r="AL26"/>
  <c r="AL27"/>
  <c r="AL28"/>
  <c r="AL29"/>
  <c r="AL30"/>
  <c r="AL31"/>
  <c r="AL32"/>
  <c r="AL33"/>
  <c r="AL37"/>
  <c r="AL39"/>
  <c r="AL40"/>
  <c r="AL41"/>
  <c r="AL43"/>
  <c r="AL44"/>
  <c r="AL45"/>
  <c r="AL46"/>
  <c r="AL47"/>
  <c r="AL48"/>
  <c r="AL50"/>
  <c r="AL51"/>
  <c r="AL52"/>
  <c r="AL53"/>
  <c r="AL54"/>
  <c r="AL55"/>
  <c r="AL9"/>
  <c r="AF18"/>
  <c r="AF29"/>
  <c r="AF30"/>
  <c r="AF31"/>
  <c r="AF37"/>
  <c r="AF39"/>
  <c r="AF41"/>
  <c r="AF43"/>
  <c r="AF46"/>
  <c r="AF47"/>
  <c r="AF53"/>
  <c r="AF16"/>
  <c r="AF55"/>
  <c r="AG41"/>
  <c r="AG53"/>
  <c r="AG54"/>
  <c r="AG55"/>
  <c r="AG11"/>
  <c r="AG13"/>
  <c r="AG16"/>
  <c r="AG18"/>
  <c r="AG20"/>
  <c r="AG21"/>
  <c r="AG28"/>
  <c r="AG29"/>
  <c r="AG30"/>
  <c r="AG32"/>
  <c r="AG33"/>
  <c r="AG37"/>
  <c r="AG39"/>
  <c r="AE10"/>
  <c r="AE55"/>
  <c r="O59"/>
  <c r="P59"/>
  <c r="Q59"/>
  <c r="R59"/>
  <c r="S59"/>
  <c r="Z59"/>
  <c r="AB59"/>
  <c r="AC59"/>
  <c r="AE41"/>
  <c r="AE43"/>
  <c r="AE46"/>
  <c r="AE50"/>
  <c r="AE52"/>
  <c r="AE53"/>
  <c r="AE54"/>
  <c r="L9"/>
  <c r="I9"/>
  <c r="W54"/>
  <c r="AS54"/>
  <c r="AA53"/>
  <c r="AA52"/>
  <c r="AA51"/>
  <c r="AA50"/>
  <c r="AA48"/>
  <c r="AA47"/>
  <c r="AA46"/>
  <c r="AA45"/>
  <c r="AA44"/>
  <c r="AA43"/>
  <c r="AA41"/>
  <c r="AA40"/>
  <c r="AA39"/>
  <c r="AA37"/>
  <c r="AA33"/>
  <c r="AA32"/>
  <c r="AA31"/>
  <c r="AA30"/>
  <c r="AA29"/>
  <c r="AA28"/>
  <c r="AA27"/>
  <c r="AA26"/>
  <c r="AA23"/>
  <c r="AA22"/>
  <c r="AA21"/>
  <c r="AA20"/>
  <c r="AA19"/>
  <c r="AA18"/>
  <c r="AA17"/>
  <c r="AA16"/>
  <c r="AA13"/>
  <c r="AA11"/>
  <c r="AA10"/>
  <c r="AA9"/>
  <c r="D59"/>
  <c r="T54"/>
  <c r="U54"/>
  <c r="L54"/>
  <c r="I54"/>
  <c r="T53"/>
  <c r="U53"/>
  <c r="L53"/>
  <c r="I53"/>
  <c r="T52"/>
  <c r="U52"/>
  <c r="L52"/>
  <c r="I52"/>
  <c r="T51"/>
  <c r="U51"/>
  <c r="L51"/>
  <c r="I51"/>
  <c r="T50"/>
  <c r="U50"/>
  <c r="L50"/>
  <c r="I50"/>
  <c r="T48"/>
  <c r="U48"/>
  <c r="L48"/>
  <c r="I48"/>
  <c r="T47"/>
  <c r="U47"/>
  <c r="L47"/>
  <c r="G47"/>
  <c r="I47"/>
  <c r="T45"/>
  <c r="U45"/>
  <c r="L45"/>
  <c r="I45"/>
  <c r="T44"/>
  <c r="U44"/>
  <c r="L44"/>
  <c r="I44"/>
  <c r="T43"/>
  <c r="U43"/>
  <c r="L43"/>
  <c r="I43"/>
  <c r="T41"/>
  <c r="U41"/>
  <c r="L41"/>
  <c r="I41"/>
  <c r="T40"/>
  <c r="U40"/>
  <c r="L40"/>
  <c r="I40"/>
  <c r="T39"/>
  <c r="U39"/>
  <c r="L39"/>
  <c r="I39"/>
  <c r="T37"/>
  <c r="U37"/>
  <c r="L37"/>
  <c r="I37"/>
  <c r="T33"/>
  <c r="U33"/>
  <c r="V33"/>
  <c r="T32"/>
  <c r="U32"/>
  <c r="L32"/>
  <c r="I32"/>
  <c r="T31"/>
  <c r="U31"/>
  <c r="L31"/>
  <c r="G31"/>
  <c r="I31"/>
  <c r="T30"/>
  <c r="U30"/>
  <c r="L30"/>
  <c r="I30"/>
  <c r="T29"/>
  <c r="U29"/>
  <c r="L29"/>
  <c r="I29"/>
  <c r="T28"/>
  <c r="U28"/>
  <c r="L28"/>
  <c r="I28"/>
  <c r="T27"/>
  <c r="U27"/>
  <c r="L27"/>
  <c r="I27"/>
  <c r="T26"/>
  <c r="U26"/>
  <c r="L26"/>
  <c r="I26"/>
  <c r="T23"/>
  <c r="U23"/>
  <c r="L23"/>
  <c r="I23"/>
  <c r="T22"/>
  <c r="U22"/>
  <c r="L22"/>
  <c r="I22"/>
  <c r="T21"/>
  <c r="U21"/>
  <c r="L21"/>
  <c r="I21"/>
  <c r="T20"/>
  <c r="U20"/>
  <c r="L20"/>
  <c r="I20"/>
  <c r="T19"/>
  <c r="U19"/>
  <c r="L19"/>
  <c r="G19"/>
  <c r="I19"/>
  <c r="T18"/>
  <c r="U18"/>
  <c r="L18"/>
  <c r="I18"/>
  <c r="T17"/>
  <c r="U17"/>
  <c r="L17"/>
  <c r="I17"/>
  <c r="U16"/>
  <c r="L16"/>
  <c r="I16"/>
  <c r="T13"/>
  <c r="U13"/>
  <c r="L13"/>
  <c r="I13"/>
  <c r="T11"/>
  <c r="U11"/>
  <c r="L11"/>
  <c r="I11"/>
  <c r="T10"/>
  <c r="U10"/>
  <c r="L10"/>
  <c r="I10"/>
  <c r="T9"/>
  <c r="U9"/>
  <c r="K59"/>
  <c r="F59"/>
  <c r="J59"/>
  <c r="E59"/>
  <c r="H59"/>
  <c r="BH9"/>
  <c r="BI22"/>
  <c r="BU51"/>
  <c r="BJ17"/>
  <c r="BJ59"/>
  <c r="BU54"/>
  <c r="AO59"/>
  <c r="BH17"/>
  <c r="BT38"/>
  <c r="AS59"/>
  <c r="BU46"/>
  <c r="BU27"/>
  <c r="AR59"/>
  <c r="BU19"/>
  <c r="AN59"/>
  <c r="BH22"/>
  <c r="BU20"/>
  <c r="BU36"/>
  <c r="AF54"/>
  <c r="AF59"/>
  <c r="BU43"/>
  <c r="BU38"/>
  <c r="BU32"/>
  <c r="BU28"/>
  <c r="BU18"/>
  <c r="BU55"/>
  <c r="BU41"/>
  <c r="BU37"/>
  <c r="BX25"/>
  <c r="CL25"/>
  <c r="AE59"/>
  <c r="BX47"/>
  <c r="CL47"/>
  <c r="BX45"/>
  <c r="CL45"/>
  <c r="BX43"/>
  <c r="CL43"/>
  <c r="BX40"/>
  <c r="CL40"/>
  <c r="BU23"/>
  <c r="M9"/>
  <c r="V9"/>
  <c r="AJ54"/>
  <c r="AJ59"/>
  <c r="BK10"/>
  <c r="BE59"/>
  <c r="BM17"/>
  <c r="CL17"/>
  <c r="BG59"/>
  <c r="BO55"/>
  <c r="CG55"/>
  <c r="CB55"/>
  <c r="BO53"/>
  <c r="CG53"/>
  <c r="CB53"/>
  <c r="BO51"/>
  <c r="CG51"/>
  <c r="CB51"/>
  <c r="BO48"/>
  <c r="CG48"/>
  <c r="CB48"/>
  <c r="BO46"/>
  <c r="CG46"/>
  <c r="CB46"/>
  <c r="BO44"/>
  <c r="CG44"/>
  <c r="CB44"/>
  <c r="BO41"/>
  <c r="CG41"/>
  <c r="CB41"/>
  <c r="BO39"/>
  <c r="CG39"/>
  <c r="CB39"/>
  <c r="BO36"/>
  <c r="CG36"/>
  <c r="CB36"/>
  <c r="BO32"/>
  <c r="CG32"/>
  <c r="CB32"/>
  <c r="BO30"/>
  <c r="CG30"/>
  <c r="CB30"/>
  <c r="BO28"/>
  <c r="CG28"/>
  <c r="CB28"/>
  <c r="BO23"/>
  <c r="CG23"/>
  <c r="CB23"/>
  <c r="BO21"/>
  <c r="CG21"/>
  <c r="CB21"/>
  <c r="BO19"/>
  <c r="CG19"/>
  <c r="CB19"/>
  <c r="BO13"/>
  <c r="CG13"/>
  <c r="CB13"/>
  <c r="BO10"/>
  <c r="CG10"/>
  <c r="CB10"/>
  <c r="CG31"/>
  <c r="CB31"/>
  <c r="BU17"/>
  <c r="BS59"/>
  <c r="CI17"/>
  <c r="CI59"/>
  <c r="AW59"/>
  <c r="AY59"/>
  <c r="BB59"/>
  <c r="BD59"/>
  <c r="BR59"/>
  <c r="BV54"/>
  <c r="BV46"/>
  <c r="BV41"/>
  <c r="BV39"/>
  <c r="BV37"/>
  <c r="BV27"/>
  <c r="BV19"/>
  <c r="BV17"/>
  <c r="BX55"/>
  <c r="BX53"/>
  <c r="BX51"/>
  <c r="BX36"/>
  <c r="BX32"/>
  <c r="BX30"/>
  <c r="BX28"/>
  <c r="BX21"/>
  <c r="BX19"/>
  <c r="BX13"/>
  <c r="BX10"/>
  <c r="BY59"/>
  <c r="BZ55"/>
  <c r="BZ51"/>
  <c r="BZ43"/>
  <c r="BZ40"/>
  <c r="BZ38"/>
  <c r="BZ36"/>
  <c r="BZ32"/>
  <c r="BZ28"/>
  <c r="BZ23"/>
  <c r="BZ24"/>
  <c r="BZ20"/>
  <c r="BZ18"/>
  <c r="CD54"/>
  <c r="CD46"/>
  <c r="CD41"/>
  <c r="CD39"/>
  <c r="CD37"/>
  <c r="CD27"/>
  <c r="CD19"/>
  <c r="CD17"/>
  <c r="BM22"/>
  <c r="BT22"/>
  <c r="BO9"/>
  <c r="CG9"/>
  <c r="CB9"/>
  <c r="BO54"/>
  <c r="CG54"/>
  <c r="CB54"/>
  <c r="BO52"/>
  <c r="CG52"/>
  <c r="CB52"/>
  <c r="BO50"/>
  <c r="CG50"/>
  <c r="CB50"/>
  <c r="BO47"/>
  <c r="CG47"/>
  <c r="CB47"/>
  <c r="BO45"/>
  <c r="CG45"/>
  <c r="CB45"/>
  <c r="BO43"/>
  <c r="CG43"/>
  <c r="CB43"/>
  <c r="BO40"/>
  <c r="CG40"/>
  <c r="CB40"/>
  <c r="BO37"/>
  <c r="CG37"/>
  <c r="CB37"/>
  <c r="BO33"/>
  <c r="CG33"/>
  <c r="CB33"/>
  <c r="BO29"/>
  <c r="CG29"/>
  <c r="CB29"/>
  <c r="BO27"/>
  <c r="CG27"/>
  <c r="CB27"/>
  <c r="BO25"/>
  <c r="CG25"/>
  <c r="CB25"/>
  <c r="BO20"/>
  <c r="CG20"/>
  <c r="CB20"/>
  <c r="BO16"/>
  <c r="CG16"/>
  <c r="CB16"/>
  <c r="BO11"/>
  <c r="CG11"/>
  <c r="CB11"/>
  <c r="BM18"/>
  <c r="CL18"/>
  <c r="BL59"/>
  <c r="AZ59"/>
  <c r="BC59"/>
  <c r="BF59"/>
  <c r="BI59"/>
  <c r="BO31"/>
  <c r="BU24"/>
  <c r="BV55"/>
  <c r="BV51"/>
  <c r="BV43"/>
  <c r="BV40"/>
  <c r="BV38"/>
  <c r="BV36"/>
  <c r="BV32"/>
  <c r="BV28"/>
  <c r="BV23"/>
  <c r="BV24"/>
  <c r="BV20"/>
  <c r="BV18"/>
  <c r="BX9"/>
  <c r="BX54"/>
  <c r="BX52"/>
  <c r="BX50"/>
  <c r="BX48"/>
  <c r="BX46"/>
  <c r="BX44"/>
  <c r="BX41"/>
  <c r="BX39"/>
  <c r="BX37"/>
  <c r="BX33"/>
  <c r="BX31"/>
  <c r="BX29"/>
  <c r="BX27"/>
  <c r="BX23"/>
  <c r="BX20"/>
  <c r="BX16"/>
  <c r="BX11"/>
  <c r="BZ54"/>
  <c r="BZ46"/>
  <c r="BZ41"/>
  <c r="BZ39"/>
  <c r="BZ37"/>
  <c r="BZ27"/>
  <c r="BZ19"/>
  <c r="BZ17"/>
  <c r="CC59"/>
  <c r="CD55"/>
  <c r="CD51"/>
  <c r="CD43"/>
  <c r="CD40"/>
  <c r="CD38"/>
  <c r="CD36"/>
  <c r="CD32"/>
  <c r="CD28"/>
  <c r="CD23"/>
  <c r="CD24"/>
  <c r="CD20"/>
  <c r="CD18"/>
  <c r="BO26"/>
  <c r="CG26"/>
  <c r="CB26"/>
  <c r="BX26"/>
  <c r="BH26"/>
  <c r="AU59"/>
  <c r="BQ54"/>
  <c r="BQ52"/>
  <c r="BQ50"/>
  <c r="BQ46"/>
  <c r="BQ44"/>
  <c r="BQ41"/>
  <c r="BQ39"/>
  <c r="BQ37"/>
  <c r="BQ33"/>
  <c r="BQ31"/>
  <c r="BQ29"/>
  <c r="BQ27"/>
  <c r="BQ25"/>
  <c r="BQ21"/>
  <c r="BQ19"/>
  <c r="BQ13"/>
  <c r="BQ10"/>
  <c r="BQ9"/>
  <c r="BT55"/>
  <c r="BT53"/>
  <c r="BT51"/>
  <c r="BT48"/>
  <c r="BT46"/>
  <c r="BT44"/>
  <c r="BT41"/>
  <c r="BT39"/>
  <c r="BT37"/>
  <c r="BT33"/>
  <c r="BT31"/>
  <c r="BT29"/>
  <c r="BT27"/>
  <c r="BT25"/>
  <c r="BT21"/>
  <c r="BT19"/>
  <c r="BT13"/>
  <c r="BT10"/>
  <c r="BQ55"/>
  <c r="BQ53"/>
  <c r="BQ51"/>
  <c r="BQ48"/>
  <c r="BQ45"/>
  <c r="BQ43"/>
  <c r="BQ40"/>
  <c r="BQ36"/>
  <c r="BQ32"/>
  <c r="BQ30"/>
  <c r="BQ28"/>
  <c r="BQ26"/>
  <c r="BQ23"/>
  <c r="BQ24"/>
  <c r="BQ20"/>
  <c r="BQ16"/>
  <c r="BQ11"/>
  <c r="BT9"/>
  <c r="BT54"/>
  <c r="BT52"/>
  <c r="BT50"/>
  <c r="BT47"/>
  <c r="BT45"/>
  <c r="BT43"/>
  <c r="BT40"/>
  <c r="BT36"/>
  <c r="BT32"/>
  <c r="BT30"/>
  <c r="BT28"/>
  <c r="BT26"/>
  <c r="BT23"/>
  <c r="BT24"/>
  <c r="BT20"/>
  <c r="BT16"/>
  <c r="BT11"/>
  <c r="BQ47"/>
  <c r="M40"/>
  <c r="V40"/>
  <c r="T59"/>
  <c r="M37"/>
  <c r="V37"/>
  <c r="M23"/>
  <c r="V23"/>
  <c r="M27"/>
  <c r="N27"/>
  <c r="M52"/>
  <c r="V52"/>
  <c r="BK22"/>
  <c r="M21"/>
  <c r="V21"/>
  <c r="M28"/>
  <c r="V28"/>
  <c r="M29"/>
  <c r="V29"/>
  <c r="M30"/>
  <c r="V30"/>
  <c r="M32"/>
  <c r="V32"/>
  <c r="M39"/>
  <c r="V39"/>
  <c r="M41"/>
  <c r="V41"/>
  <c r="M43"/>
  <c r="V43"/>
  <c r="M44"/>
  <c r="V44"/>
  <c r="M45"/>
  <c r="V45"/>
  <c r="M47"/>
  <c r="V47"/>
  <c r="M48"/>
  <c r="V48"/>
  <c r="M50"/>
  <c r="V50"/>
  <c r="M51"/>
  <c r="V51"/>
  <c r="AL59"/>
  <c r="AK59"/>
  <c r="G59"/>
  <c r="M53"/>
  <c r="V53"/>
  <c r="M54"/>
  <c r="V54"/>
  <c r="L59"/>
  <c r="AG59"/>
  <c r="M16"/>
  <c r="N16"/>
  <c r="M17"/>
  <c r="V17"/>
  <c r="M20"/>
  <c r="V20"/>
  <c r="M22"/>
  <c r="N22"/>
  <c r="AQ54"/>
  <c r="AQ59"/>
  <c r="AM54"/>
  <c r="AM59"/>
  <c r="W59"/>
  <c r="AA54"/>
  <c r="AA59"/>
  <c r="M10"/>
  <c r="N10"/>
  <c r="M26"/>
  <c r="N26"/>
  <c r="BK17"/>
  <c r="M13"/>
  <c r="N13"/>
  <c r="M31"/>
  <c r="V31"/>
  <c r="M11"/>
  <c r="V11"/>
  <c r="M18"/>
  <c r="V18"/>
  <c r="M19"/>
  <c r="I59"/>
  <c r="U59"/>
  <c r="Y54"/>
  <c r="Y59"/>
  <c r="BT17"/>
  <c r="BH59"/>
  <c r="V16"/>
  <c r="BQ18"/>
  <c r="BQ17"/>
  <c r="BK59"/>
  <c r="BT18"/>
  <c r="BT59"/>
  <c r="BO22"/>
  <c r="CL22"/>
  <c r="CL59"/>
  <c r="BQ22"/>
  <c r="BM59"/>
  <c r="BU59"/>
  <c r="BZ59"/>
  <c r="BV59"/>
  <c r="CD59"/>
  <c r="BO18"/>
  <c r="CG18"/>
  <c r="CB18"/>
  <c r="BX18"/>
  <c r="BO17"/>
  <c r="CG17"/>
  <c r="CB17"/>
  <c r="BX17"/>
  <c r="CG22"/>
  <c r="CB22"/>
  <c r="BX22"/>
  <c r="V26"/>
  <c r="N17"/>
  <c r="V10"/>
  <c r="V27"/>
  <c r="M59"/>
  <c r="N11"/>
  <c r="V13"/>
  <c r="V22"/>
  <c r="V19"/>
  <c r="N19"/>
  <c r="N59"/>
  <c r="BO59"/>
  <c r="CG59"/>
  <c r="BQ59"/>
  <c r="CB59"/>
  <c r="BX59"/>
  <c r="V59"/>
</calcChain>
</file>

<file path=xl/comments1.xml><?xml version="1.0" encoding="utf-8"?>
<comments xmlns="http://schemas.openxmlformats.org/spreadsheetml/2006/main">
  <authors>
    <author>Julia Jou</author>
  </authors>
  <commentList>
    <comment ref="DW22" authorId="0">
      <text>
        <r>
          <rPr>
            <b/>
            <sz val="9"/>
            <color indexed="81"/>
            <rFont val="Tahoma"/>
            <family val="2"/>
          </rPr>
          <t>Julia Jou:</t>
        </r>
        <r>
          <rPr>
            <sz val="9"/>
            <color indexed="81"/>
            <rFont val="Tahoma"/>
            <family val="2"/>
          </rPr>
          <t xml:space="preserve">
$5 million 9c cut restored
</t>
        </r>
      </text>
    </comment>
  </commentList>
</comments>
</file>

<file path=xl/sharedStrings.xml><?xml version="1.0" encoding="utf-8"?>
<sst xmlns="http://schemas.openxmlformats.org/spreadsheetml/2006/main" count="680" uniqueCount="338">
  <si>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</si>
  <si>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</si>
  <si>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</si>
  <si>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</si>
  <si>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</si>
  <si>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</si>
  <si>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</si>
  <si>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</si>
  <si>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</si>
  <si>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</si>
  <si>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</si>
  <si>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</si>
  <si>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</si>
  <si>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</si>
  <si>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</si>
  <si>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</si>
  <si>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</si>
  <si>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</si>
  <si>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</si>
  <si>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</si>
  <si>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</si>
  <si>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</si>
  <si>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</si>
  <si>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</si>
  <si>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</si>
  <si>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</si>
  <si>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</si>
  <si>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</si>
  <si>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</si>
  <si>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</si>
  <si>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</si>
  <si>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</si>
  <si>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</si>
  <si>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</si>
  <si>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</si>
  <si>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</si>
  <si>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</si>
  <si>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</si>
  <si>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</si>
  <si>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</si>
  <si>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</si>
  <si>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</si>
  <si>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</si>
  <si>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</si>
  <si>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</si>
  <si>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</si>
  <si>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</si>
  <si>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</si>
  <si>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</si>
  <si>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</si>
  <si>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</si>
  <si>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</si>
  <si>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</si>
  <si>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</si>
  <si>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</si>
  <si>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</si>
  <si>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</si>
  <si>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</si>
  <si>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</si>
  <si>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</si>
  <si>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</si>
  <si>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</si>
  <si>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</si>
  <si>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</si>
  <si>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</si>
  <si>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</si>
  <si>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</si>
  <si>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</si>
  <si>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</si>
  <si>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</si>
  <si>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</si>
  <si>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</si>
  <si>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</si>
  <si>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</si>
  <si>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</si>
  <si>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</si>
  <si>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</si>
  <si>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</si>
  <si>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</si>
  <si>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</si>
  <si>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</si>
  <si>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</si>
  <si>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</si>
  <si>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</si>
  <si>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</si>
  <si>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</si>
  <si>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</si>
  <si>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</si>
  <si>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</si>
  <si>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</si>
  <si>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</si>
  <si>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</si>
  <si>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</si>
  <si>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</si>
  <si>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</si>
  <si>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</si>
  <si>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</si>
  <si>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</si>
  <si>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</si>
  <si>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</si>
  <si>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</si>
  <si>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</si>
  <si>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</si>
  <si>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</si>
  <si>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</si>
  <si>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</si>
  <si>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</si>
  <si>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</si>
  <si>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</si>
  <si>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</si>
  <si>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</si>
  <si>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</si>
  <si>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</si>
  <si>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</si>
  <si>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</si>
  <si>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</si>
  <si>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</si>
  <si>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</si>
  <si>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</si>
  <si>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</si>
  <si>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</si>
  <si>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</si>
  <si>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</si>
  <si>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</si>
  <si>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</si>
  <si>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</si>
  <si>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</si>
  <si>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</si>
  <si>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</si>
  <si>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</si>
  <si>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</si>
  <si>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</si>
  <si>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</si>
  <si>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</si>
  <si>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</si>
  <si>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</si>
  <si>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</si>
  <si>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</si>
  <si>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</si>
  <si>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</si>
  <si>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</si>
  <si>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</si>
  <si>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</si>
  <si>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</si>
  <si>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</si>
  <si>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</si>
  <si>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</si>
  <si>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</si>
  <si>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</si>
  <si>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</si>
  <si>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</si>
  <si>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</si>
  <si>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</si>
  <si>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</si>
  <si>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</si>
  <si>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</si>
  <si>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</si>
  <si>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</si>
  <si>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</si>
  <si>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</si>
  <si>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</si>
  <si>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</si>
  <si>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</si>
  <si>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</si>
  <si>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</si>
  <si>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</si>
  <si>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</si>
  <si>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</si>
  <si>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</si>
  <si>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</si>
  <si>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</si>
  <si>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</si>
  <si>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</si>
  <si>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</si>
  <si>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</si>
  <si>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</si>
  <si>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</si>
  <si>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</si>
  <si>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</si>
  <si>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</si>
  <si>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</si>
  <si>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</si>
  <si>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</si>
  <si>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</si>
  <si>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</si>
  <si>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</si>
  <si>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</si>
  <si>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</si>
  <si>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</si>
  <si>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</si>
  <si>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</si>
  <si>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</si>
  <si>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</si>
  <si>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</si>
  <si>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</si>
  <si>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</si>
  <si>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</si>
  <si>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</si>
  <si>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</si>
  <si>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</si>
  <si>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</si>
  <si>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</si>
  <si>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</si>
  <si>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</si>
  <si>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</si>
  <si>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</si>
  <si>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</si>
  <si>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</si>
  <si>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</si>
  <si>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</si>
  <si>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</si>
  <si>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</si>
  <si>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</si>
  <si>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</si>
  <si>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</si>
  <si>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</si>
  <si>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</si>
  <si>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</si>
  <si>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</si>
  <si>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</si>
  <si>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</si>
  <si>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</si>
  <si>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</si>
  <si>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</si>
  <si>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</si>
  <si>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</si>
  <si>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</si>
  <si>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</si>
  <si>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</si>
  <si>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</si>
  <si>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</si>
  <si>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</si>
  <si>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</si>
  <si>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</si>
  <si>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PAC thru 6/30/16</t>
  </si>
  <si>
    <t>PAC thru 6/30/17</t>
  </si>
  <si>
    <t>&amp; FY15 Senate Budget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</si>
  <si>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</si>
  <si>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</si>
  <si>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</si>
  <si>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</si>
  <si>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</si>
  <si>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</si>
  <si>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</si>
  <si>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</si>
  <si>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</si>
  <si>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</si>
  <si>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</si>
  <si>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</si>
  <si>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</si>
  <si>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</si>
  <si>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</si>
  <si>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</si>
  <si>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</si>
  <si>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</si>
  <si>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</si>
  <si>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</si>
  <si>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</si>
  <si>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</si>
  <si>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</si>
  <si>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</si>
  <si>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</si>
  <si>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Note:</t>
  </si>
  <si>
    <t>7066-0024</t>
  </si>
  <si>
    <t>Schools of Excellence</t>
  </si>
  <si>
    <t>FY2016</t>
  </si>
  <si>
    <t>FY16 HWM and</t>
  </si>
  <si>
    <t>FY16 House 1</t>
  </si>
  <si>
    <t xml:space="preserve">House 1 Consolidated with 7061-9408 </t>
  </si>
  <si>
    <t>House 1 Transfer in from DHE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</si>
  <si>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</si>
  <si>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</si>
  <si>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</si>
  <si>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</si>
  <si>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</si>
  <si>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</si>
  <si>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PAC thru FY17</t>
  </si>
  <si>
    <t>PAC thru FY18</t>
  </si>
  <si>
    <t>Adult Basic Education</t>
  </si>
  <si>
    <t>Public School Military Mitigation</t>
  </si>
  <si>
    <t>Child Sexual Abuse Prevention</t>
  </si>
  <si>
    <t>FY16 Senate and</t>
  </si>
  <si>
    <t>FY16 WWM</t>
  </si>
  <si>
    <t>FY16 Conference and</t>
  </si>
  <si>
    <t>7010-0005 Earmarks</t>
  </si>
  <si>
    <t xml:space="preserve">FY16 Conference </t>
  </si>
  <si>
    <t>and FY16 Senate</t>
  </si>
  <si>
    <t>and FY16 House</t>
  </si>
  <si>
    <t>FY16 Conference</t>
  </si>
  <si>
    <t>and FY16 House 1</t>
  </si>
  <si>
    <t>7061-9611 Earmarks</t>
  </si>
  <si>
    <t>7035-0002 Earmarks</t>
  </si>
  <si>
    <t>Post 9C</t>
  </si>
  <si>
    <t>7061-9812</t>
  </si>
  <si>
    <t>FY16 GAA Budget and</t>
  </si>
  <si>
    <t>FY16 Conf. Budget</t>
  </si>
  <si>
    <t>Creative Challenge Index</t>
  </si>
  <si>
    <t>FY16 Legislative</t>
  </si>
  <si>
    <t>Veto Overrides</t>
  </si>
  <si>
    <t>FY16 GAA Budg&amp;</t>
  </si>
  <si>
    <t>English Language Acquisition</t>
  </si>
  <si>
    <t xml:space="preserve">Supp </t>
  </si>
  <si>
    <t>w/ Supp Budget</t>
  </si>
  <si>
    <t xml:space="preserve">9C </t>
  </si>
  <si>
    <t>Cut</t>
  </si>
  <si>
    <t>FY2017</t>
  </si>
  <si>
    <t>House 2 Budget</t>
  </si>
  <si>
    <t>7010-0031</t>
  </si>
  <si>
    <t>Savings</t>
  </si>
  <si>
    <t>ERIP Personnel</t>
  </si>
  <si>
    <t>Early Literacy Initiatives</t>
  </si>
  <si>
    <t>$1.2 M in FY16 earmarks removed</t>
  </si>
  <si>
    <t>$225k in FY16 earmarks removed and $2.75m in expansion</t>
  </si>
  <si>
    <t>$375k in FY16 earmarks removed</t>
  </si>
  <si>
    <t xml:space="preserve">$510k in FY16 earmarks removed </t>
  </si>
  <si>
    <t>$50k in FY16 earmark removed</t>
  </si>
  <si>
    <t>$310k in FY16 earmarks removed</t>
  </si>
  <si>
    <t>Quality Kindergarten Grants (formerly Kindergarten Expansion Grants)</t>
  </si>
  <si>
    <t>FY17 House 2 and</t>
  </si>
  <si>
    <t>FY16 GAA Post 9C</t>
  </si>
  <si>
    <t>Targeted Assistance to Schools &amp; Districts</t>
  </si>
  <si>
    <t>$250k in FY16 earmark removed</t>
  </si>
  <si>
    <t>FY16 House 2 Budget Comments</t>
  </si>
  <si>
    <t>Post 9C &amp; supp.</t>
  </si>
  <si>
    <t>FY17 House Ways &amp; Means Budget</t>
  </si>
  <si>
    <t>FY17 HWM and</t>
  </si>
  <si>
    <t>FY17 House 2</t>
  </si>
  <si>
    <t>FY16 HWM Comments</t>
  </si>
  <si>
    <t>$225k in FY16 earmarks removed</t>
  </si>
  <si>
    <t>FY17 earmark of $100k for Reading Recovery</t>
  </si>
  <si>
    <t>FY17 earmark of $250k</t>
  </si>
  <si>
    <t>relief to districts impacted by change in low-income calculation</t>
  </si>
  <si>
    <t>change in funding formula</t>
  </si>
  <si>
    <t>FY17 $6.5M earmark for DDS</t>
  </si>
  <si>
    <t>FY17 earmark of $200k for JFY Network</t>
  </si>
  <si>
    <t>$310k in FY16 earmarks removed, more grant language added</t>
  </si>
  <si>
    <t>no funding for program evaluation</t>
  </si>
  <si>
    <t>Same language as FY16 GAA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</si>
</sst>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3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135">
    <xf numFmtId="0" fontId="0" fillId="0" borderId="0" xfId="0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/>
    <xf numFmtId="0" fontId="15" fillId="0" borderId="0" xfId="0" applyFo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4" fillId="0" borderId="0" xfId="0" applyFont="1"/>
    <xf numFmtId="164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Fill="1" applyBorder="1" applyAlignment="1"/>
    <xf numFmtId="3" fontId="8" fillId="0" borderId="1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10" fontId="10" fillId="0" borderId="1" xfId="2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5" fontId="4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12" fillId="0" borderId="1" xfId="1" applyNumberFormat="1" applyFont="1" applyFill="1" applyBorder="1" applyAlignment="1"/>
    <xf numFmtId="164" fontId="12" fillId="0" borderId="1" xfId="1" applyNumberFormat="1" applyFont="1" applyBorder="1"/>
    <xf numFmtId="164" fontId="8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Border="1" applyAlignment="1"/>
    <xf numFmtId="164" fontId="6" fillId="0" borderId="1" xfId="1" applyNumberFormat="1" applyFont="1" applyBorder="1" applyAlignment="1"/>
    <xf numFmtId="164" fontId="11" fillId="0" borderId="1" xfId="1" applyNumberFormat="1" applyFont="1" applyBorder="1" applyAlignme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6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8" fillId="0" borderId="1" xfId="0" applyNumberFormat="1" applyFont="1" applyFill="1" applyBorder="1"/>
    <xf numFmtId="164" fontId="3" fillId="0" borderId="1" xfId="0" applyNumberFormat="1" applyFont="1" applyFill="1" applyBorder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164" fontId="4" fillId="0" borderId="1" xfId="0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8" fillId="0" borderId="1" xfId="1" applyFont="1" applyBorder="1"/>
    <xf numFmtId="43" fontId="3" fillId="0" borderId="1" xfId="1" applyFont="1" applyFill="1" applyBorder="1"/>
    <xf numFmtId="0" fontId="1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Border="1"/>
    <xf numFmtId="0" fontId="15" fillId="0" borderId="1" xfId="0" applyFont="1" applyBorder="1"/>
    <xf numFmtId="3" fontId="7" fillId="0" borderId="1" xfId="0" applyNumberFormat="1" applyFont="1" applyFill="1" applyBorder="1" applyAlignment="1"/>
    <xf numFmtId="0" fontId="7" fillId="0" borderId="1" xfId="0" applyFont="1" applyFill="1" applyBorder="1" applyAlignment="1"/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center" wrapText="1"/>
    </xf>
    <xf numFmtId="0" fontId="3" fillId="0" borderId="0" xfId="0" applyFont="1"/>
    <xf numFmtId="0" fontId="10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3" fillId="0" borderId="0" xfId="1" applyNumberFormat="1" applyFont="1"/>
    <xf numFmtId="165" fontId="3" fillId="0" borderId="0" xfId="2" applyNumberFormat="1" applyFont="1"/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19" fillId="0" borderId="0" xfId="0" applyFont="1" applyFill="1" applyBorder="1" applyAlignment="1">
      <alignment horizontal="left" wrapText="1"/>
    </xf>
    <xf numFmtId="164" fontId="0" fillId="0" borderId="0" xfId="0" applyNumberFormat="1"/>
    <xf numFmtId="164" fontId="11" fillId="0" borderId="0" xfId="1" applyNumberFormat="1" applyFont="1" applyBorder="1" applyAlignment="1"/>
    <xf numFmtId="0" fontId="8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3" fillId="0" borderId="0" xfId="6"/>
    <xf numFmtId="0" fontId="3" fillId="0" borderId="0" xfId="6" applyFont="1"/>
    <xf numFmtId="164" fontId="3" fillId="0" borderId="0" xfId="1" applyNumberFormat="1" applyFont="1"/>
    <xf numFmtId="164" fontId="3" fillId="0" borderId="0" xfId="6" applyNumberFormat="1" applyFont="1"/>
    <xf numFmtId="0" fontId="5" fillId="0" borderId="0" xfId="6" applyFont="1"/>
    <xf numFmtId="164" fontId="17" fillId="0" borderId="1" xfId="1" applyNumberFormat="1" applyFont="1" applyFill="1" applyBorder="1" applyAlignment="1">
      <alignment horizontal="center"/>
    </xf>
    <xf numFmtId="0" fontId="3" fillId="0" borderId="0" xfId="6" applyFont="1" applyAlignment="1">
      <alignment wrapText="1"/>
    </xf>
    <xf numFmtId="0" fontId="5" fillId="0" borderId="0" xfId="6" applyFont="1" applyFill="1" applyBorder="1" applyAlignment="1"/>
    <xf numFmtId="0" fontId="5" fillId="0" borderId="0" xfId="6" applyFont="1" applyFill="1" applyAlignment="1"/>
    <xf numFmtId="0" fontId="19" fillId="0" borderId="0" xfId="6" applyFont="1" applyFill="1" applyBorder="1" applyAlignment="1">
      <alignment horizontal="left"/>
    </xf>
    <xf numFmtId="0" fontId="19" fillId="0" borderId="0" xfId="6" applyFont="1" applyFill="1" applyAlignment="1">
      <alignment horizontal="left"/>
    </xf>
    <xf numFmtId="0" fontId="19" fillId="0" borderId="0" xfId="6" applyFont="1" applyFill="1" applyBorder="1" applyAlignment="1"/>
    <xf numFmtId="0" fontId="19" fillId="0" borderId="0" xfId="6" applyFont="1" applyFill="1" applyAlignment="1"/>
    <xf numFmtId="165" fontId="3" fillId="0" borderId="0" xfId="2" applyNumberFormat="1" applyFont="1"/>
    <xf numFmtId="0" fontId="19" fillId="0" borderId="0" xfId="6" applyFont="1" applyFill="1" applyBorder="1" applyAlignment="1">
      <alignment horizontal="left" wrapText="1"/>
    </xf>
    <xf numFmtId="164" fontId="19" fillId="0" borderId="0" xfId="6" applyNumberFormat="1" applyFont="1" applyFill="1" applyBorder="1" applyAlignment="1">
      <alignment horizontal="left" wrapText="1"/>
    </xf>
    <xf numFmtId="0" fontId="22" fillId="0" borderId="0" xfId="6" applyFont="1" applyFill="1" applyAlignment="1">
      <alignment wrapText="1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4" fontId="4" fillId="0" borderId="0" xfId="1" applyNumberFormat="1" applyFont="1" applyBorder="1" applyAlignment="1"/>
    <xf numFmtId="164" fontId="6" fillId="0" borderId="0" xfId="1" applyNumberFormat="1" applyFont="1" applyBorder="1" applyAlignment="1"/>
    <xf numFmtId="164" fontId="4" fillId="0" borderId="0" xfId="0" applyNumberFormat="1" applyFont="1" applyBorder="1"/>
    <xf numFmtId="164" fontId="4" fillId="0" borderId="0" xfId="1" applyNumberFormat="1" applyFont="1" applyFill="1" applyBorder="1"/>
    <xf numFmtId="0" fontId="14" fillId="0" borderId="0" xfId="0" applyFont="1" applyFill="1" applyBorder="1" applyAlignment="1"/>
    <xf numFmtId="0" fontId="3" fillId="2" borderId="1" xfId="0" applyNumberFormat="1" applyFont="1" applyFill="1" applyBorder="1" applyAlignment="1">
      <alignment wrapText="1"/>
    </xf>
    <xf numFmtId="165" fontId="8" fillId="0" borderId="0" xfId="2" applyNumberFormat="1" applyFont="1"/>
    <xf numFmtId="10" fontId="8" fillId="0" borderId="1" xfId="2" applyNumberFormat="1" applyFont="1" applyBorder="1"/>
    <xf numFmtId="164" fontId="3" fillId="0" borderId="1" xfId="1" applyNumberFormat="1" applyFont="1" applyFill="1" applyBorder="1" applyAlignment="1">
      <alignment horizontal="center"/>
    </xf>
    <xf numFmtId="164" fontId="12" fillId="0" borderId="1" xfId="1" applyNumberFormat="1" applyFont="1" applyFill="1" applyBorder="1"/>
    <xf numFmtId="0" fontId="8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left" wrapText="1"/>
    </xf>
    <xf numFmtId="0" fontId="19" fillId="0" borderId="0" xfId="6" applyFont="1" applyFill="1" applyBorder="1" applyAlignment="1">
      <alignment horizontal="left" wrapText="1"/>
    </xf>
    <xf numFmtId="10" fontId="4" fillId="0" borderId="1" xfId="2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11">
    <cellStyle name="Comma" xfId="1" builtinId="3"/>
    <cellStyle name="Comma 2" xfId="8"/>
    <cellStyle name="Currency 2" xfId="9"/>
    <cellStyle name="Normal" xfId="0" builtinId="0"/>
    <cellStyle name="Normal 2" xfId="3"/>
    <cellStyle name="Normal 2 2" xfId="7"/>
    <cellStyle name="Normal 2_Sheet1" xfId="10"/>
    <cellStyle name="Normal 3" xfId="4"/>
    <cellStyle name="Normal 4" xfId="6"/>
    <cellStyle name="Percent" xfId="2" builtinId="5"/>
    <cellStyle name="Percent 2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R84"/>
  <sheetViews>
    <sheetView tabSelected="1" zoomScale="90" zoomScaleNormal="90" zoomScalePageLayoutView="90" workbookViewId="0">
      <pane xSplit="3" ySplit="8" topLeftCell="DW9" activePane="bottomRight" state="frozenSplit"/>
      <selection pane="topRight" activeCell="C1" sqref="C1"/>
      <selection pane="bottomLeft" activeCell="A8" sqref="A8"/>
      <selection pane="bottomRight" sqref="A1:FJ1"/>
    </sheetView>
  </sheetViews>
  <sheetFormatPr defaultColWidth="9.140625" defaultRowHeight="14.25"/>
  <cols>
    <col min="1" max="1" width="10.7109375" style="5" customWidth="1"/>
    <col min="2" max="2" width="0.42578125" style="5" customWidth="1"/>
    <col min="3" max="3" width="36" style="85" customWidth="1"/>
    <col min="4" max="4" width="22.140625" style="6" hidden="1" customWidth="1"/>
    <col min="5" max="5" width="15.85546875" style="1" hidden="1" customWidth="1"/>
    <col min="6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4" hidden="1" customWidth="1"/>
    <col min="11" max="11" width="14.28515625" style="1" hidden="1" customWidth="1"/>
    <col min="12" max="12" width="14.42578125" style="1" hidden="1" customWidth="1"/>
    <col min="13" max="13" width="15" style="1" hidden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6" width="15" style="1" hidden="1" customWidth="1"/>
    <col min="27" max="27" width="17.7109375" style="2" hidden="1" customWidth="1"/>
    <col min="28" max="29" width="15" style="1" hidden="1" customWidth="1"/>
    <col min="30" max="30" width="15" style="7" hidden="1" customWidth="1"/>
    <col min="31" max="31" width="12.85546875" style="1" hidden="1" customWidth="1"/>
    <col min="32" max="32" width="17" style="1" hidden="1" customWidth="1"/>
    <col min="33" max="34" width="15.42578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7" hidden="1" customWidth="1"/>
    <col min="40" max="41" width="20.7109375" style="7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hidden="1" customWidth="1"/>
    <col min="48" max="48" width="15" style="7" hidden="1" customWidth="1"/>
    <col min="49" max="49" width="17.7109375" style="1" hidden="1" customWidth="1"/>
    <col min="50" max="50" width="15" style="1" hidden="1" customWidth="1"/>
    <col min="51" max="51" width="15.85546875" style="7" hidden="1" customWidth="1"/>
    <col min="52" max="52" width="17.28515625" style="7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42578125" style="1" hidden="1" customWidth="1"/>
    <col min="66" max="66" width="15" style="2" hidden="1" customWidth="1"/>
    <col min="67" max="67" width="19" style="2" hidden="1" customWidth="1"/>
    <col min="68" max="68" width="15" style="2" hidden="1" customWidth="1"/>
    <col min="69" max="69" width="15.85546875" style="1" hidden="1" customWidth="1"/>
    <col min="70" max="70" width="17.28515625" style="1" hidden="1" customWidth="1"/>
    <col min="71" max="71" width="15" style="2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2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2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2" hidden="1" customWidth="1"/>
    <col min="85" max="88" width="17.7109375" style="1" hidden="1" customWidth="1"/>
    <col min="89" max="89" width="16.7109375" style="2" hidden="1" customWidth="1"/>
    <col min="90" max="91" width="14" style="1" hidden="1" customWidth="1"/>
    <col min="92" max="92" width="21.28515625" style="1" hidden="1" customWidth="1"/>
    <col min="93" max="93" width="15" style="2" hidden="1" customWidth="1"/>
    <col min="94" max="94" width="19" style="2" hidden="1" customWidth="1"/>
    <col min="95" max="95" width="19" style="1" hidden="1" customWidth="1"/>
    <col min="96" max="96" width="15" style="2" hidden="1" customWidth="1"/>
    <col min="97" max="97" width="17.28515625" style="2" hidden="1" customWidth="1"/>
    <col min="98" max="98" width="15" style="2" hidden="1" customWidth="1"/>
    <col min="99" max="99" width="20.42578125" style="1" hidden="1" customWidth="1"/>
    <col min="100" max="100" width="21.42578125" style="2" hidden="1" customWidth="1"/>
    <col min="101" max="101" width="20.42578125" style="2" hidden="1" customWidth="1"/>
    <col min="102" max="102" width="15" style="2" hidden="1" customWidth="1"/>
    <col min="103" max="103" width="20.42578125" style="1" hidden="1" customWidth="1"/>
    <col min="104" max="104" width="21.42578125" style="2" hidden="1" customWidth="1"/>
    <col min="105" max="105" width="21.85546875" style="2" hidden="1" customWidth="1"/>
    <col min="106" max="106" width="15" style="2" hidden="1" customWidth="1"/>
    <col min="107" max="107" width="18.7109375" style="1" hidden="1" customWidth="1"/>
    <col min="108" max="108" width="19.7109375" style="2" hidden="1" customWidth="1"/>
    <col min="109" max="109" width="20.28515625" style="2" hidden="1" customWidth="1"/>
    <col min="110" max="110" width="18.42578125" style="2" hidden="1" customWidth="1"/>
    <col min="111" max="111" width="15" style="2" hidden="1" customWidth="1"/>
    <col min="112" max="112" width="19.85546875" style="1" hidden="1" customWidth="1"/>
    <col min="113" max="113" width="20.7109375" style="2" hidden="1" customWidth="1"/>
    <col min="114" max="114" width="21.140625" style="2" hidden="1" customWidth="1"/>
    <col min="115" max="115" width="21.42578125" style="2" hidden="1" customWidth="1"/>
    <col min="116" max="116" width="12.140625" style="2" hidden="1" customWidth="1"/>
    <col min="117" max="118" width="15" style="2" hidden="1" customWidth="1"/>
    <col min="119" max="119" width="15.140625" style="2" hidden="1" customWidth="1"/>
    <col min="120" max="120" width="14" style="2" hidden="1" customWidth="1"/>
    <col min="121" max="122" width="15.140625" style="2" hidden="1" customWidth="1"/>
    <col min="123" max="123" width="17.7109375" style="2" hidden="1" customWidth="1"/>
    <col min="124" max="124" width="12.85546875" style="2" hidden="1" customWidth="1"/>
    <col min="125" max="125" width="15" style="2" hidden="1" customWidth="1"/>
    <col min="126" max="126" width="17.7109375" style="2" hidden="1" customWidth="1"/>
    <col min="127" max="127" width="17.7109375" style="2" customWidth="1"/>
    <col min="128" max="128" width="15" style="2" hidden="1" customWidth="1"/>
    <col min="129" max="129" width="0" style="1" hidden="1" customWidth="1"/>
    <col min="130" max="133" width="18.42578125" style="1" hidden="1" customWidth="1"/>
    <col min="134" max="134" width="34.28515625" style="72" hidden="1" customWidth="1"/>
    <col min="135" max="135" width="15" style="2" hidden="1" customWidth="1"/>
    <col min="136" max="136" width="18.42578125" style="2" hidden="1" customWidth="1"/>
    <col min="137" max="138" width="15.85546875" style="2" hidden="1" customWidth="1"/>
    <col min="139" max="139" width="15" style="2" hidden="1" customWidth="1"/>
    <col min="140" max="140" width="18.42578125" style="2" hidden="1" customWidth="1"/>
    <col min="141" max="142" width="15.85546875" style="2" hidden="1" customWidth="1"/>
    <col min="143" max="143" width="15" style="2" hidden="1" customWidth="1"/>
    <col min="144" max="144" width="17.85546875" style="2" hidden="1" customWidth="1"/>
    <col min="145" max="145" width="15.85546875" style="2" hidden="1" customWidth="1"/>
    <col min="146" max="147" width="16.7109375" style="2" hidden="1" customWidth="1"/>
    <col min="148" max="148" width="15" style="2" hidden="1" customWidth="1"/>
    <col min="149" max="149" width="17.85546875" style="2" hidden="1" customWidth="1"/>
    <col min="150" max="150" width="17.42578125" style="2" hidden="1" customWidth="1"/>
    <col min="151" max="151" width="17.28515625" style="2" hidden="1" customWidth="1"/>
    <col min="152" max="152" width="17.7109375" style="2" hidden="1" customWidth="1"/>
    <col min="153" max="153" width="15" style="2" hidden="1" customWidth="1"/>
    <col min="154" max="154" width="20.140625" style="2" hidden="1" customWidth="1"/>
    <col min="155" max="155" width="21.28515625" style="2" hidden="1" customWidth="1"/>
    <col min="156" max="156" width="16.42578125" style="2" hidden="1" customWidth="1"/>
    <col min="157" max="157" width="15.7109375" style="2" hidden="1" customWidth="1"/>
    <col min="158" max="158" width="17.85546875" style="2" hidden="1" customWidth="1"/>
    <col min="159" max="159" width="11.140625" style="2" hidden="1" customWidth="1"/>
    <col min="160" max="160" width="16.42578125" style="2" hidden="1" customWidth="1"/>
    <col min="161" max="161" width="15.7109375" style="2" hidden="1" customWidth="1"/>
    <col min="162" max="162" width="11.7109375" style="2" hidden="1" customWidth="1"/>
    <col min="163" max="163" width="15" style="2" bestFit="1" customWidth="1"/>
    <col min="164" max="164" width="16.140625" style="2" bestFit="1" customWidth="1"/>
    <col min="165" max="165" width="17.85546875" style="2" hidden="1" customWidth="1"/>
    <col min="166" max="166" width="53.85546875" style="2" hidden="1" customWidth="1"/>
    <col min="167" max="167" width="15" style="2" bestFit="1" customWidth="1"/>
    <col min="168" max="168" width="17.85546875" style="2" bestFit="1" customWidth="1"/>
    <col min="169" max="169" width="15.7109375" style="2" bestFit="1" customWidth="1"/>
    <col min="170" max="170" width="58.140625" style="2" bestFit="1" customWidth="1"/>
    <col min="171" max="172" width="13.7109375" style="1" customWidth="1"/>
    <col min="173" max="174" width="20" style="1" customWidth="1"/>
    <col min="175" max="175" width="12.140625" style="1" customWidth="1"/>
    <col min="176" max="16384" width="9.140625" style="1"/>
  </cols>
  <sheetData>
    <row r="1" spans="1:174" ht="17.25" customHeight="1">
      <c r="A1" s="134" t="s">
        <v>51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29"/>
      <c r="FL1" s="126"/>
      <c r="FM1" s="126"/>
      <c r="FN1" s="127"/>
      <c r="FO1" s="118"/>
      <c r="FP1" s="118"/>
    </row>
    <row r="2" spans="1:174" ht="18" customHeight="1">
      <c r="A2" s="134" t="s">
        <v>324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29"/>
      <c r="FL2" s="126"/>
      <c r="FM2" s="126"/>
      <c r="FN2" s="127"/>
      <c r="FO2" s="118"/>
      <c r="FP2" s="118"/>
    </row>
    <row r="3" spans="1:174" ht="5.25" hidden="1" customHeight="1">
      <c r="A3" s="54"/>
      <c r="B3" s="54"/>
      <c r="C3" s="80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5"/>
      <c r="CY3" s="55"/>
      <c r="CZ3" s="55"/>
      <c r="DA3" s="55"/>
      <c r="DB3" s="56"/>
      <c r="DC3" s="56"/>
      <c r="DD3" s="56"/>
      <c r="DE3" s="56"/>
      <c r="DF3" s="56"/>
      <c r="DG3" s="59"/>
      <c r="DH3" s="59"/>
      <c r="DI3" s="59"/>
      <c r="DJ3" s="59"/>
      <c r="DK3" s="59"/>
      <c r="DL3" s="62"/>
      <c r="DM3" s="62"/>
      <c r="DN3" s="63"/>
      <c r="DO3" s="62"/>
      <c r="DP3" s="65"/>
      <c r="DQ3" s="65"/>
      <c r="DR3" s="65"/>
      <c r="DS3" s="65"/>
      <c r="DT3" s="66"/>
      <c r="DU3" s="66"/>
      <c r="DV3" s="66"/>
      <c r="DW3" s="77"/>
      <c r="DX3" s="66"/>
    </row>
    <row r="4" spans="1:174" ht="15">
      <c r="A4" s="39"/>
      <c r="B4" s="39"/>
      <c r="C4" s="81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40"/>
      <c r="AH4" s="40"/>
      <c r="AI4" s="40"/>
      <c r="AJ4" s="40"/>
      <c r="AK4" s="40"/>
      <c r="AL4" s="40"/>
      <c r="AM4" s="39"/>
      <c r="AN4" s="39"/>
      <c r="AO4" s="39"/>
      <c r="AP4" s="41"/>
      <c r="AQ4" s="41"/>
      <c r="AR4" s="41"/>
      <c r="AS4" s="41"/>
      <c r="AT4" s="41"/>
      <c r="AU4" s="41"/>
      <c r="AV4" s="39"/>
      <c r="AW4" s="41"/>
      <c r="AX4" s="40"/>
      <c r="AY4" s="39"/>
      <c r="AZ4" s="39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</row>
    <row r="5" spans="1:174" ht="12.75">
      <c r="A5" s="10"/>
      <c r="B5" s="10"/>
      <c r="C5" s="82"/>
      <c r="D5" s="11"/>
      <c r="E5" s="9"/>
      <c r="F5" s="9"/>
      <c r="G5" s="12" t="s">
        <v>52</v>
      </c>
      <c r="H5" s="12"/>
      <c r="I5" s="12" t="s">
        <v>58</v>
      </c>
      <c r="J5" s="133"/>
      <c r="K5" s="133"/>
      <c r="L5" s="133"/>
      <c r="M5" s="13"/>
      <c r="N5" s="14"/>
      <c r="O5" s="14"/>
      <c r="P5" s="14"/>
      <c r="Q5" s="14"/>
      <c r="R5" s="14" t="s">
        <v>79</v>
      </c>
      <c r="S5" s="14" t="s">
        <v>81</v>
      </c>
      <c r="T5" s="14" t="s">
        <v>89</v>
      </c>
      <c r="U5" s="15" t="s">
        <v>86</v>
      </c>
      <c r="V5" s="14" t="s">
        <v>74</v>
      </c>
      <c r="W5" s="16"/>
      <c r="X5" s="16"/>
      <c r="Y5" s="16"/>
      <c r="Z5" s="16"/>
      <c r="AA5" s="64" t="s">
        <v>104</v>
      </c>
      <c r="AB5" s="17"/>
      <c r="AC5" s="17"/>
      <c r="AD5" s="17"/>
      <c r="AE5" s="14" t="s">
        <v>111</v>
      </c>
      <c r="AF5" s="14" t="s">
        <v>111</v>
      </c>
      <c r="AG5" s="14" t="s">
        <v>104</v>
      </c>
      <c r="AH5" s="14"/>
      <c r="AI5" s="14"/>
      <c r="AJ5" s="14" t="s">
        <v>121</v>
      </c>
      <c r="AK5" s="14" t="s">
        <v>121</v>
      </c>
      <c r="AL5" s="14" t="s">
        <v>121</v>
      </c>
      <c r="AM5" s="12" t="s">
        <v>121</v>
      </c>
      <c r="AN5" s="12" t="s">
        <v>121</v>
      </c>
      <c r="AO5" s="12" t="s">
        <v>121</v>
      </c>
      <c r="AP5" s="12"/>
      <c r="AQ5" s="12" t="s">
        <v>121</v>
      </c>
      <c r="AR5" s="12" t="s">
        <v>135</v>
      </c>
      <c r="AS5" s="12" t="s">
        <v>121</v>
      </c>
      <c r="AT5" s="12"/>
      <c r="AU5" s="12"/>
      <c r="AV5" s="12"/>
      <c r="AW5" s="12"/>
      <c r="AX5" s="17"/>
      <c r="AY5" s="12" t="s">
        <v>104</v>
      </c>
      <c r="AZ5" s="12" t="s">
        <v>104</v>
      </c>
      <c r="BA5" s="17"/>
      <c r="BB5" s="12" t="s">
        <v>104</v>
      </c>
      <c r="BC5" s="12" t="s">
        <v>104</v>
      </c>
      <c r="BD5" s="12" t="s">
        <v>104</v>
      </c>
      <c r="BE5" s="17"/>
      <c r="BF5" s="17"/>
      <c r="BG5" s="17"/>
      <c r="BH5" s="12" t="s">
        <v>104</v>
      </c>
      <c r="BI5" s="12" t="s">
        <v>104</v>
      </c>
      <c r="BJ5" s="12" t="s">
        <v>104</v>
      </c>
      <c r="BK5" s="12" t="s">
        <v>104</v>
      </c>
      <c r="BL5" s="17"/>
      <c r="BM5" s="17"/>
      <c r="BN5" s="30"/>
      <c r="BO5" s="30"/>
      <c r="BP5" s="31"/>
      <c r="BQ5" s="12" t="s">
        <v>104</v>
      </c>
      <c r="BR5" s="12" t="s">
        <v>104</v>
      </c>
      <c r="BS5" s="31"/>
      <c r="BT5" s="12" t="s">
        <v>104</v>
      </c>
      <c r="BU5" s="12" t="s">
        <v>104</v>
      </c>
      <c r="BV5" s="12" t="s">
        <v>104</v>
      </c>
      <c r="BW5" s="31"/>
      <c r="BX5" s="12" t="s">
        <v>104</v>
      </c>
      <c r="BY5" s="12" t="s">
        <v>104</v>
      </c>
      <c r="BZ5" s="12" t="s">
        <v>104</v>
      </c>
      <c r="CA5" s="31"/>
      <c r="CB5" s="12" t="s">
        <v>104</v>
      </c>
      <c r="CC5" s="12" t="s">
        <v>104</v>
      </c>
      <c r="CD5" s="12" t="s">
        <v>104</v>
      </c>
      <c r="CE5" s="12" t="s">
        <v>104</v>
      </c>
      <c r="CF5" s="31"/>
      <c r="CG5" s="12" t="s">
        <v>104</v>
      </c>
      <c r="CH5" s="12" t="s">
        <v>104</v>
      </c>
      <c r="CI5" s="12" t="s">
        <v>104</v>
      </c>
      <c r="CJ5" s="12" t="s">
        <v>104</v>
      </c>
      <c r="CK5" s="31"/>
      <c r="CL5" s="12" t="s">
        <v>104</v>
      </c>
      <c r="CM5" s="12" t="s">
        <v>104</v>
      </c>
      <c r="CN5" s="50" t="s">
        <v>121</v>
      </c>
      <c r="CO5" s="31"/>
      <c r="CP5" s="31"/>
      <c r="CQ5" s="9"/>
      <c r="CR5" s="31"/>
      <c r="CS5" s="31"/>
      <c r="CT5" s="31"/>
      <c r="CU5" s="9"/>
      <c r="CV5" s="31"/>
      <c r="CW5" s="31"/>
      <c r="CX5" s="31"/>
      <c r="CY5" s="9"/>
      <c r="CZ5" s="31"/>
      <c r="DA5" s="31"/>
      <c r="DB5" s="31"/>
      <c r="DC5" s="9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9"/>
      <c r="DZ5" s="9"/>
      <c r="EA5" s="9"/>
      <c r="EB5" s="9"/>
      <c r="EC5" s="9"/>
      <c r="ED5" s="73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44"/>
      <c r="FK5" s="44"/>
      <c r="FL5" s="44"/>
      <c r="FM5" s="44"/>
      <c r="FN5" s="44"/>
      <c r="FO5" s="9"/>
    </row>
    <row r="6" spans="1:174" ht="12.75">
      <c r="A6" s="18"/>
      <c r="B6" s="132"/>
      <c r="C6" s="82"/>
      <c r="D6" s="19" t="s">
        <v>95</v>
      </c>
      <c r="E6" s="12" t="s">
        <v>44</v>
      </c>
      <c r="F6" s="14" t="s">
        <v>41</v>
      </c>
      <c r="G6" s="12" t="s">
        <v>53</v>
      </c>
      <c r="H6" s="12" t="s">
        <v>54</v>
      </c>
      <c r="I6" s="12" t="s">
        <v>56</v>
      </c>
      <c r="J6" s="12" t="s">
        <v>54</v>
      </c>
      <c r="K6" s="76"/>
      <c r="L6" s="76" t="s">
        <v>65</v>
      </c>
      <c r="M6" s="13" t="s">
        <v>56</v>
      </c>
      <c r="N6" s="14" t="s">
        <v>54</v>
      </c>
      <c r="O6" s="14" t="s">
        <v>68</v>
      </c>
      <c r="P6" s="14" t="s">
        <v>72</v>
      </c>
      <c r="Q6" s="14" t="s">
        <v>76</v>
      </c>
      <c r="R6" s="14" t="s">
        <v>80</v>
      </c>
      <c r="S6" s="14" t="s">
        <v>84</v>
      </c>
      <c r="T6" s="14" t="s">
        <v>90</v>
      </c>
      <c r="U6" s="15" t="s">
        <v>85</v>
      </c>
      <c r="V6" s="14" t="s">
        <v>75</v>
      </c>
      <c r="W6" s="14" t="s">
        <v>67</v>
      </c>
      <c r="X6" s="14" t="s">
        <v>67</v>
      </c>
      <c r="Y6" s="14" t="s">
        <v>67</v>
      </c>
      <c r="Z6" s="14" t="s">
        <v>54</v>
      </c>
      <c r="AA6" s="64" t="s">
        <v>105</v>
      </c>
      <c r="AB6" s="14" t="s">
        <v>96</v>
      </c>
      <c r="AC6" s="14" t="s">
        <v>96</v>
      </c>
      <c r="AD6" s="14" t="s">
        <v>96</v>
      </c>
      <c r="AE6" s="14" t="s">
        <v>112</v>
      </c>
      <c r="AF6" s="14" t="s">
        <v>113</v>
      </c>
      <c r="AG6" s="14" t="s">
        <v>114</v>
      </c>
      <c r="AH6" s="14" t="s">
        <v>96</v>
      </c>
      <c r="AI6" s="14" t="s">
        <v>96</v>
      </c>
      <c r="AJ6" s="14" t="s">
        <v>126</v>
      </c>
      <c r="AK6" s="14" t="s">
        <v>122</v>
      </c>
      <c r="AL6" s="14" t="s">
        <v>122</v>
      </c>
      <c r="AM6" s="14" t="s">
        <v>126</v>
      </c>
      <c r="AN6" s="14" t="s">
        <v>122</v>
      </c>
      <c r="AO6" s="14" t="s">
        <v>122</v>
      </c>
      <c r="AP6" s="14" t="s">
        <v>96</v>
      </c>
      <c r="AQ6" s="14" t="s">
        <v>126</v>
      </c>
      <c r="AR6" s="14" t="s">
        <v>136</v>
      </c>
      <c r="AS6" s="14" t="s">
        <v>126</v>
      </c>
      <c r="AT6" s="14" t="s">
        <v>96</v>
      </c>
      <c r="AU6" s="14" t="s">
        <v>96</v>
      </c>
      <c r="AV6" s="14" t="s">
        <v>54</v>
      </c>
      <c r="AW6" s="14" t="s">
        <v>121</v>
      </c>
      <c r="AX6" s="14" t="s">
        <v>144</v>
      </c>
      <c r="AY6" s="14" t="s">
        <v>105</v>
      </c>
      <c r="AZ6" s="14" t="s">
        <v>105</v>
      </c>
      <c r="BA6" s="14" t="s">
        <v>144</v>
      </c>
      <c r="BB6" s="14" t="s">
        <v>105</v>
      </c>
      <c r="BC6" s="14" t="s">
        <v>105</v>
      </c>
      <c r="BD6" s="14" t="s">
        <v>105</v>
      </c>
      <c r="BE6" s="14" t="s">
        <v>144</v>
      </c>
      <c r="BF6" s="14" t="s">
        <v>144</v>
      </c>
      <c r="BG6" s="14" t="s">
        <v>144</v>
      </c>
      <c r="BH6" s="14" t="s">
        <v>105</v>
      </c>
      <c r="BI6" s="14" t="s">
        <v>105</v>
      </c>
      <c r="BJ6" s="14" t="s">
        <v>105</v>
      </c>
      <c r="BK6" s="14" t="s">
        <v>105</v>
      </c>
      <c r="BL6" s="14" t="s">
        <v>144</v>
      </c>
      <c r="BM6" s="14" t="s">
        <v>144</v>
      </c>
      <c r="BN6" s="64" t="s">
        <v>54</v>
      </c>
      <c r="BO6" s="64" t="s">
        <v>121</v>
      </c>
      <c r="BP6" s="64" t="s">
        <v>177</v>
      </c>
      <c r="BQ6" s="14" t="s">
        <v>105</v>
      </c>
      <c r="BR6" s="14" t="s">
        <v>105</v>
      </c>
      <c r="BS6" s="64" t="s">
        <v>177</v>
      </c>
      <c r="BT6" s="14" t="s">
        <v>105</v>
      </c>
      <c r="BU6" s="14" t="s">
        <v>105</v>
      </c>
      <c r="BV6" s="14" t="s">
        <v>105</v>
      </c>
      <c r="BW6" s="64" t="s">
        <v>177</v>
      </c>
      <c r="BX6" s="14" t="s">
        <v>105</v>
      </c>
      <c r="BY6" s="14" t="s">
        <v>105</v>
      </c>
      <c r="BZ6" s="14" t="s">
        <v>105</v>
      </c>
      <c r="CA6" s="64" t="s">
        <v>177</v>
      </c>
      <c r="CB6" s="14" t="s">
        <v>105</v>
      </c>
      <c r="CC6" s="14" t="s">
        <v>105</v>
      </c>
      <c r="CD6" s="14" t="s">
        <v>105</v>
      </c>
      <c r="CE6" s="14" t="s">
        <v>105</v>
      </c>
      <c r="CF6" s="64" t="s">
        <v>177</v>
      </c>
      <c r="CG6" s="14" t="s">
        <v>105</v>
      </c>
      <c r="CH6" s="14" t="s">
        <v>105</v>
      </c>
      <c r="CI6" s="14" t="s">
        <v>105</v>
      </c>
      <c r="CJ6" s="14" t="s">
        <v>105</v>
      </c>
      <c r="CK6" s="64" t="s">
        <v>177</v>
      </c>
      <c r="CL6" s="14" t="s">
        <v>105</v>
      </c>
      <c r="CM6" s="14" t="s">
        <v>105</v>
      </c>
      <c r="CN6" s="51" t="s">
        <v>205</v>
      </c>
      <c r="CO6" s="64" t="s">
        <v>54</v>
      </c>
      <c r="CP6" s="64" t="s">
        <v>121</v>
      </c>
      <c r="CQ6" s="64" t="s">
        <v>121</v>
      </c>
      <c r="CR6" s="64" t="s">
        <v>207</v>
      </c>
      <c r="CS6" s="64" t="s">
        <v>207</v>
      </c>
      <c r="CT6" s="64" t="s">
        <v>207</v>
      </c>
      <c r="CU6" s="64" t="s">
        <v>121</v>
      </c>
      <c r="CV6" s="64" t="s">
        <v>121</v>
      </c>
      <c r="CW6" s="64" t="s">
        <v>121</v>
      </c>
      <c r="CX6" s="64" t="s">
        <v>207</v>
      </c>
      <c r="CY6" s="64" t="s">
        <v>121</v>
      </c>
      <c r="CZ6" s="64" t="s">
        <v>121</v>
      </c>
      <c r="DA6" s="64" t="s">
        <v>121</v>
      </c>
      <c r="DB6" s="64" t="s">
        <v>207</v>
      </c>
      <c r="DC6" s="52" t="s">
        <v>121</v>
      </c>
      <c r="DD6" s="52" t="s">
        <v>121</v>
      </c>
      <c r="DE6" s="52" t="s">
        <v>121</v>
      </c>
      <c r="DF6" s="52" t="s">
        <v>121</v>
      </c>
      <c r="DG6" s="64" t="s">
        <v>207</v>
      </c>
      <c r="DH6" s="52" t="s">
        <v>121</v>
      </c>
      <c r="DI6" s="52" t="s">
        <v>121</v>
      </c>
      <c r="DJ6" s="52" t="s">
        <v>121</v>
      </c>
      <c r="DK6" s="52" t="s">
        <v>121</v>
      </c>
      <c r="DL6" s="64" t="s">
        <v>207</v>
      </c>
      <c r="DM6" s="64" t="s">
        <v>207</v>
      </c>
      <c r="DN6" s="64" t="s">
        <v>207</v>
      </c>
      <c r="DO6" s="64" t="s">
        <v>240</v>
      </c>
      <c r="DP6" s="64" t="s">
        <v>207</v>
      </c>
      <c r="DQ6" s="64" t="s">
        <v>253</v>
      </c>
      <c r="DR6" s="64" t="s">
        <v>207</v>
      </c>
      <c r="DS6" s="64" t="s">
        <v>250</v>
      </c>
      <c r="DT6" s="64" t="s">
        <v>252</v>
      </c>
      <c r="DU6" s="64" t="s">
        <v>207</v>
      </c>
      <c r="DV6" s="64" t="s">
        <v>250</v>
      </c>
      <c r="DW6" s="64" t="s">
        <v>207</v>
      </c>
      <c r="DX6" s="64" t="s">
        <v>255</v>
      </c>
      <c r="DY6" s="9"/>
      <c r="DZ6" s="64" t="s">
        <v>250</v>
      </c>
      <c r="EA6" s="64" t="s">
        <v>265</v>
      </c>
      <c r="EB6" s="64" t="s">
        <v>250</v>
      </c>
      <c r="EC6" s="64" t="s">
        <v>250</v>
      </c>
      <c r="ED6" s="73"/>
      <c r="EE6" s="64" t="s">
        <v>265</v>
      </c>
      <c r="EF6" s="64" t="s">
        <v>250</v>
      </c>
      <c r="EG6" s="64" t="s">
        <v>250</v>
      </c>
      <c r="EH6" s="64" t="s">
        <v>250</v>
      </c>
      <c r="EI6" s="64" t="s">
        <v>265</v>
      </c>
      <c r="EJ6" s="64" t="s">
        <v>250</v>
      </c>
      <c r="EK6" s="64" t="s">
        <v>250</v>
      </c>
      <c r="EL6" s="64" t="s">
        <v>250</v>
      </c>
      <c r="EM6" s="64" t="s">
        <v>265</v>
      </c>
      <c r="EN6" s="52" t="s">
        <v>250</v>
      </c>
      <c r="EO6" s="52" t="s">
        <v>250</v>
      </c>
      <c r="EP6" s="52" t="s">
        <v>250</v>
      </c>
      <c r="EQ6" s="52" t="s">
        <v>250</v>
      </c>
      <c r="ER6" s="64" t="s">
        <v>265</v>
      </c>
      <c r="ES6" s="52" t="s">
        <v>250</v>
      </c>
      <c r="ET6" s="52" t="s">
        <v>250</v>
      </c>
      <c r="EU6" s="52" t="s">
        <v>250</v>
      </c>
      <c r="EV6" s="52" t="s">
        <v>250</v>
      </c>
      <c r="EW6" s="64" t="s">
        <v>265</v>
      </c>
      <c r="EX6" s="52" t="s">
        <v>250</v>
      </c>
      <c r="EY6" s="52" t="s">
        <v>250</v>
      </c>
      <c r="EZ6" s="52"/>
      <c r="FA6" s="64" t="s">
        <v>265</v>
      </c>
      <c r="FB6" s="52" t="s">
        <v>250</v>
      </c>
      <c r="FC6" s="96" t="s">
        <v>265</v>
      </c>
      <c r="FD6" s="96" t="s">
        <v>265</v>
      </c>
      <c r="FE6" s="96" t="s">
        <v>265</v>
      </c>
      <c r="FF6" s="96" t="s">
        <v>265</v>
      </c>
      <c r="FG6" s="96" t="s">
        <v>265</v>
      </c>
      <c r="FH6" s="96" t="s">
        <v>305</v>
      </c>
      <c r="FI6" s="96" t="s">
        <v>240</v>
      </c>
      <c r="FJ6" s="128" t="s">
        <v>322</v>
      </c>
      <c r="FK6" s="64" t="s">
        <v>255</v>
      </c>
      <c r="FL6" s="96" t="s">
        <v>240</v>
      </c>
      <c r="FM6" s="96" t="s">
        <v>240</v>
      </c>
      <c r="FN6" s="96" t="s">
        <v>327</v>
      </c>
      <c r="FO6" s="9"/>
    </row>
    <row r="7" spans="1:174" ht="12.75">
      <c r="A7" s="20" t="s">
        <v>0</v>
      </c>
      <c r="B7" s="132"/>
      <c r="C7" s="82" t="s">
        <v>47</v>
      </c>
      <c r="D7" s="19" t="s">
        <v>70</v>
      </c>
      <c r="E7" s="12" t="s">
        <v>45</v>
      </c>
      <c r="F7" s="14" t="s">
        <v>98</v>
      </c>
      <c r="G7" s="12" t="s">
        <v>48</v>
      </c>
      <c r="H7" s="12" t="s">
        <v>55</v>
      </c>
      <c r="I7" s="12" t="s">
        <v>57</v>
      </c>
      <c r="J7" s="12" t="s">
        <v>62</v>
      </c>
      <c r="K7" s="76" t="s">
        <v>64</v>
      </c>
      <c r="L7" s="76" t="s">
        <v>66</v>
      </c>
      <c r="M7" s="13" t="s">
        <v>61</v>
      </c>
      <c r="N7" s="14" t="s">
        <v>67</v>
      </c>
      <c r="O7" s="14" t="s">
        <v>69</v>
      </c>
      <c r="P7" s="14" t="s">
        <v>67</v>
      </c>
      <c r="Q7" s="14" t="s">
        <v>77</v>
      </c>
      <c r="R7" s="14" t="s">
        <v>67</v>
      </c>
      <c r="S7" s="14" t="s">
        <v>82</v>
      </c>
      <c r="T7" s="14" t="s">
        <v>91</v>
      </c>
      <c r="U7" s="15" t="s">
        <v>87</v>
      </c>
      <c r="V7" s="14" t="s">
        <v>93</v>
      </c>
      <c r="W7" s="14" t="s">
        <v>100</v>
      </c>
      <c r="X7" s="14" t="s">
        <v>108</v>
      </c>
      <c r="Y7" s="14" t="s">
        <v>72</v>
      </c>
      <c r="Z7" s="14" t="s">
        <v>96</v>
      </c>
      <c r="AA7" s="64" t="s">
        <v>106</v>
      </c>
      <c r="AB7" s="14" t="s">
        <v>103</v>
      </c>
      <c r="AC7" s="14" t="s">
        <v>137</v>
      </c>
      <c r="AD7" s="14" t="s">
        <v>120</v>
      </c>
      <c r="AE7" s="12" t="s">
        <v>115</v>
      </c>
      <c r="AF7" s="14" t="s">
        <v>117</v>
      </c>
      <c r="AG7" s="14" t="s">
        <v>118</v>
      </c>
      <c r="AH7" s="14" t="s">
        <v>128</v>
      </c>
      <c r="AI7" s="14" t="s">
        <v>79</v>
      </c>
      <c r="AJ7" s="14" t="s">
        <v>127</v>
      </c>
      <c r="AK7" s="14" t="s">
        <v>123</v>
      </c>
      <c r="AL7" s="14" t="s">
        <v>119</v>
      </c>
      <c r="AM7" s="14" t="s">
        <v>127</v>
      </c>
      <c r="AN7" s="14" t="s">
        <v>123</v>
      </c>
      <c r="AO7" s="14" t="s">
        <v>119</v>
      </c>
      <c r="AP7" s="14" t="s">
        <v>141</v>
      </c>
      <c r="AQ7" s="14" t="s">
        <v>133</v>
      </c>
      <c r="AR7" s="14" t="s">
        <v>131</v>
      </c>
      <c r="AS7" s="14" t="s">
        <v>142</v>
      </c>
      <c r="AT7" s="14" t="s">
        <v>108</v>
      </c>
      <c r="AU7" s="14" t="s">
        <v>72</v>
      </c>
      <c r="AV7" s="14" t="s">
        <v>144</v>
      </c>
      <c r="AW7" s="14" t="s">
        <v>148</v>
      </c>
      <c r="AX7" s="14" t="s">
        <v>103</v>
      </c>
      <c r="AY7" s="14" t="s">
        <v>151</v>
      </c>
      <c r="AZ7" s="14" t="s">
        <v>153</v>
      </c>
      <c r="BA7" s="14" t="s">
        <v>137</v>
      </c>
      <c r="BB7" s="14" t="s">
        <v>151</v>
      </c>
      <c r="BC7" s="14" t="s">
        <v>165</v>
      </c>
      <c r="BD7" s="14" t="s">
        <v>167</v>
      </c>
      <c r="BE7" s="14" t="s">
        <v>128</v>
      </c>
      <c r="BF7" s="14" t="s">
        <v>79</v>
      </c>
      <c r="BG7" s="14" t="s">
        <v>174</v>
      </c>
      <c r="BH7" s="64" t="s">
        <v>175</v>
      </c>
      <c r="BI7" s="43" t="s">
        <v>170</v>
      </c>
      <c r="BJ7" s="64" t="s">
        <v>170</v>
      </c>
      <c r="BK7" s="64" t="s">
        <v>170</v>
      </c>
      <c r="BL7" s="14" t="s">
        <v>176</v>
      </c>
      <c r="BM7" s="64" t="s">
        <v>244</v>
      </c>
      <c r="BN7" s="64" t="s">
        <v>177</v>
      </c>
      <c r="BO7" s="64" t="s">
        <v>178</v>
      </c>
      <c r="BP7" s="64" t="s">
        <v>103</v>
      </c>
      <c r="BQ7" s="14" t="s">
        <v>186</v>
      </c>
      <c r="BR7" s="14" t="s">
        <v>188</v>
      </c>
      <c r="BS7" s="64" t="s">
        <v>137</v>
      </c>
      <c r="BT7" s="14" t="s">
        <v>186</v>
      </c>
      <c r="BU7" s="14" t="s">
        <v>188</v>
      </c>
      <c r="BV7" s="14" t="s">
        <v>192</v>
      </c>
      <c r="BW7" s="64" t="s">
        <v>120</v>
      </c>
      <c r="BX7" s="14" t="s">
        <v>186</v>
      </c>
      <c r="BY7" s="14" t="s">
        <v>188</v>
      </c>
      <c r="BZ7" s="14" t="s">
        <v>194</v>
      </c>
      <c r="CA7" s="64" t="s">
        <v>128</v>
      </c>
      <c r="CB7" s="14" t="s">
        <v>186</v>
      </c>
      <c r="CC7" s="14" t="s">
        <v>188</v>
      </c>
      <c r="CD7" s="14" t="s">
        <v>194</v>
      </c>
      <c r="CE7" s="14" t="s">
        <v>196</v>
      </c>
      <c r="CF7" s="64" t="s">
        <v>198</v>
      </c>
      <c r="CG7" s="14" t="s">
        <v>186</v>
      </c>
      <c r="CH7" s="14" t="s">
        <v>188</v>
      </c>
      <c r="CI7" s="14" t="s">
        <v>194</v>
      </c>
      <c r="CJ7" s="14" t="s">
        <v>197</v>
      </c>
      <c r="CK7" s="64" t="s">
        <v>141</v>
      </c>
      <c r="CL7" s="14" t="s">
        <v>186</v>
      </c>
      <c r="CM7" s="14" t="s">
        <v>203</v>
      </c>
      <c r="CN7" s="51" t="s">
        <v>132</v>
      </c>
      <c r="CO7" s="64" t="s">
        <v>207</v>
      </c>
      <c r="CP7" s="64" t="s">
        <v>210</v>
      </c>
      <c r="CQ7" s="64" t="s">
        <v>210</v>
      </c>
      <c r="CR7" s="64" t="s">
        <v>103</v>
      </c>
      <c r="CS7" s="64" t="s">
        <v>215</v>
      </c>
      <c r="CT7" s="64" t="s">
        <v>217</v>
      </c>
      <c r="CU7" s="64" t="s">
        <v>218</v>
      </c>
      <c r="CV7" s="64" t="s">
        <v>220</v>
      </c>
      <c r="CW7" s="64" t="s">
        <v>218</v>
      </c>
      <c r="CX7" s="64" t="s">
        <v>120</v>
      </c>
      <c r="CY7" s="64" t="s">
        <v>223</v>
      </c>
      <c r="CZ7" s="64" t="s">
        <v>224</v>
      </c>
      <c r="DA7" s="64" t="s">
        <v>223</v>
      </c>
      <c r="DB7" s="64" t="s">
        <v>128</v>
      </c>
      <c r="DC7" s="52" t="s">
        <v>230</v>
      </c>
      <c r="DD7" s="52" t="s">
        <v>231</v>
      </c>
      <c r="DE7" s="52" t="s">
        <v>230</v>
      </c>
      <c r="DF7" s="52" t="s">
        <v>230</v>
      </c>
      <c r="DG7" s="64" t="s">
        <v>233</v>
      </c>
      <c r="DH7" s="52" t="s">
        <v>238</v>
      </c>
      <c r="DI7" s="52" t="s">
        <v>238</v>
      </c>
      <c r="DJ7" s="52" t="s">
        <v>238</v>
      </c>
      <c r="DK7" s="52" t="s">
        <v>238</v>
      </c>
      <c r="DL7" s="64" t="s">
        <v>242</v>
      </c>
      <c r="DM7" s="64" t="s">
        <v>70</v>
      </c>
      <c r="DN7" s="64" t="s">
        <v>244</v>
      </c>
      <c r="DO7" s="64" t="s">
        <v>241</v>
      </c>
      <c r="DP7" s="64" t="s">
        <v>248</v>
      </c>
      <c r="DQ7" s="64" t="s">
        <v>176</v>
      </c>
      <c r="DR7" s="64" t="s">
        <v>244</v>
      </c>
      <c r="DS7" s="64" t="s">
        <v>241</v>
      </c>
      <c r="DT7" s="64" t="s">
        <v>176</v>
      </c>
      <c r="DU7" s="64" t="s">
        <v>244</v>
      </c>
      <c r="DV7" s="64" t="s">
        <v>241</v>
      </c>
      <c r="DW7" s="64" t="s">
        <v>244</v>
      </c>
      <c r="DX7" s="64" t="s">
        <v>101</v>
      </c>
      <c r="DY7" s="9"/>
      <c r="DZ7" s="64" t="s">
        <v>256</v>
      </c>
      <c r="EA7" s="64" t="s">
        <v>103</v>
      </c>
      <c r="EB7" s="64" t="s">
        <v>266</v>
      </c>
      <c r="EC7" s="64" t="s">
        <v>266</v>
      </c>
      <c r="ED7" s="74" t="s">
        <v>262</v>
      </c>
      <c r="EE7" s="64" t="s">
        <v>217</v>
      </c>
      <c r="EF7" s="64" t="s">
        <v>272</v>
      </c>
      <c r="EG7" s="64" t="s">
        <v>272</v>
      </c>
      <c r="EH7" s="64" t="s">
        <v>272</v>
      </c>
      <c r="EI7" s="64" t="s">
        <v>120</v>
      </c>
      <c r="EJ7" s="64" t="s">
        <v>274</v>
      </c>
      <c r="EK7" s="64" t="s">
        <v>274</v>
      </c>
      <c r="EL7" s="64" t="s">
        <v>274</v>
      </c>
      <c r="EM7" s="64" t="s">
        <v>128</v>
      </c>
      <c r="EN7" s="52" t="s">
        <v>281</v>
      </c>
      <c r="EO7" s="52" t="s">
        <v>281</v>
      </c>
      <c r="EP7" s="52" t="s">
        <v>281</v>
      </c>
      <c r="EQ7" s="52" t="s">
        <v>281</v>
      </c>
      <c r="ER7" s="64" t="s">
        <v>198</v>
      </c>
      <c r="ES7" s="52" t="s">
        <v>283</v>
      </c>
      <c r="ET7" s="52" t="s">
        <v>288</v>
      </c>
      <c r="EU7" s="52" t="s">
        <v>288</v>
      </c>
      <c r="EV7" s="52" t="s">
        <v>285</v>
      </c>
      <c r="EW7" s="64" t="s">
        <v>244</v>
      </c>
      <c r="EX7" s="52" t="s">
        <v>294</v>
      </c>
      <c r="EY7" s="52" t="s">
        <v>294</v>
      </c>
      <c r="EZ7" s="52" t="s">
        <v>297</v>
      </c>
      <c r="FA7" s="64" t="s">
        <v>244</v>
      </c>
      <c r="FB7" s="96" t="s">
        <v>299</v>
      </c>
      <c r="FC7" s="96" t="s">
        <v>301</v>
      </c>
      <c r="FD7" s="96" t="s">
        <v>141</v>
      </c>
      <c r="FE7" s="96" t="s">
        <v>309</v>
      </c>
      <c r="FF7" s="96" t="s">
        <v>303</v>
      </c>
      <c r="FG7" s="96" t="s">
        <v>141</v>
      </c>
      <c r="FH7" s="96" t="s">
        <v>242</v>
      </c>
      <c r="FI7" s="96" t="s">
        <v>318</v>
      </c>
      <c r="FJ7" s="96"/>
      <c r="FK7" s="64" t="s">
        <v>103</v>
      </c>
      <c r="FL7" s="96" t="s">
        <v>325</v>
      </c>
      <c r="FM7" s="96" t="s">
        <v>325</v>
      </c>
      <c r="FN7" s="96"/>
      <c r="FO7" s="9"/>
    </row>
    <row r="8" spans="1:174" ht="12.75">
      <c r="A8" s="20" t="s">
        <v>1</v>
      </c>
      <c r="B8" s="132"/>
      <c r="C8" s="83" t="s">
        <v>34</v>
      </c>
      <c r="D8" s="19"/>
      <c r="E8" s="12" t="s">
        <v>43</v>
      </c>
      <c r="F8" s="14" t="s">
        <v>99</v>
      </c>
      <c r="G8" s="12" t="s">
        <v>49</v>
      </c>
      <c r="H8" s="21">
        <v>40032</v>
      </c>
      <c r="I8" s="12" t="s">
        <v>60</v>
      </c>
      <c r="J8" s="12" t="s">
        <v>63</v>
      </c>
      <c r="K8" s="76" t="s">
        <v>63</v>
      </c>
      <c r="L8" s="76" t="s">
        <v>63</v>
      </c>
      <c r="M8" s="13" t="s">
        <v>99</v>
      </c>
      <c r="N8" s="14" t="s">
        <v>101</v>
      </c>
      <c r="O8" s="14" t="s">
        <v>70</v>
      </c>
      <c r="P8" s="14" t="s">
        <v>73</v>
      </c>
      <c r="Q8" s="14" t="s">
        <v>78</v>
      </c>
      <c r="R8" s="14" t="s">
        <v>70</v>
      </c>
      <c r="S8" s="14" t="s">
        <v>83</v>
      </c>
      <c r="T8" s="14" t="s">
        <v>92</v>
      </c>
      <c r="U8" s="15" t="s">
        <v>88</v>
      </c>
      <c r="V8" s="14" t="s">
        <v>94</v>
      </c>
      <c r="W8" s="14" t="s">
        <v>70</v>
      </c>
      <c r="X8" s="14" t="s">
        <v>70</v>
      </c>
      <c r="Y8" s="14" t="s">
        <v>70</v>
      </c>
      <c r="Z8" s="14" t="s">
        <v>101</v>
      </c>
      <c r="AA8" s="64" t="s">
        <v>102</v>
      </c>
      <c r="AB8" s="64" t="s">
        <v>70</v>
      </c>
      <c r="AC8" s="64" t="s">
        <v>70</v>
      </c>
      <c r="AD8" s="64" t="s">
        <v>70</v>
      </c>
      <c r="AE8" s="12" t="s">
        <v>116</v>
      </c>
      <c r="AF8" s="12" t="s">
        <v>110</v>
      </c>
      <c r="AG8" s="12" t="s">
        <v>110</v>
      </c>
      <c r="AH8" s="12" t="s">
        <v>70</v>
      </c>
      <c r="AI8" s="12" t="s">
        <v>132</v>
      </c>
      <c r="AJ8" s="64" t="s">
        <v>124</v>
      </c>
      <c r="AK8" s="64" t="s">
        <v>125</v>
      </c>
      <c r="AL8" s="64" t="s">
        <v>125</v>
      </c>
      <c r="AM8" s="64" t="s">
        <v>129</v>
      </c>
      <c r="AN8" s="64" t="s">
        <v>130</v>
      </c>
      <c r="AO8" s="64" t="s">
        <v>130</v>
      </c>
      <c r="AP8" s="64" t="s">
        <v>70</v>
      </c>
      <c r="AQ8" s="64" t="s">
        <v>134</v>
      </c>
      <c r="AR8" s="64" t="s">
        <v>132</v>
      </c>
      <c r="AS8" s="64" t="s">
        <v>143</v>
      </c>
      <c r="AT8" s="64" t="s">
        <v>70</v>
      </c>
      <c r="AU8" s="64" t="s">
        <v>70</v>
      </c>
      <c r="AV8" s="64" t="s">
        <v>166</v>
      </c>
      <c r="AW8" s="64" t="s">
        <v>150</v>
      </c>
      <c r="AX8" s="64" t="s">
        <v>70</v>
      </c>
      <c r="AY8" s="64" t="s">
        <v>152</v>
      </c>
      <c r="AZ8" s="64" t="s">
        <v>154</v>
      </c>
      <c r="BA8" s="64" t="s">
        <v>70</v>
      </c>
      <c r="BB8" s="64" t="s">
        <v>164</v>
      </c>
      <c r="BC8" s="64" t="s">
        <v>164</v>
      </c>
      <c r="BD8" s="64" t="s">
        <v>168</v>
      </c>
      <c r="BE8" s="64" t="s">
        <v>70</v>
      </c>
      <c r="BF8" s="64" t="s">
        <v>70</v>
      </c>
      <c r="BG8" s="64" t="s">
        <v>57</v>
      </c>
      <c r="BH8" s="14" t="s">
        <v>143</v>
      </c>
      <c r="BI8" s="14" t="s">
        <v>171</v>
      </c>
      <c r="BJ8" s="14" t="s">
        <v>172</v>
      </c>
      <c r="BK8" s="14" t="s">
        <v>173</v>
      </c>
      <c r="BL8" s="64" t="s">
        <v>89</v>
      </c>
      <c r="BM8" s="64" t="s">
        <v>249</v>
      </c>
      <c r="BN8" s="64" t="s">
        <v>101</v>
      </c>
      <c r="BO8" s="64" t="s">
        <v>179</v>
      </c>
      <c r="BP8" s="64" t="s">
        <v>70</v>
      </c>
      <c r="BQ8" s="64" t="s">
        <v>187</v>
      </c>
      <c r="BR8" s="64" t="s">
        <v>187</v>
      </c>
      <c r="BS8" s="64" t="s">
        <v>70</v>
      </c>
      <c r="BT8" s="64" t="s">
        <v>189</v>
      </c>
      <c r="BU8" s="64" t="s">
        <v>189</v>
      </c>
      <c r="BV8" s="64" t="s">
        <v>189</v>
      </c>
      <c r="BW8" s="64" t="s">
        <v>70</v>
      </c>
      <c r="BX8" s="64" t="s">
        <v>193</v>
      </c>
      <c r="BY8" s="64" t="s">
        <v>193</v>
      </c>
      <c r="BZ8" s="64" t="s">
        <v>193</v>
      </c>
      <c r="CA8" s="64" t="s">
        <v>70</v>
      </c>
      <c r="CB8" s="64" t="s">
        <v>195</v>
      </c>
      <c r="CC8" s="64" t="s">
        <v>195</v>
      </c>
      <c r="CD8" s="64" t="s">
        <v>195</v>
      </c>
      <c r="CE8" s="64" t="s">
        <v>195</v>
      </c>
      <c r="CF8" s="64" t="s">
        <v>70</v>
      </c>
      <c r="CG8" s="64" t="s">
        <v>199</v>
      </c>
      <c r="CH8" s="64" t="s">
        <v>199</v>
      </c>
      <c r="CI8" s="64" t="s">
        <v>199</v>
      </c>
      <c r="CJ8" s="64" t="s">
        <v>199</v>
      </c>
      <c r="CK8" s="64" t="s">
        <v>237</v>
      </c>
      <c r="CL8" s="64" t="s">
        <v>201</v>
      </c>
      <c r="CM8" s="64" t="s">
        <v>204</v>
      </c>
      <c r="CN8" s="52" t="s">
        <v>202</v>
      </c>
      <c r="CO8" s="64" t="s">
        <v>166</v>
      </c>
      <c r="CP8" s="64" t="s">
        <v>209</v>
      </c>
      <c r="CQ8" s="64" t="s">
        <v>208</v>
      </c>
      <c r="CR8" s="64" t="s">
        <v>70</v>
      </c>
      <c r="CS8" s="64" t="s">
        <v>216</v>
      </c>
      <c r="CT8" s="64" t="s">
        <v>70</v>
      </c>
      <c r="CU8" s="64" t="s">
        <v>219</v>
      </c>
      <c r="CV8" s="64" t="s">
        <v>214</v>
      </c>
      <c r="CW8" s="64" t="s">
        <v>221</v>
      </c>
      <c r="CX8" s="64" t="s">
        <v>70</v>
      </c>
      <c r="CY8" s="64" t="s">
        <v>219</v>
      </c>
      <c r="CZ8" s="64" t="s">
        <v>214</v>
      </c>
      <c r="DA8" s="64" t="s">
        <v>225</v>
      </c>
      <c r="DB8" s="64" t="s">
        <v>70</v>
      </c>
      <c r="DC8" s="52" t="s">
        <v>219</v>
      </c>
      <c r="DD8" s="52" t="s">
        <v>214</v>
      </c>
      <c r="DE8" s="52" t="s">
        <v>225</v>
      </c>
      <c r="DF8" s="52" t="s">
        <v>232</v>
      </c>
      <c r="DG8" s="64" t="s">
        <v>70</v>
      </c>
      <c r="DH8" s="52" t="s">
        <v>219</v>
      </c>
      <c r="DI8" s="52" t="s">
        <v>214</v>
      </c>
      <c r="DJ8" s="52" t="s">
        <v>225</v>
      </c>
      <c r="DK8" s="52" t="s">
        <v>236</v>
      </c>
      <c r="DL8" s="64" t="s">
        <v>239</v>
      </c>
      <c r="DM8" s="64" t="s">
        <v>243</v>
      </c>
      <c r="DN8" s="64"/>
      <c r="DO8" s="64" t="s">
        <v>204</v>
      </c>
      <c r="DP8" s="64"/>
      <c r="DQ8" s="64"/>
      <c r="DR8" s="64" t="s">
        <v>249</v>
      </c>
      <c r="DS8" s="64" t="s">
        <v>251</v>
      </c>
      <c r="DT8" s="64"/>
      <c r="DU8" s="64" t="s">
        <v>249</v>
      </c>
      <c r="DV8" s="64" t="s">
        <v>251</v>
      </c>
      <c r="DW8" s="64" t="s">
        <v>292</v>
      </c>
      <c r="DX8" s="64" t="s">
        <v>70</v>
      </c>
      <c r="DY8" s="9"/>
      <c r="DZ8" s="64" t="s">
        <v>257</v>
      </c>
      <c r="EA8" s="64" t="s">
        <v>70</v>
      </c>
      <c r="EB8" s="64" t="s">
        <v>257</v>
      </c>
      <c r="EC8" s="64" t="s">
        <v>267</v>
      </c>
      <c r="ED8" s="73"/>
      <c r="EE8" s="64" t="s">
        <v>70</v>
      </c>
      <c r="EF8" s="64" t="s">
        <v>257</v>
      </c>
      <c r="EG8" s="64" t="s">
        <v>267</v>
      </c>
      <c r="EH8" s="64" t="s">
        <v>273</v>
      </c>
      <c r="EI8" s="64" t="s">
        <v>70</v>
      </c>
      <c r="EJ8" s="64" t="s">
        <v>257</v>
      </c>
      <c r="EK8" s="64" t="s">
        <v>267</v>
      </c>
      <c r="EL8" s="64" t="s">
        <v>275</v>
      </c>
      <c r="EM8" s="64" t="s">
        <v>70</v>
      </c>
      <c r="EN8" s="52" t="s">
        <v>257</v>
      </c>
      <c r="EO8" s="52" t="s">
        <v>267</v>
      </c>
      <c r="EP8" s="52" t="s">
        <v>275</v>
      </c>
      <c r="EQ8" s="52" t="s">
        <v>282</v>
      </c>
      <c r="ER8" s="64" t="s">
        <v>70</v>
      </c>
      <c r="ES8" s="52" t="s">
        <v>257</v>
      </c>
      <c r="ET8" s="52" t="s">
        <v>289</v>
      </c>
      <c r="EU8" s="52" t="s">
        <v>287</v>
      </c>
      <c r="EV8" s="52" t="s">
        <v>286</v>
      </c>
      <c r="EW8" s="64" t="s">
        <v>243</v>
      </c>
      <c r="EX8" s="52" t="s">
        <v>257</v>
      </c>
      <c r="EY8" s="52" t="s">
        <v>295</v>
      </c>
      <c r="EZ8" s="52" t="s">
        <v>298</v>
      </c>
      <c r="FA8" s="122"/>
      <c r="FB8" s="52" t="s">
        <v>257</v>
      </c>
      <c r="FC8" s="96" t="s">
        <v>70</v>
      </c>
      <c r="FD8" s="96" t="s">
        <v>302</v>
      </c>
      <c r="FE8" s="96" t="s">
        <v>308</v>
      </c>
      <c r="FF8" s="96" t="s">
        <v>304</v>
      </c>
      <c r="FG8" s="96" t="s">
        <v>323</v>
      </c>
      <c r="FH8" s="96" t="s">
        <v>306</v>
      </c>
      <c r="FI8" s="96" t="s">
        <v>319</v>
      </c>
      <c r="FJ8" s="96"/>
      <c r="FK8" s="64" t="s">
        <v>70</v>
      </c>
      <c r="FL8" s="96" t="s">
        <v>319</v>
      </c>
      <c r="FM8" s="96" t="s">
        <v>326</v>
      </c>
      <c r="FN8" s="96"/>
      <c r="FO8" s="9"/>
    </row>
    <row r="9" spans="1:174" ht="12.75">
      <c r="A9" s="46" t="s">
        <v>21</v>
      </c>
      <c r="B9" s="23"/>
      <c r="C9" s="60" t="s">
        <v>247</v>
      </c>
      <c r="D9" s="25">
        <v>13612790</v>
      </c>
      <c r="E9" s="26">
        <v>16780047</v>
      </c>
      <c r="F9" s="26">
        <v>15813844</v>
      </c>
      <c r="G9" s="26">
        <v>13750821</v>
      </c>
      <c r="H9" s="26"/>
      <c r="I9" s="26">
        <f t="shared" ref="I9:I54" si="0">SUM(G9:H9)</f>
        <v>13750821</v>
      </c>
      <c r="J9" s="27">
        <v>-581934</v>
      </c>
      <c r="K9" s="27"/>
      <c r="L9" s="27">
        <f t="shared" ref="L9:L54" si="1">SUM(J9:K9)</f>
        <v>-581934</v>
      </c>
      <c r="M9" s="28">
        <f>L9+I9</f>
        <v>13168887</v>
      </c>
      <c r="N9" s="28">
        <v>13169128</v>
      </c>
      <c r="O9" s="28">
        <v>13031114</v>
      </c>
      <c r="P9" s="28">
        <v>13131114</v>
      </c>
      <c r="Q9" s="28">
        <v>13100000</v>
      </c>
      <c r="R9" s="28">
        <v>13165557</v>
      </c>
      <c r="S9" s="28">
        <v>1.7809999999999999E-2</v>
      </c>
      <c r="T9" s="28">
        <f>-S9*R9</f>
        <v>-234478.57016999999</v>
      </c>
      <c r="U9" s="28">
        <f>R9+T9</f>
        <v>12931078.42983</v>
      </c>
      <c r="V9" s="28">
        <f t="shared" ref="V9:V45" si="2">U9-M9</f>
        <v>-237808.5701700002</v>
      </c>
      <c r="W9" s="29">
        <v>12767009</v>
      </c>
      <c r="X9" s="29"/>
      <c r="Y9" s="29">
        <f>W9+X9</f>
        <v>12767009</v>
      </c>
      <c r="Z9" s="30">
        <v>12767009</v>
      </c>
      <c r="AA9" s="30">
        <f>(Z9-W9)</f>
        <v>0</v>
      </c>
      <c r="AB9" s="30">
        <v>12767009</v>
      </c>
      <c r="AC9" s="30">
        <v>12767009</v>
      </c>
      <c r="AD9" s="31">
        <v>12511669</v>
      </c>
      <c r="AE9" s="30"/>
      <c r="AF9" s="30"/>
      <c r="AG9" s="30"/>
      <c r="AH9" s="31">
        <v>12511669</v>
      </c>
      <c r="AI9" s="31">
        <v>12767009</v>
      </c>
      <c r="AJ9" s="30">
        <f t="shared" ref="AJ9:AJ13" si="3">AD9-W9</f>
        <v>-255340</v>
      </c>
      <c r="AK9" s="30">
        <f>AD9-Z9</f>
        <v>-255340</v>
      </c>
      <c r="AL9" s="30">
        <f>AD9-AC9</f>
        <v>-255340</v>
      </c>
      <c r="AM9" s="31">
        <f>AH9-W9</f>
        <v>-255340</v>
      </c>
      <c r="AN9" s="31">
        <f>AH9-Z9</f>
        <v>-255340</v>
      </c>
      <c r="AO9" s="31">
        <f t="shared" ref="AO9:AO55" si="4">AH9-AC9</f>
        <v>-255340</v>
      </c>
      <c r="AP9" s="30">
        <v>12767009</v>
      </c>
      <c r="AQ9" s="30">
        <f t="shared" ref="AQ9:AQ55" si="5">AI9-W9-X9</f>
        <v>0</v>
      </c>
      <c r="AR9" s="30">
        <f>AI9-Z9</f>
        <v>0</v>
      </c>
      <c r="AS9" s="30">
        <f>AP9-W9-X9</f>
        <v>0</v>
      </c>
      <c r="AT9" s="30"/>
      <c r="AU9" s="30">
        <f>AP9+AT9</f>
        <v>12767009</v>
      </c>
      <c r="AV9" s="30">
        <v>13424188</v>
      </c>
      <c r="AW9" s="30">
        <f>AV9-(AP9+AT9)</f>
        <v>657179</v>
      </c>
      <c r="AX9" s="30">
        <v>13036906</v>
      </c>
      <c r="AY9" s="31">
        <f>AX9-AP9-AT9</f>
        <v>269897</v>
      </c>
      <c r="AZ9" s="31">
        <f>AX9-AV9</f>
        <v>-387282</v>
      </c>
      <c r="BA9" s="30">
        <v>13424188</v>
      </c>
      <c r="BB9" s="30">
        <f>BA9-AP9-AT9</f>
        <v>657179</v>
      </c>
      <c r="BC9" s="30">
        <f>BA9-AV9</f>
        <v>0</v>
      </c>
      <c r="BD9" s="30">
        <f>BA9-AX9</f>
        <v>387282</v>
      </c>
      <c r="BE9" s="30">
        <v>13444988</v>
      </c>
      <c r="BF9" s="30">
        <v>13694988</v>
      </c>
      <c r="BG9" s="30">
        <v>13694988</v>
      </c>
      <c r="BH9" s="30">
        <f>+BF9-AU9</f>
        <v>927979</v>
      </c>
      <c r="BI9" s="30">
        <f>+BF9-AV9</f>
        <v>270800</v>
      </c>
      <c r="BJ9" s="30">
        <f>+BF9-BA9</f>
        <v>270800</v>
      </c>
      <c r="BK9" s="8">
        <f>+BF9-BE9</f>
        <v>250000</v>
      </c>
      <c r="BL9" s="30">
        <v>75000</v>
      </c>
      <c r="BM9" s="30">
        <f>BG9-BL9</f>
        <v>13619988</v>
      </c>
      <c r="BN9" s="44">
        <v>13892387</v>
      </c>
      <c r="BO9" s="31">
        <f>BN9-BM9</f>
        <v>272399</v>
      </c>
      <c r="BP9" s="44">
        <v>13837895</v>
      </c>
      <c r="BQ9" s="8">
        <f>BP9-BM9</f>
        <v>217907</v>
      </c>
      <c r="BR9" s="8">
        <f>BP9-BN9</f>
        <v>-54492</v>
      </c>
      <c r="BS9" s="44">
        <v>14438400</v>
      </c>
      <c r="BT9" s="47">
        <f>BS9-BM9</f>
        <v>818412</v>
      </c>
      <c r="BU9" s="47">
        <f>BS9-BN9</f>
        <v>546013</v>
      </c>
      <c r="BV9" s="47">
        <f>BS9-BP9</f>
        <v>600505</v>
      </c>
      <c r="BW9" s="45">
        <v>13837895</v>
      </c>
      <c r="BX9" s="8">
        <f>BW9-BM9</f>
        <v>217907</v>
      </c>
      <c r="BY9" s="8">
        <f>BW9-BN9</f>
        <v>-54492</v>
      </c>
      <c r="BZ9" s="8">
        <f>BW9-BS9</f>
        <v>-600505</v>
      </c>
      <c r="CA9" s="45">
        <f>13837895+50000</f>
        <v>13887895</v>
      </c>
      <c r="CB9" s="8">
        <f>CA9-BM9</f>
        <v>267907</v>
      </c>
      <c r="CC9" s="8">
        <f>CA9-BN9</f>
        <v>-4492</v>
      </c>
      <c r="CD9" s="8">
        <f t="shared" ref="CD9:CD55" si="6">CA9-BS9</f>
        <v>-550505</v>
      </c>
      <c r="CE9" s="8">
        <f>CA9-BW9</f>
        <v>50000</v>
      </c>
      <c r="CF9" s="45">
        <v>14463400</v>
      </c>
      <c r="CG9" s="8">
        <f>CF9-BM9</f>
        <v>843412</v>
      </c>
      <c r="CH9" s="8">
        <f>CF9-BN9</f>
        <v>571013</v>
      </c>
      <c r="CI9" s="8">
        <f>CF9-BS9</f>
        <v>25000</v>
      </c>
      <c r="CJ9" s="8">
        <f>CF9-CA9</f>
        <v>575505</v>
      </c>
      <c r="CK9" s="45">
        <f>14463400+30000</f>
        <v>14493400</v>
      </c>
      <c r="CL9" s="8">
        <f t="shared" ref="CL9:CL56" si="7">CK9-BM9</f>
        <v>873412</v>
      </c>
      <c r="CM9" s="8">
        <f>CK9-BN9</f>
        <v>601013</v>
      </c>
      <c r="CN9" s="8">
        <f>CK9-CF9</f>
        <v>30000</v>
      </c>
      <c r="CO9" s="45">
        <v>13258242</v>
      </c>
      <c r="CP9" s="45">
        <f>CO9-BN9</f>
        <v>-634145</v>
      </c>
      <c r="CQ9" s="8">
        <f>CO9-CK9</f>
        <v>-1235158</v>
      </c>
      <c r="CR9" s="45">
        <v>13258243</v>
      </c>
      <c r="CS9" s="32">
        <v>270414</v>
      </c>
      <c r="CT9" s="45">
        <f>+CS9+CR9</f>
        <v>13528657</v>
      </c>
      <c r="CU9" s="8">
        <f>CT9-CK9</f>
        <v>-964743</v>
      </c>
      <c r="CV9" s="45">
        <f>CT9-CO9</f>
        <v>270415</v>
      </c>
      <c r="CW9" s="45">
        <f>CT9-CR9</f>
        <v>270414</v>
      </c>
      <c r="CX9" s="45">
        <v>13150714</v>
      </c>
      <c r="CY9" s="8">
        <f>CX9-CK9</f>
        <v>-1342686</v>
      </c>
      <c r="CZ9" s="45">
        <f>CX9-CO9</f>
        <v>-107528</v>
      </c>
      <c r="DA9" s="45">
        <f>CX9-CT9</f>
        <v>-377943</v>
      </c>
      <c r="DB9" s="45">
        <v>13150714</v>
      </c>
      <c r="DC9" s="8">
        <f>DB9-CK9</f>
        <v>-1342686</v>
      </c>
      <c r="DD9" s="45">
        <f>DB9-CO9</f>
        <v>-107528</v>
      </c>
      <c r="DE9" s="45">
        <f>DB9-CT9</f>
        <v>-377943</v>
      </c>
      <c r="DF9" s="45">
        <f>DB9-CX9</f>
        <v>0</v>
      </c>
      <c r="DG9" s="45">
        <v>13778657</v>
      </c>
      <c r="DH9" s="47">
        <f>DG9-CK9</f>
        <v>-714743</v>
      </c>
      <c r="DI9" s="45">
        <f>DG9-CO9</f>
        <v>520415</v>
      </c>
      <c r="DJ9" s="45">
        <f>DG9-CT9</f>
        <v>250000</v>
      </c>
      <c r="DK9" s="45">
        <f>DG9-DB9</f>
        <v>627943</v>
      </c>
      <c r="DL9" s="45">
        <f>-60000-100000-250000-25000</f>
        <v>-435000</v>
      </c>
      <c r="DM9" s="45">
        <f>SUM(DG9+DL9)</f>
        <v>13343657</v>
      </c>
      <c r="DN9" s="45">
        <v>13778657</v>
      </c>
      <c r="DO9" s="45">
        <f>DN9-CK9</f>
        <v>-714743</v>
      </c>
      <c r="DP9" s="45">
        <v>100000</v>
      </c>
      <c r="DQ9" s="45">
        <v>-438538</v>
      </c>
      <c r="DR9" s="45">
        <f>DN9+DP9+DQ9</f>
        <v>13440119</v>
      </c>
      <c r="DS9" s="45">
        <f>DR9-CK9</f>
        <v>-1053281</v>
      </c>
      <c r="DT9" s="45">
        <v>-380193</v>
      </c>
      <c r="DU9" s="45">
        <f>DR9+DT9</f>
        <v>13059926</v>
      </c>
      <c r="DV9" s="45">
        <f>DU9-CK9</f>
        <v>-1433474</v>
      </c>
      <c r="DW9" s="45">
        <v>13059926</v>
      </c>
      <c r="DX9" s="45">
        <v>13425797</v>
      </c>
      <c r="DY9" s="9"/>
      <c r="DZ9" s="8">
        <f>DX9-DU9</f>
        <v>365871</v>
      </c>
      <c r="EA9" s="47">
        <v>13237522</v>
      </c>
      <c r="EB9" s="8">
        <f>EA9-DU9</f>
        <v>177596</v>
      </c>
      <c r="EC9" s="8">
        <f>EA9-DX9</f>
        <v>-188275</v>
      </c>
      <c r="ED9" s="73"/>
      <c r="EE9" s="44">
        <v>13857522</v>
      </c>
      <c r="EF9" s="30">
        <f>EE9-DU9</f>
        <v>797596</v>
      </c>
      <c r="EG9" s="30">
        <f>EE9-DX9</f>
        <v>431725</v>
      </c>
      <c r="EH9" s="30">
        <f>EE9-EA9</f>
        <v>620000</v>
      </c>
      <c r="EI9" s="44">
        <v>13625797</v>
      </c>
      <c r="EJ9" s="30">
        <f>EI9-DU9</f>
        <v>565871</v>
      </c>
      <c r="EK9" s="30">
        <f>EI9-DX9</f>
        <v>200000</v>
      </c>
      <c r="EL9" s="30">
        <f>EI9-EE9</f>
        <v>-231725</v>
      </c>
      <c r="EM9" s="44">
        <f>13625797+220000</f>
        <v>13845797</v>
      </c>
      <c r="EN9" s="30">
        <f>EM9-DU9</f>
        <v>785871</v>
      </c>
      <c r="EO9" s="30">
        <f>EM9-DX9</f>
        <v>420000</v>
      </c>
      <c r="EP9" s="30">
        <f>EM9-EE9</f>
        <v>-11725</v>
      </c>
      <c r="EQ9" s="30">
        <f>EM9-EI9</f>
        <v>220000</v>
      </c>
      <c r="ER9" s="44">
        <v>14442522</v>
      </c>
      <c r="ES9" s="30">
        <f>ER9-DW9</f>
        <v>1382596</v>
      </c>
      <c r="ET9" s="30">
        <f>ER9-DX9</f>
        <v>1016725</v>
      </c>
      <c r="EU9" s="30">
        <f>ER9-EE9</f>
        <v>585000</v>
      </c>
      <c r="EV9" s="30">
        <f>ER9-EM9</f>
        <v>596725</v>
      </c>
      <c r="EW9" s="44">
        <f>14442522-1193000</f>
        <v>13249522</v>
      </c>
      <c r="EX9" s="30">
        <f>EW9-DW9</f>
        <v>189596</v>
      </c>
      <c r="EY9" s="30">
        <f>EW9-ER9</f>
        <v>-1193000</v>
      </c>
      <c r="EZ9" s="30">
        <f t="shared" ref="EZ9:EZ41" si="8">FA9-EW9</f>
        <v>1193000</v>
      </c>
      <c r="FA9" s="44">
        <f>14442522</f>
        <v>14442522</v>
      </c>
      <c r="FB9" s="30">
        <f>FA9-DW9</f>
        <v>1382596</v>
      </c>
      <c r="FC9" s="30">
        <v>108715</v>
      </c>
      <c r="FD9" s="30">
        <f>FA9+FC9</f>
        <v>14551237</v>
      </c>
      <c r="FE9" s="30">
        <f>13562342-14551237+108715</f>
        <v>-880180</v>
      </c>
      <c r="FF9" s="30">
        <v>-75000</v>
      </c>
      <c r="FG9" s="30">
        <f>FD9+FF9+FE9</f>
        <v>13596057</v>
      </c>
      <c r="FH9" s="31">
        <v>12270245</v>
      </c>
      <c r="FI9" s="30">
        <f>FH9-FG9</f>
        <v>-1325812</v>
      </c>
      <c r="FJ9" s="44" t="s">
        <v>311</v>
      </c>
      <c r="FK9" s="44">
        <v>12270245</v>
      </c>
      <c r="FL9" s="44">
        <f>FK9-FG9</f>
        <v>-1325812</v>
      </c>
      <c r="FM9" s="44">
        <f>FK9-FH9</f>
        <v>0</v>
      </c>
      <c r="FN9" s="44" t="s">
        <v>311</v>
      </c>
      <c r="FO9" s="9"/>
      <c r="FP9" s="3"/>
    </row>
    <row r="10" spans="1:174" ht="12.75">
      <c r="A10" s="24" t="s">
        <v>14</v>
      </c>
      <c r="B10" s="24"/>
      <c r="C10" s="61" t="s">
        <v>59</v>
      </c>
      <c r="D10" s="25">
        <v>20615313</v>
      </c>
      <c r="E10" s="26">
        <v>21615313</v>
      </c>
      <c r="F10" s="26">
        <v>19345224</v>
      </c>
      <c r="G10" s="26">
        <v>18491758</v>
      </c>
      <c r="H10" s="26"/>
      <c r="I10" s="26">
        <f t="shared" si="0"/>
        <v>18491758</v>
      </c>
      <c r="J10" s="27"/>
      <c r="K10" s="27"/>
      <c r="L10" s="27">
        <f t="shared" si="1"/>
        <v>0</v>
      </c>
      <c r="M10" s="28">
        <f t="shared" ref="M10:M54" si="9">L10+I10</f>
        <v>18491758</v>
      </c>
      <c r="N10" s="28">
        <f>M10+J10</f>
        <v>18491758</v>
      </c>
      <c r="O10" s="28">
        <v>17642582</v>
      </c>
      <c r="P10" s="28">
        <v>17642582</v>
      </c>
      <c r="Q10" s="28">
        <v>17642582</v>
      </c>
      <c r="R10" s="28">
        <v>17642582</v>
      </c>
      <c r="S10" s="28">
        <v>0</v>
      </c>
      <c r="T10" s="28">
        <f>-S10*R10</f>
        <v>0</v>
      </c>
      <c r="U10" s="28">
        <f>R10+T10</f>
        <v>17642582</v>
      </c>
      <c r="V10" s="28">
        <f t="shared" si="2"/>
        <v>-849176</v>
      </c>
      <c r="W10" s="29">
        <v>17642582</v>
      </c>
      <c r="X10" s="29"/>
      <c r="Y10" s="29">
        <f t="shared" ref="Y10:Y55" si="10">W10+X10</f>
        <v>17642582</v>
      </c>
      <c r="Z10" s="30">
        <v>17642582</v>
      </c>
      <c r="AA10" s="30">
        <f t="shared" ref="AA10:AA54" si="11">(Z10-W10)</f>
        <v>0</v>
      </c>
      <c r="AB10" s="30">
        <v>16142582</v>
      </c>
      <c r="AC10" s="30">
        <v>17642582</v>
      </c>
      <c r="AD10" s="31">
        <v>16999730</v>
      </c>
      <c r="AE10" s="30">
        <f>AC10-AB10</f>
        <v>1500000</v>
      </c>
      <c r="AF10" s="30"/>
      <c r="AG10" s="30"/>
      <c r="AH10" s="32">
        <v>17642582</v>
      </c>
      <c r="AI10" s="32">
        <v>17642582</v>
      </c>
      <c r="AJ10" s="30">
        <f t="shared" si="3"/>
        <v>-642852</v>
      </c>
      <c r="AK10" s="30">
        <f t="shared" ref="AK10:AK55" si="12">AD10-Z10</f>
        <v>-642852</v>
      </c>
      <c r="AL10" s="30">
        <f t="shared" ref="AL10:AL55" si="13">AD10-AC10</f>
        <v>-642852</v>
      </c>
      <c r="AM10" s="31">
        <f t="shared" ref="AM10:AM55" si="14">AH10-W10</f>
        <v>0</v>
      </c>
      <c r="AN10" s="31">
        <f t="shared" ref="AN10:AN55" si="15">AH10-Z10</f>
        <v>0</v>
      </c>
      <c r="AO10" s="31">
        <f t="shared" si="4"/>
        <v>0</v>
      </c>
      <c r="AP10" s="30">
        <v>17642582</v>
      </c>
      <c r="AQ10" s="30">
        <f t="shared" si="5"/>
        <v>0</v>
      </c>
      <c r="AR10" s="30">
        <f t="shared" ref="AR10:AR55" si="16">AI10-Z10</f>
        <v>0</v>
      </c>
      <c r="AS10" s="30">
        <f t="shared" ref="AS10:AS55" si="17">AP10-W10-X10</f>
        <v>0</v>
      </c>
      <c r="AT10" s="30"/>
      <c r="AU10" s="30">
        <f t="shared" ref="AU10:AU55" si="18">AP10+AT10</f>
        <v>17642582</v>
      </c>
      <c r="AV10" s="30">
        <v>17642582</v>
      </c>
      <c r="AW10" s="30">
        <f t="shared" ref="AW10:AW55" si="19">AV10-(AP10+AT10)</f>
        <v>0</v>
      </c>
      <c r="AX10" s="30">
        <v>16642582</v>
      </c>
      <c r="AY10" s="31">
        <f>AX10-AP10-AT10</f>
        <v>-1000000</v>
      </c>
      <c r="AZ10" s="31">
        <f>AX10-AV10</f>
        <v>-1000000</v>
      </c>
      <c r="BA10" s="30">
        <v>18142582</v>
      </c>
      <c r="BB10" s="30">
        <f t="shared" ref="BB10:BB55" si="20">BA10-AP10-AT10</f>
        <v>500000</v>
      </c>
      <c r="BC10" s="30">
        <f t="shared" ref="BC10:BC55" si="21">BA10-AV10</f>
        <v>500000</v>
      </c>
      <c r="BD10" s="30">
        <f t="shared" ref="BD10:BD55" si="22">BA10-AX10</f>
        <v>1500000</v>
      </c>
      <c r="BE10" s="30">
        <f>16892582+1000000</f>
        <v>17892582</v>
      </c>
      <c r="BF10" s="30">
        <v>18142582</v>
      </c>
      <c r="BG10" s="30">
        <v>18142582</v>
      </c>
      <c r="BH10" s="30">
        <f t="shared" ref="BH10:BH55" si="23">+BF10-AU10</f>
        <v>500000</v>
      </c>
      <c r="BI10" s="30">
        <f t="shared" ref="BI10:BI55" si="24">+BF10-AV10</f>
        <v>500000</v>
      </c>
      <c r="BJ10" s="30">
        <f t="shared" ref="BJ10:BJ55" si="25">+BF10-BA10</f>
        <v>0</v>
      </c>
      <c r="BK10" s="8">
        <f t="shared" ref="BK10:BK55" si="26">+BF10-BE10</f>
        <v>250000</v>
      </c>
      <c r="BL10" s="30"/>
      <c r="BM10" s="30">
        <f t="shared" ref="BM10:BM55" si="27">BG10-BL10</f>
        <v>18142582</v>
      </c>
      <c r="BN10" s="44">
        <v>18142582</v>
      </c>
      <c r="BO10" s="31">
        <f t="shared" ref="BO10:BO55" si="28">BN10-BM10</f>
        <v>0</v>
      </c>
      <c r="BP10" s="44">
        <v>17142582</v>
      </c>
      <c r="BQ10" s="8">
        <f t="shared" ref="BQ10:BQ55" si="29">BP10-BM10</f>
        <v>-1000000</v>
      </c>
      <c r="BR10" s="8">
        <f t="shared" ref="BR10:BR55" si="30">BP10-BN10</f>
        <v>-1000000</v>
      </c>
      <c r="BS10" s="44">
        <v>18642582</v>
      </c>
      <c r="BT10" s="47">
        <f t="shared" ref="BT10:BT55" si="31">BS10-BM10</f>
        <v>500000</v>
      </c>
      <c r="BU10" s="47">
        <f t="shared" ref="BU10:BU55" si="32">BS10-BN10</f>
        <v>500000</v>
      </c>
      <c r="BV10" s="47">
        <f t="shared" ref="BV10:BV55" si="33">BS10-BP10</f>
        <v>1500000</v>
      </c>
      <c r="BW10" s="45">
        <v>17142582</v>
      </c>
      <c r="BX10" s="8">
        <f t="shared" ref="BX10:BX55" si="34">BW10-BM10</f>
        <v>-1000000</v>
      </c>
      <c r="BY10" s="8">
        <f t="shared" ref="BY10:BY55" si="35">BW10-BN10</f>
        <v>-1000000</v>
      </c>
      <c r="BZ10" s="8">
        <f t="shared" ref="BZ10:BZ55" si="36">BW10-BS10</f>
        <v>-1500000</v>
      </c>
      <c r="CA10" s="45">
        <f>17142582+1000000</f>
        <v>18142582</v>
      </c>
      <c r="CB10" s="8">
        <f t="shared" ref="CB10:CB55" si="37">CA10-BM10</f>
        <v>0</v>
      </c>
      <c r="CC10" s="8">
        <f t="shared" ref="CC10:CC55" si="38">CA10-BN10</f>
        <v>0</v>
      </c>
      <c r="CD10" s="8">
        <f t="shared" si="6"/>
        <v>-500000</v>
      </c>
      <c r="CE10" s="8">
        <f t="shared" ref="CE10:CE55" si="39">CA10-BW10</f>
        <v>1000000</v>
      </c>
      <c r="CF10" s="45">
        <v>18642582</v>
      </c>
      <c r="CG10" s="8">
        <f t="shared" ref="CG10:CG56" si="40">CF10-BM10</f>
        <v>500000</v>
      </c>
      <c r="CH10" s="8">
        <f t="shared" ref="CH10:CH56" si="41">CF10-BN10</f>
        <v>500000</v>
      </c>
      <c r="CI10" s="8">
        <f t="shared" ref="CI10:CI56" si="42">CF10-BS10</f>
        <v>0</v>
      </c>
      <c r="CJ10" s="8">
        <f t="shared" ref="CJ10:CJ56" si="43">CF10-CA10</f>
        <v>500000</v>
      </c>
      <c r="CK10" s="45">
        <v>18642582</v>
      </c>
      <c r="CL10" s="8">
        <f t="shared" si="7"/>
        <v>500000</v>
      </c>
      <c r="CM10" s="8">
        <f t="shared" ref="CM10:CM56" si="44">CK10-BN10</f>
        <v>500000</v>
      </c>
      <c r="CN10" s="8">
        <f t="shared" ref="CN10:CN56" si="45">CK10-CF10</f>
        <v>0</v>
      </c>
      <c r="CO10" s="45">
        <v>18642582</v>
      </c>
      <c r="CP10" s="45">
        <f t="shared" ref="CP10:CP56" si="46">CO10-BN10</f>
        <v>500000</v>
      </c>
      <c r="CQ10" s="8">
        <f t="shared" ref="CQ10:CQ59" si="47">CO10-CK10</f>
        <v>0</v>
      </c>
      <c r="CR10" s="45">
        <v>18642582</v>
      </c>
      <c r="CS10" s="32">
        <v>500000</v>
      </c>
      <c r="CT10" s="45">
        <f t="shared" ref="CT10:CT56" si="48">+CS10+CR10</f>
        <v>19142582</v>
      </c>
      <c r="CU10" s="8">
        <f t="shared" ref="CU10:CU56" si="49">CT10-CK10</f>
        <v>500000</v>
      </c>
      <c r="CV10" s="45">
        <f t="shared" ref="CV10:CV56" si="50">CT10-CO10</f>
        <v>500000</v>
      </c>
      <c r="CW10" s="45">
        <f t="shared" ref="CW10:CW56" si="51">CT10-CR10</f>
        <v>500000</v>
      </c>
      <c r="CX10" s="45">
        <v>18642582</v>
      </c>
      <c r="CY10" s="8">
        <f t="shared" ref="CY10:CY56" si="52">CX10-CK10</f>
        <v>0</v>
      </c>
      <c r="CZ10" s="45">
        <f t="shared" ref="CZ10:CZ56" si="53">CX10-CO10</f>
        <v>0</v>
      </c>
      <c r="DA10" s="45">
        <f t="shared" ref="DA10:DA56" si="54">CX10-CT10</f>
        <v>-500000</v>
      </c>
      <c r="DB10" s="45">
        <v>18642582</v>
      </c>
      <c r="DC10" s="8">
        <f t="shared" ref="DC10:DC56" si="55">DB10-CK10</f>
        <v>0</v>
      </c>
      <c r="DD10" s="45">
        <f t="shared" ref="DD10:DD56" si="56">DB10-CO10</f>
        <v>0</v>
      </c>
      <c r="DE10" s="45">
        <f t="shared" ref="DE10:DE56" si="57">DB10-CT10</f>
        <v>-500000</v>
      </c>
      <c r="DF10" s="45">
        <f t="shared" ref="DF10:DF56" si="58">DB10-CX10</f>
        <v>0</v>
      </c>
      <c r="DG10" s="45">
        <v>19142582</v>
      </c>
      <c r="DH10" s="47">
        <f t="shared" ref="DH10:DH56" si="59">DG10-CK10</f>
        <v>500000</v>
      </c>
      <c r="DI10" s="45">
        <f t="shared" ref="DI10:DI56" si="60">DG10-CO10</f>
        <v>500000</v>
      </c>
      <c r="DJ10" s="45">
        <f t="shared" ref="DJ10:DJ56" si="61">DG10-CT10</f>
        <v>0</v>
      </c>
      <c r="DK10" s="45">
        <f t="shared" ref="DK10:DK56" si="62">DG10-DB10</f>
        <v>500000</v>
      </c>
      <c r="DL10" s="45"/>
      <c r="DM10" s="45">
        <f t="shared" ref="DM10:DM56" si="63">SUM(DG10+DL10)</f>
        <v>19142582</v>
      </c>
      <c r="DN10" s="45">
        <v>19142582</v>
      </c>
      <c r="DO10" s="45">
        <f t="shared" ref="DO10:DO56" si="64">DN10-CK10</f>
        <v>500000</v>
      </c>
      <c r="DP10" s="45"/>
      <c r="DQ10" s="45">
        <v>-287139</v>
      </c>
      <c r="DR10" s="45">
        <f t="shared" ref="DR10:DR56" si="65">DN10+DP10+DQ10</f>
        <v>18855443</v>
      </c>
      <c r="DS10" s="45">
        <f t="shared" ref="DS10:DS56" si="66">DR10-CK10</f>
        <v>212861</v>
      </c>
      <c r="DT10" s="45">
        <v>-943000</v>
      </c>
      <c r="DU10" s="45">
        <f t="shared" ref="DU10:DU56" si="67">DR10+DT10</f>
        <v>17912443</v>
      </c>
      <c r="DV10" s="45">
        <f t="shared" ref="DV10:DV56" si="68">DU10-CK10</f>
        <v>-730139</v>
      </c>
      <c r="DW10" s="45">
        <v>17912443</v>
      </c>
      <c r="DX10" s="45">
        <v>19142582</v>
      </c>
      <c r="DY10" s="9"/>
      <c r="DZ10" s="8">
        <f t="shared" ref="DZ10:DZ58" si="69">DX10-DU10</f>
        <v>1230139</v>
      </c>
      <c r="EA10" s="47">
        <v>19142582</v>
      </c>
      <c r="EB10" s="8">
        <f t="shared" ref="EB10:EB58" si="70">EA10-DU10</f>
        <v>1230139</v>
      </c>
      <c r="EC10" s="8">
        <f t="shared" ref="EC10:EC58" si="71">EA10-DX10</f>
        <v>0</v>
      </c>
      <c r="ED10" s="73"/>
      <c r="EE10" s="44">
        <v>20142582</v>
      </c>
      <c r="EF10" s="30">
        <f t="shared" ref="EF10:EF58" si="72">EE10-DU10</f>
        <v>2230139</v>
      </c>
      <c r="EG10" s="30">
        <f t="shared" ref="EG10:EG58" si="73">EE10-DX10</f>
        <v>1000000</v>
      </c>
      <c r="EH10" s="30">
        <f t="shared" ref="EH10:EH58" si="74">EE10-EA10</f>
        <v>1000000</v>
      </c>
      <c r="EI10" s="44">
        <v>17912443</v>
      </c>
      <c r="EJ10" s="30">
        <f t="shared" ref="EJ10:EJ58" si="75">EI10-DU10</f>
        <v>0</v>
      </c>
      <c r="EK10" s="30">
        <f t="shared" ref="EK10:EK58" si="76">EI10-DX10</f>
        <v>-1230139</v>
      </c>
      <c r="EL10" s="30">
        <f t="shared" ref="EL10:EL58" si="77">EI10-EE10</f>
        <v>-2230139</v>
      </c>
      <c r="EM10" s="44">
        <f>17912443+2000000</f>
        <v>19912443</v>
      </c>
      <c r="EN10" s="30">
        <f>EM10-DU10</f>
        <v>2000000</v>
      </c>
      <c r="EO10" s="30">
        <f>EM10-DX10</f>
        <v>769861</v>
      </c>
      <c r="EP10" s="30">
        <f>EM10-EE10</f>
        <v>-230139</v>
      </c>
      <c r="EQ10" s="30">
        <f t="shared" ref="EQ10:EQ58" si="78">EM10-EI10</f>
        <v>2000000</v>
      </c>
      <c r="ER10" s="44">
        <v>20142582</v>
      </c>
      <c r="ES10" s="30">
        <f t="shared" ref="ES10:ES58" si="79">ER10-DW10</f>
        <v>2230139</v>
      </c>
      <c r="ET10" s="30">
        <f t="shared" ref="ET10:ET58" si="80">ER10-DX10</f>
        <v>1000000</v>
      </c>
      <c r="EU10" s="30">
        <f t="shared" ref="EU10:EU58" si="81">ER10-EE10</f>
        <v>0</v>
      </c>
      <c r="EV10" s="30">
        <f t="shared" ref="EV10:EV58" si="82">ER10-EM10</f>
        <v>230139</v>
      </c>
      <c r="EW10" s="44">
        <v>20142582</v>
      </c>
      <c r="EX10" s="30">
        <f t="shared" ref="EX10:EX58" si="83">EW10-DW10</f>
        <v>2230139</v>
      </c>
      <c r="EY10" s="30">
        <f t="shared" ref="EY10:EY58" si="84">EW10-ER10</f>
        <v>0</v>
      </c>
      <c r="EZ10" s="30">
        <f t="shared" si="8"/>
        <v>0</v>
      </c>
      <c r="FA10" s="44">
        <v>20142582</v>
      </c>
      <c r="FB10" s="30">
        <f t="shared" ref="FB10:FB57" si="85">FA10-DW10</f>
        <v>2230139</v>
      </c>
      <c r="FC10" s="30"/>
      <c r="FD10" s="30">
        <f t="shared" ref="FD10:FD58" si="86">FA10+FC10</f>
        <v>20142582</v>
      </c>
      <c r="FE10" s="30"/>
      <c r="FF10" s="30"/>
      <c r="FG10" s="30">
        <f t="shared" ref="FG10:FG57" si="87">FD10+FF10+FE10</f>
        <v>20142582</v>
      </c>
      <c r="FH10" s="31">
        <v>20142582</v>
      </c>
      <c r="FI10" s="30">
        <f t="shared" ref="FI10:FI57" si="88">FH10-FG10</f>
        <v>0</v>
      </c>
      <c r="FJ10" s="30"/>
      <c r="FK10" s="30">
        <v>20142582</v>
      </c>
      <c r="FL10" s="44">
        <f t="shared" ref="FL10:FL57" si="89">FK10-FG10</f>
        <v>0</v>
      </c>
      <c r="FM10" s="44">
        <f t="shared" ref="FM10:FM57" si="90">FK10-FH10</f>
        <v>0</v>
      </c>
      <c r="FN10" s="44"/>
      <c r="FO10" s="9"/>
    </row>
    <row r="11" spans="1:174" ht="12.75">
      <c r="A11" s="22" t="s">
        <v>42</v>
      </c>
      <c r="B11" s="23"/>
      <c r="C11" s="61" t="s">
        <v>158</v>
      </c>
      <c r="D11" s="25">
        <v>0</v>
      </c>
      <c r="E11" s="26">
        <v>1450000</v>
      </c>
      <c r="F11" s="26">
        <v>1192800</v>
      </c>
      <c r="G11" s="26">
        <v>0</v>
      </c>
      <c r="H11" s="26"/>
      <c r="I11" s="26">
        <f t="shared" si="0"/>
        <v>0</v>
      </c>
      <c r="J11" s="27"/>
      <c r="K11" s="27"/>
      <c r="L11" s="27">
        <f t="shared" si="1"/>
        <v>0</v>
      </c>
      <c r="M11" s="28">
        <f t="shared" si="9"/>
        <v>0</v>
      </c>
      <c r="N11" s="28">
        <f>M11+J11</f>
        <v>0</v>
      </c>
      <c r="O11" s="28">
        <v>800000</v>
      </c>
      <c r="P11" s="28">
        <v>800000</v>
      </c>
      <c r="Q11" s="28">
        <v>0</v>
      </c>
      <c r="R11" s="28">
        <v>800000</v>
      </c>
      <c r="S11" s="28">
        <v>0.5</v>
      </c>
      <c r="T11" s="28">
        <f t="shared" ref="T11:T54" si="91">-S11*R11</f>
        <v>-400000</v>
      </c>
      <c r="U11" s="28">
        <f t="shared" ref="U11:U54" si="92">R11+T11</f>
        <v>400000</v>
      </c>
      <c r="V11" s="28">
        <f t="shared" si="2"/>
        <v>400000</v>
      </c>
      <c r="W11" s="29">
        <v>400000</v>
      </c>
      <c r="X11" s="29"/>
      <c r="Y11" s="29">
        <f t="shared" si="10"/>
        <v>400000</v>
      </c>
      <c r="Z11" s="30">
        <v>0</v>
      </c>
      <c r="AA11" s="30">
        <f t="shared" si="11"/>
        <v>-400000</v>
      </c>
      <c r="AB11" s="30">
        <v>400000</v>
      </c>
      <c r="AC11" s="30">
        <v>400000</v>
      </c>
      <c r="AD11" s="31">
        <v>392000</v>
      </c>
      <c r="AE11" s="30"/>
      <c r="AF11" s="30"/>
      <c r="AG11" s="30">
        <f>AC11-Z11</f>
        <v>400000</v>
      </c>
      <c r="AH11" s="31">
        <v>392000</v>
      </c>
      <c r="AI11" s="31">
        <v>400000</v>
      </c>
      <c r="AJ11" s="30">
        <f t="shared" si="3"/>
        <v>-8000</v>
      </c>
      <c r="AK11" s="30">
        <f t="shared" si="12"/>
        <v>392000</v>
      </c>
      <c r="AL11" s="30">
        <f t="shared" si="13"/>
        <v>-8000</v>
      </c>
      <c r="AM11" s="31">
        <f t="shared" si="14"/>
        <v>-8000</v>
      </c>
      <c r="AN11" s="31">
        <f t="shared" si="15"/>
        <v>392000</v>
      </c>
      <c r="AO11" s="31">
        <f t="shared" si="4"/>
        <v>-8000</v>
      </c>
      <c r="AP11" s="30">
        <v>400000</v>
      </c>
      <c r="AQ11" s="30">
        <f t="shared" si="5"/>
        <v>0</v>
      </c>
      <c r="AR11" s="30">
        <f t="shared" si="16"/>
        <v>400000</v>
      </c>
      <c r="AS11" s="30">
        <f t="shared" si="17"/>
        <v>0</v>
      </c>
      <c r="AT11" s="30"/>
      <c r="AU11" s="30">
        <f t="shared" si="18"/>
        <v>400000</v>
      </c>
      <c r="AV11" s="30">
        <v>0</v>
      </c>
      <c r="AW11" s="30">
        <f t="shared" si="19"/>
        <v>-400000</v>
      </c>
      <c r="AX11" s="30">
        <v>400000</v>
      </c>
      <c r="AY11" s="31">
        <f t="shared" ref="AY11:AY54" si="93">AX11-AP11-AT11</f>
        <v>0</v>
      </c>
      <c r="AZ11" s="31">
        <f t="shared" ref="AZ11:AZ54" si="94">AX11-AV11</f>
        <v>400000</v>
      </c>
      <c r="BA11" s="30">
        <v>400000</v>
      </c>
      <c r="BB11" s="30">
        <f t="shared" si="20"/>
        <v>0</v>
      </c>
      <c r="BC11" s="30">
        <f t="shared" si="21"/>
        <v>400000</v>
      </c>
      <c r="BD11" s="30">
        <f t="shared" si="22"/>
        <v>0</v>
      </c>
      <c r="BE11" s="30">
        <v>400000</v>
      </c>
      <c r="BF11" s="30">
        <v>400000</v>
      </c>
      <c r="BG11" s="30">
        <v>400000</v>
      </c>
      <c r="BH11" s="30">
        <f t="shared" si="23"/>
        <v>0</v>
      </c>
      <c r="BI11" s="30">
        <f t="shared" si="24"/>
        <v>400000</v>
      </c>
      <c r="BJ11" s="30">
        <f t="shared" si="25"/>
        <v>0</v>
      </c>
      <c r="BK11" s="8">
        <f t="shared" si="26"/>
        <v>0</v>
      </c>
      <c r="BL11" s="30"/>
      <c r="BM11" s="30">
        <f t="shared" si="27"/>
        <v>400000</v>
      </c>
      <c r="BN11" s="44">
        <v>0</v>
      </c>
      <c r="BO11" s="31">
        <f t="shared" si="28"/>
        <v>-400000</v>
      </c>
      <c r="BP11" s="44">
        <v>0</v>
      </c>
      <c r="BQ11" s="8">
        <f t="shared" si="29"/>
        <v>-400000</v>
      </c>
      <c r="BR11" s="8">
        <f t="shared" si="30"/>
        <v>0</v>
      </c>
      <c r="BS11" s="44">
        <v>0</v>
      </c>
      <c r="BT11" s="47">
        <f t="shared" si="31"/>
        <v>-400000</v>
      </c>
      <c r="BU11" s="47">
        <f t="shared" si="32"/>
        <v>0</v>
      </c>
      <c r="BV11" s="47">
        <f t="shared" si="33"/>
        <v>0</v>
      </c>
      <c r="BW11" s="45">
        <v>400000</v>
      </c>
      <c r="BX11" s="8">
        <f t="shared" si="34"/>
        <v>0</v>
      </c>
      <c r="BY11" s="8">
        <f t="shared" si="35"/>
        <v>400000</v>
      </c>
      <c r="BZ11" s="8">
        <f t="shared" si="36"/>
        <v>400000</v>
      </c>
      <c r="CA11" s="45">
        <v>400000</v>
      </c>
      <c r="CB11" s="8">
        <f t="shared" si="37"/>
        <v>0</v>
      </c>
      <c r="CC11" s="8">
        <f t="shared" si="38"/>
        <v>400000</v>
      </c>
      <c r="CD11" s="8">
        <f t="shared" si="6"/>
        <v>400000</v>
      </c>
      <c r="CE11" s="8">
        <f t="shared" si="39"/>
        <v>0</v>
      </c>
      <c r="CF11" s="45">
        <v>400000</v>
      </c>
      <c r="CG11" s="8">
        <f t="shared" si="40"/>
        <v>0</v>
      </c>
      <c r="CH11" s="8">
        <f t="shared" si="41"/>
        <v>400000</v>
      </c>
      <c r="CI11" s="8">
        <f t="shared" si="42"/>
        <v>400000</v>
      </c>
      <c r="CJ11" s="8">
        <f t="shared" si="43"/>
        <v>0</v>
      </c>
      <c r="CK11" s="45">
        <v>400000</v>
      </c>
      <c r="CL11" s="8">
        <f t="shared" si="7"/>
        <v>0</v>
      </c>
      <c r="CM11" s="8">
        <f t="shared" si="44"/>
        <v>400000</v>
      </c>
      <c r="CN11" s="8">
        <f t="shared" si="45"/>
        <v>0</v>
      </c>
      <c r="CO11" s="45">
        <v>0</v>
      </c>
      <c r="CP11" s="45">
        <f t="shared" si="46"/>
        <v>0</v>
      </c>
      <c r="CQ11" s="8">
        <f t="shared" si="47"/>
        <v>-400000</v>
      </c>
      <c r="CR11" s="45">
        <v>400000</v>
      </c>
      <c r="CS11" s="32"/>
      <c r="CT11" s="45">
        <f t="shared" si="48"/>
        <v>400000</v>
      </c>
      <c r="CU11" s="8">
        <f t="shared" si="49"/>
        <v>0</v>
      </c>
      <c r="CV11" s="45">
        <f t="shared" si="50"/>
        <v>400000</v>
      </c>
      <c r="CW11" s="45">
        <f t="shared" si="51"/>
        <v>0</v>
      </c>
      <c r="CX11" s="45">
        <v>400000</v>
      </c>
      <c r="CY11" s="8">
        <f t="shared" si="52"/>
        <v>0</v>
      </c>
      <c r="CZ11" s="45">
        <f t="shared" si="53"/>
        <v>400000</v>
      </c>
      <c r="DA11" s="45">
        <f t="shared" si="54"/>
        <v>0</v>
      </c>
      <c r="DB11" s="45">
        <v>400000</v>
      </c>
      <c r="DC11" s="8">
        <f t="shared" si="55"/>
        <v>0</v>
      </c>
      <c r="DD11" s="45">
        <f t="shared" si="56"/>
        <v>400000</v>
      </c>
      <c r="DE11" s="45">
        <f t="shared" si="57"/>
        <v>0</v>
      </c>
      <c r="DF11" s="45">
        <f t="shared" si="58"/>
        <v>0</v>
      </c>
      <c r="DG11" s="45">
        <v>400000</v>
      </c>
      <c r="DH11" s="47">
        <f t="shared" si="59"/>
        <v>0</v>
      </c>
      <c r="DI11" s="45">
        <f t="shared" si="60"/>
        <v>400000</v>
      </c>
      <c r="DJ11" s="45">
        <f t="shared" si="61"/>
        <v>0</v>
      </c>
      <c r="DK11" s="45">
        <f t="shared" si="62"/>
        <v>0</v>
      </c>
      <c r="DL11" s="45"/>
      <c r="DM11" s="45">
        <f t="shared" si="63"/>
        <v>400000</v>
      </c>
      <c r="DN11" s="45">
        <v>400000</v>
      </c>
      <c r="DO11" s="45">
        <f t="shared" si="64"/>
        <v>0</v>
      </c>
      <c r="DP11" s="45"/>
      <c r="DQ11" s="45">
        <v>-6000</v>
      </c>
      <c r="DR11" s="45">
        <f t="shared" si="65"/>
        <v>394000</v>
      </c>
      <c r="DS11" s="45">
        <f t="shared" si="66"/>
        <v>-6000</v>
      </c>
      <c r="DT11" s="45"/>
      <c r="DU11" s="45">
        <f t="shared" si="67"/>
        <v>394000</v>
      </c>
      <c r="DV11" s="45">
        <f t="shared" si="68"/>
        <v>-6000</v>
      </c>
      <c r="DW11" s="45">
        <v>394000</v>
      </c>
      <c r="DX11" s="45">
        <v>0</v>
      </c>
      <c r="DY11" s="9"/>
      <c r="DZ11" s="8">
        <f t="shared" si="69"/>
        <v>-394000</v>
      </c>
      <c r="EA11" s="47">
        <v>400000</v>
      </c>
      <c r="EB11" s="8">
        <f t="shared" si="70"/>
        <v>6000</v>
      </c>
      <c r="EC11" s="8">
        <f t="shared" si="71"/>
        <v>400000</v>
      </c>
      <c r="ED11" s="71" t="s">
        <v>268</v>
      </c>
      <c r="EE11" s="44">
        <v>400000</v>
      </c>
      <c r="EF11" s="30">
        <f t="shared" si="72"/>
        <v>6000</v>
      </c>
      <c r="EG11" s="30">
        <f t="shared" si="73"/>
        <v>400000</v>
      </c>
      <c r="EH11" s="30">
        <f t="shared" si="74"/>
        <v>0</v>
      </c>
      <c r="EI11" s="44">
        <v>0</v>
      </c>
      <c r="EJ11" s="30">
        <f t="shared" si="75"/>
        <v>-394000</v>
      </c>
      <c r="EK11" s="30">
        <f t="shared" si="76"/>
        <v>0</v>
      </c>
      <c r="EL11" s="30">
        <f t="shared" si="77"/>
        <v>-400000</v>
      </c>
      <c r="EM11" s="44">
        <v>0</v>
      </c>
      <c r="EN11" s="30">
        <f t="shared" ref="EN11:EN58" si="95">EM11-DU11</f>
        <v>-394000</v>
      </c>
      <c r="EO11" s="30">
        <f t="shared" ref="EO11:EO58" si="96">EM11-DX11</f>
        <v>0</v>
      </c>
      <c r="EP11" s="30">
        <f t="shared" ref="EP11:EP58" si="97">EM11-EE11</f>
        <v>-400000</v>
      </c>
      <c r="EQ11" s="30">
        <f t="shared" si="78"/>
        <v>0</v>
      </c>
      <c r="ER11" s="44">
        <v>400000</v>
      </c>
      <c r="ES11" s="30">
        <f t="shared" si="79"/>
        <v>6000</v>
      </c>
      <c r="ET11" s="30">
        <f t="shared" si="80"/>
        <v>400000</v>
      </c>
      <c r="EU11" s="30">
        <f t="shared" si="81"/>
        <v>0</v>
      </c>
      <c r="EV11" s="30">
        <f t="shared" si="82"/>
        <v>400000</v>
      </c>
      <c r="EW11" s="44">
        <v>400000</v>
      </c>
      <c r="EX11" s="30">
        <f t="shared" si="83"/>
        <v>6000</v>
      </c>
      <c r="EY11" s="30">
        <f t="shared" si="84"/>
        <v>0</v>
      </c>
      <c r="EZ11" s="30">
        <f t="shared" si="8"/>
        <v>0</v>
      </c>
      <c r="FA11" s="44">
        <v>400000</v>
      </c>
      <c r="FB11" s="30">
        <f t="shared" si="85"/>
        <v>6000</v>
      </c>
      <c r="FC11" s="30"/>
      <c r="FD11" s="30">
        <f t="shared" si="86"/>
        <v>400000</v>
      </c>
      <c r="FE11" s="30"/>
      <c r="FF11" s="30"/>
      <c r="FG11" s="30">
        <f t="shared" si="87"/>
        <v>400000</v>
      </c>
      <c r="FH11" s="31">
        <v>0</v>
      </c>
      <c r="FI11" s="30">
        <f t="shared" si="88"/>
        <v>-400000</v>
      </c>
      <c r="FJ11" s="30"/>
      <c r="FK11" s="30">
        <v>400000</v>
      </c>
      <c r="FL11" s="44">
        <f t="shared" si="89"/>
        <v>0</v>
      </c>
      <c r="FM11" s="44">
        <f t="shared" si="90"/>
        <v>400000</v>
      </c>
      <c r="FN11" s="44"/>
      <c r="FO11" s="9"/>
      <c r="FQ11" s="3"/>
      <c r="FR11" s="3"/>
    </row>
    <row r="12" spans="1:174" ht="12.75">
      <c r="A12" s="46" t="s">
        <v>307</v>
      </c>
      <c r="B12" s="23"/>
      <c r="C12" s="119" t="s">
        <v>310</v>
      </c>
      <c r="D12" s="25"/>
      <c r="E12" s="26"/>
      <c r="F12" s="26"/>
      <c r="G12" s="26"/>
      <c r="H12" s="26"/>
      <c r="I12" s="26"/>
      <c r="J12" s="27"/>
      <c r="K12" s="27"/>
      <c r="L12" s="27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123"/>
      <c r="X12" s="123"/>
      <c r="Y12" s="123"/>
      <c r="Z12" s="34"/>
      <c r="AA12" s="34"/>
      <c r="AB12" s="34"/>
      <c r="AC12" s="34"/>
      <c r="AD12" s="32"/>
      <c r="AE12" s="34"/>
      <c r="AF12" s="34"/>
      <c r="AG12" s="34"/>
      <c r="AH12" s="32"/>
      <c r="AI12" s="32"/>
      <c r="AJ12" s="34"/>
      <c r="AK12" s="34"/>
      <c r="AL12" s="34"/>
      <c r="AM12" s="32"/>
      <c r="AN12" s="32"/>
      <c r="AO12" s="32"/>
      <c r="AP12" s="34"/>
      <c r="AQ12" s="34"/>
      <c r="AR12" s="34"/>
      <c r="AS12" s="34"/>
      <c r="AT12" s="34"/>
      <c r="AU12" s="34"/>
      <c r="AV12" s="34"/>
      <c r="AW12" s="34"/>
      <c r="AX12" s="34"/>
      <c r="AY12" s="32"/>
      <c r="AZ12" s="32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48"/>
      <c r="BL12" s="34"/>
      <c r="BM12" s="34"/>
      <c r="BN12" s="45"/>
      <c r="BO12" s="32"/>
      <c r="BP12" s="45"/>
      <c r="BQ12" s="48"/>
      <c r="BR12" s="48"/>
      <c r="BS12" s="45"/>
      <c r="BT12" s="49"/>
      <c r="BU12" s="49"/>
      <c r="BV12" s="49"/>
      <c r="BW12" s="45"/>
      <c r="BX12" s="48"/>
      <c r="BY12" s="48"/>
      <c r="BZ12" s="48"/>
      <c r="CA12" s="45"/>
      <c r="CB12" s="48"/>
      <c r="CC12" s="48"/>
      <c r="CD12" s="48"/>
      <c r="CE12" s="48"/>
      <c r="CF12" s="45"/>
      <c r="CG12" s="48"/>
      <c r="CH12" s="48"/>
      <c r="CI12" s="48"/>
      <c r="CJ12" s="48"/>
      <c r="CK12" s="45"/>
      <c r="CL12" s="48"/>
      <c r="CM12" s="48"/>
      <c r="CN12" s="48"/>
      <c r="CO12" s="45"/>
      <c r="CP12" s="45"/>
      <c r="CQ12" s="48"/>
      <c r="CR12" s="45"/>
      <c r="CS12" s="32"/>
      <c r="CT12" s="45"/>
      <c r="CU12" s="48"/>
      <c r="CV12" s="45"/>
      <c r="CW12" s="45"/>
      <c r="CX12" s="45"/>
      <c r="CY12" s="48"/>
      <c r="CZ12" s="45"/>
      <c r="DA12" s="45"/>
      <c r="DB12" s="45"/>
      <c r="DC12" s="48"/>
      <c r="DD12" s="45"/>
      <c r="DE12" s="45"/>
      <c r="DF12" s="45"/>
      <c r="DG12" s="45"/>
      <c r="DH12" s="49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>
        <v>0</v>
      </c>
      <c r="DX12" s="45">
        <v>0</v>
      </c>
      <c r="DY12" s="124"/>
      <c r="DZ12" s="48"/>
      <c r="EA12" s="49"/>
      <c r="EB12" s="48"/>
      <c r="EC12" s="48"/>
      <c r="ED12" s="125"/>
      <c r="EE12" s="45"/>
      <c r="EF12" s="34"/>
      <c r="EG12" s="34"/>
      <c r="EH12" s="34"/>
      <c r="EI12" s="45"/>
      <c r="EJ12" s="34"/>
      <c r="EK12" s="34"/>
      <c r="EL12" s="34"/>
      <c r="EM12" s="45"/>
      <c r="EN12" s="34"/>
      <c r="EO12" s="34"/>
      <c r="EP12" s="34"/>
      <c r="EQ12" s="34"/>
      <c r="ER12" s="45"/>
      <c r="ES12" s="34"/>
      <c r="ET12" s="34"/>
      <c r="EU12" s="34"/>
      <c r="EV12" s="34"/>
      <c r="EW12" s="45"/>
      <c r="EX12" s="34"/>
      <c r="EY12" s="34"/>
      <c r="EZ12" s="34"/>
      <c r="FA12" s="45">
        <v>0</v>
      </c>
      <c r="FB12" s="34"/>
      <c r="FC12" s="34"/>
      <c r="FD12" s="34"/>
      <c r="FE12" s="34"/>
      <c r="FF12" s="34"/>
      <c r="FG12" s="34"/>
      <c r="FH12" s="32">
        <v>4529410</v>
      </c>
      <c r="FI12" s="34">
        <f t="shared" si="88"/>
        <v>4529410</v>
      </c>
      <c r="FJ12" s="34"/>
      <c r="FK12" s="34">
        <v>0</v>
      </c>
      <c r="FL12" s="44">
        <f t="shared" si="89"/>
        <v>0</v>
      </c>
      <c r="FM12" s="44">
        <f t="shared" si="90"/>
        <v>-4529410</v>
      </c>
      <c r="FN12" s="44"/>
      <c r="FO12" s="9"/>
      <c r="FQ12" s="3"/>
      <c r="FR12" s="3"/>
    </row>
    <row r="13" spans="1:174" ht="12.75">
      <c r="A13" s="22" t="s">
        <v>50</v>
      </c>
      <c r="B13" s="23"/>
      <c r="C13" s="61" t="s">
        <v>159</v>
      </c>
      <c r="D13" s="25"/>
      <c r="E13" s="26">
        <v>0</v>
      </c>
      <c r="F13" s="26">
        <v>0</v>
      </c>
      <c r="G13" s="26">
        <v>4175489</v>
      </c>
      <c r="H13" s="26"/>
      <c r="I13" s="26">
        <f t="shared" si="0"/>
        <v>4175489</v>
      </c>
      <c r="J13" s="27"/>
      <c r="K13" s="27"/>
      <c r="L13" s="27">
        <f t="shared" si="1"/>
        <v>0</v>
      </c>
      <c r="M13" s="28">
        <f t="shared" si="9"/>
        <v>4175489</v>
      </c>
      <c r="N13" s="28">
        <f>M13+J13</f>
        <v>4175489</v>
      </c>
      <c r="O13" s="28">
        <v>3097940</v>
      </c>
      <c r="P13" s="28">
        <v>2347940</v>
      </c>
      <c r="Q13" s="28">
        <v>4075489</v>
      </c>
      <c r="R13" s="28">
        <v>3275489</v>
      </c>
      <c r="S13" s="28">
        <v>3.8940000000000002E-2</v>
      </c>
      <c r="T13" s="28">
        <f t="shared" si="91"/>
        <v>-127547.54166</v>
      </c>
      <c r="U13" s="28">
        <f t="shared" si="92"/>
        <v>3147941.4583399999</v>
      </c>
      <c r="V13" s="28">
        <f t="shared" si="2"/>
        <v>-1027547.5416600001</v>
      </c>
      <c r="W13" s="29">
        <v>3147940</v>
      </c>
      <c r="X13" s="29"/>
      <c r="Y13" s="29">
        <f t="shared" si="10"/>
        <v>3147940</v>
      </c>
      <c r="Z13" s="30">
        <v>3947940</v>
      </c>
      <c r="AA13" s="30">
        <f t="shared" si="11"/>
        <v>800000</v>
      </c>
      <c r="AB13" s="30">
        <v>3147940</v>
      </c>
      <c r="AC13" s="30">
        <v>3147940</v>
      </c>
      <c r="AD13" s="31">
        <v>3084981</v>
      </c>
      <c r="AE13" s="30"/>
      <c r="AF13" s="30"/>
      <c r="AG13" s="30">
        <f>AC13-Z13</f>
        <v>-800000</v>
      </c>
      <c r="AH13" s="31">
        <v>3084981</v>
      </c>
      <c r="AI13" s="31">
        <v>3147940</v>
      </c>
      <c r="AJ13" s="30">
        <f t="shared" si="3"/>
        <v>-62959</v>
      </c>
      <c r="AK13" s="30">
        <f>AD13-Z13</f>
        <v>-862959</v>
      </c>
      <c r="AL13" s="30">
        <f t="shared" si="13"/>
        <v>-62959</v>
      </c>
      <c r="AM13" s="31">
        <f t="shared" si="14"/>
        <v>-62959</v>
      </c>
      <c r="AN13" s="31">
        <f t="shared" si="15"/>
        <v>-862959</v>
      </c>
      <c r="AO13" s="31">
        <f t="shared" si="4"/>
        <v>-62959</v>
      </c>
      <c r="AP13" s="30">
        <v>3147940</v>
      </c>
      <c r="AQ13" s="30">
        <f t="shared" si="5"/>
        <v>0</v>
      </c>
      <c r="AR13" s="30">
        <f t="shared" si="16"/>
        <v>-800000</v>
      </c>
      <c r="AS13" s="30">
        <f t="shared" si="17"/>
        <v>0</v>
      </c>
      <c r="AT13" s="30"/>
      <c r="AU13" s="30">
        <f t="shared" si="18"/>
        <v>3147940</v>
      </c>
      <c r="AV13" s="30">
        <v>3547940</v>
      </c>
      <c r="AW13" s="30">
        <f t="shared" si="19"/>
        <v>400000</v>
      </c>
      <c r="AX13" s="30">
        <v>3147940</v>
      </c>
      <c r="AY13" s="31">
        <f t="shared" si="93"/>
        <v>0</v>
      </c>
      <c r="AZ13" s="31">
        <f t="shared" si="94"/>
        <v>-400000</v>
      </c>
      <c r="BA13" s="30">
        <v>3147940</v>
      </c>
      <c r="BB13" s="30">
        <f t="shared" si="20"/>
        <v>0</v>
      </c>
      <c r="BC13" s="30">
        <f t="shared" si="21"/>
        <v>-400000</v>
      </c>
      <c r="BD13" s="30">
        <f t="shared" si="22"/>
        <v>0</v>
      </c>
      <c r="BE13" s="30">
        <v>3147940</v>
      </c>
      <c r="BF13" s="30">
        <v>3147940</v>
      </c>
      <c r="BG13" s="30">
        <v>3147940</v>
      </c>
      <c r="BH13" s="30">
        <f t="shared" si="23"/>
        <v>0</v>
      </c>
      <c r="BI13" s="30">
        <f t="shared" si="24"/>
        <v>-400000</v>
      </c>
      <c r="BJ13" s="30">
        <f t="shared" si="25"/>
        <v>0</v>
      </c>
      <c r="BK13" s="8">
        <f t="shared" si="26"/>
        <v>0</v>
      </c>
      <c r="BL13" s="30">
        <v>25000</v>
      </c>
      <c r="BM13" s="30">
        <f t="shared" si="27"/>
        <v>3122940</v>
      </c>
      <c r="BN13" s="44">
        <v>3797940</v>
      </c>
      <c r="BO13" s="31">
        <f t="shared" si="28"/>
        <v>675000</v>
      </c>
      <c r="BP13" s="44">
        <v>1500000</v>
      </c>
      <c r="BQ13" s="8">
        <f t="shared" si="29"/>
        <v>-1622940</v>
      </c>
      <c r="BR13" s="8">
        <f t="shared" si="30"/>
        <v>-2297940</v>
      </c>
      <c r="BS13" s="44">
        <v>1800000</v>
      </c>
      <c r="BT13" s="47">
        <f t="shared" si="31"/>
        <v>-1322940</v>
      </c>
      <c r="BU13" s="47">
        <f t="shared" si="32"/>
        <v>-1997940</v>
      </c>
      <c r="BV13" s="47">
        <f t="shared" si="33"/>
        <v>300000</v>
      </c>
      <c r="BW13" s="45">
        <v>3000000</v>
      </c>
      <c r="BX13" s="8">
        <f t="shared" si="34"/>
        <v>-122940</v>
      </c>
      <c r="BY13" s="8">
        <f t="shared" si="35"/>
        <v>-797940</v>
      </c>
      <c r="BZ13" s="8">
        <f t="shared" si="36"/>
        <v>1200000</v>
      </c>
      <c r="CA13" s="45">
        <v>3000000</v>
      </c>
      <c r="CB13" s="8">
        <f t="shared" si="37"/>
        <v>-122940</v>
      </c>
      <c r="CC13" s="8">
        <f t="shared" si="38"/>
        <v>-797940</v>
      </c>
      <c r="CD13" s="8">
        <f t="shared" si="6"/>
        <v>1200000</v>
      </c>
      <c r="CE13" s="8">
        <f t="shared" si="39"/>
        <v>0</v>
      </c>
      <c r="CF13" s="45">
        <v>2300000</v>
      </c>
      <c r="CG13" s="8">
        <f t="shared" si="40"/>
        <v>-822940</v>
      </c>
      <c r="CH13" s="8">
        <f t="shared" si="41"/>
        <v>-1497940</v>
      </c>
      <c r="CI13" s="8">
        <f t="shared" si="42"/>
        <v>500000</v>
      </c>
      <c r="CJ13" s="8">
        <f t="shared" si="43"/>
        <v>-700000</v>
      </c>
      <c r="CK13" s="45">
        <v>2300000</v>
      </c>
      <c r="CL13" s="8">
        <f t="shared" si="7"/>
        <v>-822940</v>
      </c>
      <c r="CM13" s="8">
        <f t="shared" si="44"/>
        <v>-1497940</v>
      </c>
      <c r="CN13" s="8">
        <f t="shared" si="45"/>
        <v>0</v>
      </c>
      <c r="CO13" s="45">
        <f>CK13+400000+350000</f>
        <v>3050000</v>
      </c>
      <c r="CP13" s="45">
        <f t="shared" si="46"/>
        <v>-747940</v>
      </c>
      <c r="CQ13" s="8">
        <f t="shared" si="47"/>
        <v>750000</v>
      </c>
      <c r="CR13" s="45">
        <v>1800000</v>
      </c>
      <c r="CS13" s="32">
        <v>320000</v>
      </c>
      <c r="CT13" s="45">
        <f t="shared" si="48"/>
        <v>2120000</v>
      </c>
      <c r="CU13" s="8">
        <f t="shared" si="49"/>
        <v>-180000</v>
      </c>
      <c r="CV13" s="45">
        <f t="shared" si="50"/>
        <v>-930000</v>
      </c>
      <c r="CW13" s="45">
        <f t="shared" si="51"/>
        <v>320000</v>
      </c>
      <c r="CX13" s="45">
        <v>2300000</v>
      </c>
      <c r="CY13" s="8">
        <f t="shared" si="52"/>
        <v>0</v>
      </c>
      <c r="CZ13" s="45">
        <f t="shared" si="53"/>
        <v>-750000</v>
      </c>
      <c r="DA13" s="45">
        <f t="shared" si="54"/>
        <v>180000</v>
      </c>
      <c r="DB13" s="45">
        <v>2300000</v>
      </c>
      <c r="DC13" s="8">
        <f t="shared" si="55"/>
        <v>0</v>
      </c>
      <c r="DD13" s="45">
        <f t="shared" si="56"/>
        <v>-750000</v>
      </c>
      <c r="DE13" s="45">
        <f t="shared" si="57"/>
        <v>180000</v>
      </c>
      <c r="DF13" s="45">
        <f t="shared" si="58"/>
        <v>0</v>
      </c>
      <c r="DG13" s="45">
        <v>2020000</v>
      </c>
      <c r="DH13" s="47">
        <f t="shared" si="59"/>
        <v>-280000</v>
      </c>
      <c r="DI13" s="45">
        <f t="shared" si="60"/>
        <v>-1030000</v>
      </c>
      <c r="DJ13" s="45">
        <f t="shared" si="61"/>
        <v>-100000</v>
      </c>
      <c r="DK13" s="45">
        <f t="shared" si="62"/>
        <v>-280000</v>
      </c>
      <c r="DL13" s="45">
        <v>-20000</v>
      </c>
      <c r="DM13" s="45">
        <f t="shared" si="63"/>
        <v>2000000</v>
      </c>
      <c r="DN13" s="45">
        <v>2020000</v>
      </c>
      <c r="DO13" s="45">
        <f t="shared" si="64"/>
        <v>-280000</v>
      </c>
      <c r="DP13" s="45"/>
      <c r="DQ13" s="45">
        <v>-18000</v>
      </c>
      <c r="DR13" s="45">
        <f t="shared" si="65"/>
        <v>2002000</v>
      </c>
      <c r="DS13" s="45">
        <f t="shared" si="66"/>
        <v>-298000</v>
      </c>
      <c r="DT13" s="45">
        <v>-106984</v>
      </c>
      <c r="DU13" s="45">
        <f t="shared" si="67"/>
        <v>1895016</v>
      </c>
      <c r="DV13" s="45">
        <f t="shared" si="68"/>
        <v>-404984</v>
      </c>
      <c r="DW13" s="45">
        <v>1895016</v>
      </c>
      <c r="DX13" s="45">
        <v>0</v>
      </c>
      <c r="DY13" s="9"/>
      <c r="DZ13" s="8">
        <f t="shared" si="69"/>
        <v>-1895016</v>
      </c>
      <c r="EA13" s="47">
        <v>1800000</v>
      </c>
      <c r="EB13" s="8">
        <f t="shared" si="70"/>
        <v>-95016</v>
      </c>
      <c r="EC13" s="8">
        <f t="shared" si="71"/>
        <v>1800000</v>
      </c>
      <c r="ED13" s="71" t="s">
        <v>268</v>
      </c>
      <c r="EE13" s="44">
        <v>1900000</v>
      </c>
      <c r="EF13" s="30">
        <f t="shared" si="72"/>
        <v>4984</v>
      </c>
      <c r="EG13" s="30">
        <f t="shared" si="73"/>
        <v>1900000</v>
      </c>
      <c r="EH13" s="30">
        <f t="shared" si="74"/>
        <v>100000</v>
      </c>
      <c r="EI13" s="44">
        <v>2800000</v>
      </c>
      <c r="EJ13" s="30">
        <f t="shared" si="75"/>
        <v>904984</v>
      </c>
      <c r="EK13" s="30">
        <f t="shared" si="76"/>
        <v>2800000</v>
      </c>
      <c r="EL13" s="30">
        <f t="shared" si="77"/>
        <v>900000</v>
      </c>
      <c r="EM13" s="44">
        <v>2800000</v>
      </c>
      <c r="EN13" s="30">
        <f t="shared" si="95"/>
        <v>904984</v>
      </c>
      <c r="EO13" s="30">
        <f t="shared" si="96"/>
        <v>2800000</v>
      </c>
      <c r="EP13" s="30">
        <f t="shared" si="97"/>
        <v>900000</v>
      </c>
      <c r="EQ13" s="30">
        <f t="shared" si="78"/>
        <v>0</v>
      </c>
      <c r="ER13" s="44">
        <v>2000000</v>
      </c>
      <c r="ES13" s="30">
        <f t="shared" si="79"/>
        <v>104984</v>
      </c>
      <c r="ET13" s="30">
        <f t="shared" si="80"/>
        <v>2000000</v>
      </c>
      <c r="EU13" s="30">
        <f t="shared" si="81"/>
        <v>100000</v>
      </c>
      <c r="EV13" s="30">
        <f t="shared" si="82"/>
        <v>-800000</v>
      </c>
      <c r="EW13" s="44">
        <v>2000000</v>
      </c>
      <c r="EX13" s="30">
        <f t="shared" si="83"/>
        <v>104984</v>
      </c>
      <c r="EY13" s="30">
        <f t="shared" si="84"/>
        <v>0</v>
      </c>
      <c r="EZ13" s="30">
        <f t="shared" si="8"/>
        <v>0</v>
      </c>
      <c r="FA13" s="44">
        <v>2000000</v>
      </c>
      <c r="FB13" s="30">
        <f t="shared" si="85"/>
        <v>104984</v>
      </c>
      <c r="FC13" s="30"/>
      <c r="FD13" s="30">
        <f t="shared" si="86"/>
        <v>2000000</v>
      </c>
      <c r="FE13" s="30"/>
      <c r="FF13" s="30"/>
      <c r="FG13" s="30">
        <f t="shared" si="87"/>
        <v>2000000</v>
      </c>
      <c r="FH13" s="31">
        <v>0</v>
      </c>
      <c r="FI13" s="30">
        <f t="shared" si="88"/>
        <v>-2000000</v>
      </c>
      <c r="FJ13" s="30"/>
      <c r="FK13" s="30">
        <v>1789671</v>
      </c>
      <c r="FL13" s="44">
        <f t="shared" si="89"/>
        <v>-210329</v>
      </c>
      <c r="FM13" s="44">
        <f t="shared" si="90"/>
        <v>1789671</v>
      </c>
      <c r="FN13" s="44" t="s">
        <v>329</v>
      </c>
      <c r="FO13" s="9"/>
    </row>
    <row r="14" spans="1:174" ht="12.75">
      <c r="A14" s="46" t="s">
        <v>226</v>
      </c>
      <c r="B14" s="23"/>
      <c r="C14" s="60" t="s">
        <v>227</v>
      </c>
      <c r="D14" s="25"/>
      <c r="E14" s="26"/>
      <c r="F14" s="26"/>
      <c r="G14" s="26"/>
      <c r="H14" s="26"/>
      <c r="I14" s="26"/>
      <c r="J14" s="27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9"/>
      <c r="X14" s="29"/>
      <c r="Y14" s="29"/>
      <c r="Z14" s="30"/>
      <c r="AA14" s="30"/>
      <c r="AB14" s="30"/>
      <c r="AC14" s="30"/>
      <c r="AD14" s="31"/>
      <c r="AE14" s="30"/>
      <c r="AF14" s="30"/>
      <c r="AG14" s="30"/>
      <c r="AH14" s="31"/>
      <c r="AI14" s="31"/>
      <c r="AJ14" s="30"/>
      <c r="AK14" s="30"/>
      <c r="AL14" s="30"/>
      <c r="AM14" s="31"/>
      <c r="AN14" s="31"/>
      <c r="AO14" s="31"/>
      <c r="AP14" s="30"/>
      <c r="AQ14" s="30"/>
      <c r="AR14" s="30"/>
      <c r="AS14" s="30"/>
      <c r="AT14" s="30"/>
      <c r="AU14" s="30"/>
      <c r="AV14" s="30"/>
      <c r="AW14" s="30"/>
      <c r="AX14" s="30"/>
      <c r="AY14" s="31"/>
      <c r="AZ14" s="31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8"/>
      <c r="BL14" s="30"/>
      <c r="BM14" s="30"/>
      <c r="BN14" s="44"/>
      <c r="BO14" s="31"/>
      <c r="BP14" s="44"/>
      <c r="BQ14" s="8"/>
      <c r="BR14" s="8"/>
      <c r="BS14" s="44"/>
      <c r="BT14" s="47"/>
      <c r="BU14" s="47"/>
      <c r="BV14" s="47"/>
      <c r="BW14" s="45"/>
      <c r="BX14" s="8"/>
      <c r="BY14" s="8"/>
      <c r="BZ14" s="8"/>
      <c r="CA14" s="45"/>
      <c r="CB14" s="8"/>
      <c r="CC14" s="8"/>
      <c r="CD14" s="8"/>
      <c r="CE14" s="8"/>
      <c r="CF14" s="45"/>
      <c r="CG14" s="8"/>
      <c r="CH14" s="8"/>
      <c r="CI14" s="8"/>
      <c r="CJ14" s="8"/>
      <c r="CK14" s="45"/>
      <c r="CL14" s="8"/>
      <c r="CM14" s="8"/>
      <c r="CN14" s="8"/>
      <c r="CO14" s="45"/>
      <c r="CP14" s="45"/>
      <c r="CQ14" s="8"/>
      <c r="CR14" s="45"/>
      <c r="CS14" s="32"/>
      <c r="CT14" s="45"/>
      <c r="CU14" s="8"/>
      <c r="CV14" s="45"/>
      <c r="CW14" s="45"/>
      <c r="CX14" s="45">
        <v>500000</v>
      </c>
      <c r="CY14" s="8">
        <f t="shared" si="52"/>
        <v>500000</v>
      </c>
      <c r="CZ14" s="45">
        <f t="shared" si="53"/>
        <v>500000</v>
      </c>
      <c r="DA14" s="45">
        <f t="shared" si="54"/>
        <v>500000</v>
      </c>
      <c r="DB14" s="45">
        <v>500000</v>
      </c>
      <c r="DC14" s="8">
        <f t="shared" si="55"/>
        <v>500000</v>
      </c>
      <c r="DD14" s="45">
        <f t="shared" si="56"/>
        <v>500000</v>
      </c>
      <c r="DE14" s="45">
        <f t="shared" si="57"/>
        <v>500000</v>
      </c>
      <c r="DF14" s="45">
        <f t="shared" si="58"/>
        <v>0</v>
      </c>
      <c r="DG14" s="45">
        <v>500000</v>
      </c>
      <c r="DH14" s="47">
        <f t="shared" si="59"/>
        <v>500000</v>
      </c>
      <c r="DI14" s="45">
        <f t="shared" si="60"/>
        <v>500000</v>
      </c>
      <c r="DJ14" s="45">
        <f t="shared" si="61"/>
        <v>500000</v>
      </c>
      <c r="DK14" s="45">
        <f t="shared" si="62"/>
        <v>0</v>
      </c>
      <c r="DL14" s="45">
        <v>-500000</v>
      </c>
      <c r="DM14" s="45">
        <f t="shared" si="63"/>
        <v>0</v>
      </c>
      <c r="DN14" s="45">
        <v>500000</v>
      </c>
      <c r="DO14" s="45">
        <f t="shared" si="64"/>
        <v>500000</v>
      </c>
      <c r="DP14" s="45"/>
      <c r="DQ14" s="45">
        <v>-500000</v>
      </c>
      <c r="DR14" s="45">
        <f t="shared" si="65"/>
        <v>0</v>
      </c>
      <c r="DS14" s="45">
        <f t="shared" si="66"/>
        <v>0</v>
      </c>
      <c r="DT14" s="45"/>
      <c r="DU14" s="45">
        <f t="shared" si="67"/>
        <v>0</v>
      </c>
      <c r="DV14" s="45">
        <f t="shared" si="68"/>
        <v>0</v>
      </c>
      <c r="DW14" s="45">
        <v>0</v>
      </c>
      <c r="DX14" s="45">
        <v>0</v>
      </c>
      <c r="DY14" s="67" t="s">
        <v>234</v>
      </c>
      <c r="DZ14" s="8">
        <f t="shared" si="69"/>
        <v>0</v>
      </c>
      <c r="EA14" s="47">
        <v>0</v>
      </c>
      <c r="EB14" s="8">
        <f t="shared" si="70"/>
        <v>0</v>
      </c>
      <c r="EC14" s="8">
        <f t="shared" si="71"/>
        <v>0</v>
      </c>
      <c r="ED14" s="73"/>
      <c r="EE14" s="44"/>
      <c r="EF14" s="30">
        <f t="shared" si="72"/>
        <v>0</v>
      </c>
      <c r="EG14" s="30">
        <f t="shared" si="73"/>
        <v>0</v>
      </c>
      <c r="EH14" s="30">
        <f t="shared" si="74"/>
        <v>0</v>
      </c>
      <c r="EI14" s="44">
        <v>300000</v>
      </c>
      <c r="EJ14" s="30">
        <f t="shared" si="75"/>
        <v>300000</v>
      </c>
      <c r="EK14" s="30">
        <f t="shared" si="76"/>
        <v>300000</v>
      </c>
      <c r="EL14" s="30">
        <f t="shared" si="77"/>
        <v>300000</v>
      </c>
      <c r="EM14" s="44">
        <v>300000</v>
      </c>
      <c r="EN14" s="30">
        <f t="shared" si="95"/>
        <v>300000</v>
      </c>
      <c r="EO14" s="30">
        <f t="shared" si="96"/>
        <v>300000</v>
      </c>
      <c r="EP14" s="30">
        <f t="shared" si="97"/>
        <v>300000</v>
      </c>
      <c r="EQ14" s="30">
        <f t="shared" si="78"/>
        <v>0</v>
      </c>
      <c r="ER14" s="44">
        <v>300000</v>
      </c>
      <c r="ES14" s="30">
        <f t="shared" si="79"/>
        <v>300000</v>
      </c>
      <c r="ET14" s="30">
        <f t="shared" si="80"/>
        <v>300000</v>
      </c>
      <c r="EU14" s="30">
        <f t="shared" si="81"/>
        <v>300000</v>
      </c>
      <c r="EV14" s="30">
        <f t="shared" si="82"/>
        <v>0</v>
      </c>
      <c r="EW14" s="44">
        <v>300000</v>
      </c>
      <c r="EX14" s="30">
        <f t="shared" si="83"/>
        <v>300000</v>
      </c>
      <c r="EY14" s="30">
        <f t="shared" si="84"/>
        <v>0</v>
      </c>
      <c r="EZ14" s="30">
        <f t="shared" si="8"/>
        <v>0</v>
      </c>
      <c r="FA14" s="44">
        <v>300000</v>
      </c>
      <c r="FB14" s="30">
        <f t="shared" si="85"/>
        <v>300000</v>
      </c>
      <c r="FC14" s="30"/>
      <c r="FD14" s="30">
        <f t="shared" si="86"/>
        <v>300000</v>
      </c>
      <c r="FE14" s="30"/>
      <c r="FF14" s="30"/>
      <c r="FG14" s="30">
        <f t="shared" si="87"/>
        <v>300000</v>
      </c>
      <c r="FH14" s="31">
        <v>0</v>
      </c>
      <c r="FI14" s="30">
        <f t="shared" si="88"/>
        <v>-300000</v>
      </c>
      <c r="FJ14" s="30"/>
      <c r="FK14" s="30">
        <v>0</v>
      </c>
      <c r="FL14" s="44">
        <f t="shared" si="89"/>
        <v>-300000</v>
      </c>
      <c r="FM14" s="44">
        <f t="shared" si="90"/>
        <v>0</v>
      </c>
      <c r="FN14" s="44"/>
      <c r="FO14" s="67" t="s">
        <v>276</v>
      </c>
      <c r="FP14" s="75"/>
    </row>
    <row r="15" spans="1:174" ht="25.5">
      <c r="A15" s="46" t="s">
        <v>228</v>
      </c>
      <c r="B15" s="23"/>
      <c r="C15" s="61" t="s">
        <v>229</v>
      </c>
      <c r="D15" s="25"/>
      <c r="E15" s="26"/>
      <c r="F15" s="26"/>
      <c r="G15" s="26"/>
      <c r="H15" s="26"/>
      <c r="I15" s="26"/>
      <c r="J15" s="27"/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9"/>
      <c r="X15" s="29"/>
      <c r="Y15" s="29"/>
      <c r="Z15" s="30"/>
      <c r="AA15" s="30"/>
      <c r="AB15" s="30"/>
      <c r="AC15" s="30"/>
      <c r="AD15" s="31"/>
      <c r="AE15" s="30"/>
      <c r="AF15" s="30"/>
      <c r="AG15" s="30"/>
      <c r="AH15" s="31"/>
      <c r="AI15" s="31"/>
      <c r="AJ15" s="30"/>
      <c r="AK15" s="30"/>
      <c r="AL15" s="30"/>
      <c r="AM15" s="31"/>
      <c r="AN15" s="31"/>
      <c r="AO15" s="31"/>
      <c r="AP15" s="30"/>
      <c r="AQ15" s="30"/>
      <c r="AR15" s="30"/>
      <c r="AS15" s="30"/>
      <c r="AT15" s="30"/>
      <c r="AU15" s="30"/>
      <c r="AV15" s="30"/>
      <c r="AW15" s="30"/>
      <c r="AX15" s="30"/>
      <c r="AY15" s="31"/>
      <c r="AZ15" s="31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8"/>
      <c r="BL15" s="30"/>
      <c r="BM15" s="30"/>
      <c r="BN15" s="44"/>
      <c r="BO15" s="31"/>
      <c r="BP15" s="44"/>
      <c r="BQ15" s="8"/>
      <c r="BR15" s="8"/>
      <c r="BS15" s="44"/>
      <c r="BT15" s="47"/>
      <c r="BU15" s="47"/>
      <c r="BV15" s="47"/>
      <c r="BW15" s="45"/>
      <c r="BX15" s="8"/>
      <c r="BY15" s="8"/>
      <c r="BZ15" s="8"/>
      <c r="CA15" s="45"/>
      <c r="CB15" s="8"/>
      <c r="CC15" s="8"/>
      <c r="CD15" s="8"/>
      <c r="CE15" s="8"/>
      <c r="CF15" s="45"/>
      <c r="CG15" s="8"/>
      <c r="CH15" s="8"/>
      <c r="CI15" s="8"/>
      <c r="CJ15" s="8"/>
      <c r="CK15" s="45"/>
      <c r="CL15" s="8"/>
      <c r="CM15" s="8"/>
      <c r="CN15" s="8"/>
      <c r="CO15" s="45"/>
      <c r="CP15" s="45"/>
      <c r="CQ15" s="8"/>
      <c r="CR15" s="45"/>
      <c r="CS15" s="32"/>
      <c r="CT15" s="45"/>
      <c r="CU15" s="8"/>
      <c r="CV15" s="45"/>
      <c r="CW15" s="45"/>
      <c r="CX15" s="45">
        <v>5000000</v>
      </c>
      <c r="CY15" s="8">
        <f t="shared" si="52"/>
        <v>5000000</v>
      </c>
      <c r="CZ15" s="45">
        <f t="shared" si="53"/>
        <v>5000000</v>
      </c>
      <c r="DA15" s="45">
        <f t="shared" si="54"/>
        <v>5000000</v>
      </c>
      <c r="DB15" s="45">
        <v>5000000</v>
      </c>
      <c r="DC15" s="8">
        <f t="shared" si="55"/>
        <v>5000000</v>
      </c>
      <c r="DD15" s="45">
        <f t="shared" si="56"/>
        <v>5000000</v>
      </c>
      <c r="DE15" s="45">
        <f t="shared" si="57"/>
        <v>5000000</v>
      </c>
      <c r="DF15" s="45">
        <f t="shared" si="58"/>
        <v>0</v>
      </c>
      <c r="DG15" s="45">
        <v>5000000</v>
      </c>
      <c r="DH15" s="47">
        <f t="shared" si="59"/>
        <v>5000000</v>
      </c>
      <c r="DI15" s="45">
        <f t="shared" si="60"/>
        <v>5000000</v>
      </c>
      <c r="DJ15" s="45">
        <f t="shared" si="61"/>
        <v>5000000</v>
      </c>
      <c r="DK15" s="45">
        <f t="shared" si="62"/>
        <v>0</v>
      </c>
      <c r="DL15" s="45"/>
      <c r="DM15" s="45">
        <f t="shared" si="63"/>
        <v>5000000</v>
      </c>
      <c r="DN15" s="45">
        <v>5000000</v>
      </c>
      <c r="DO15" s="45">
        <f t="shared" si="64"/>
        <v>5000000</v>
      </c>
      <c r="DP15" s="45"/>
      <c r="DQ15" s="45">
        <v>0</v>
      </c>
      <c r="DR15" s="45">
        <f t="shared" si="65"/>
        <v>5000000</v>
      </c>
      <c r="DS15" s="45">
        <f t="shared" si="66"/>
        <v>5000000</v>
      </c>
      <c r="DT15" s="45">
        <v>-5000000</v>
      </c>
      <c r="DU15" s="45">
        <f t="shared" si="67"/>
        <v>0</v>
      </c>
      <c r="DV15" s="45">
        <f t="shared" si="68"/>
        <v>0</v>
      </c>
      <c r="DW15" s="45">
        <v>0</v>
      </c>
      <c r="DX15" s="45">
        <v>0</v>
      </c>
      <c r="DY15" s="67" t="s">
        <v>235</v>
      </c>
      <c r="DZ15" s="8">
        <f t="shared" si="69"/>
        <v>0</v>
      </c>
      <c r="EA15" s="47">
        <v>0</v>
      </c>
      <c r="EB15" s="8">
        <f t="shared" si="70"/>
        <v>0</v>
      </c>
      <c r="EC15" s="8">
        <f t="shared" si="71"/>
        <v>0</v>
      </c>
      <c r="ED15" s="73"/>
      <c r="EE15" s="44"/>
      <c r="EF15" s="30">
        <f t="shared" si="72"/>
        <v>0</v>
      </c>
      <c r="EG15" s="30">
        <f t="shared" si="73"/>
        <v>0</v>
      </c>
      <c r="EH15" s="30">
        <f t="shared" si="74"/>
        <v>0</v>
      </c>
      <c r="EI15" s="44">
        <v>1500000</v>
      </c>
      <c r="EJ15" s="30">
        <f t="shared" si="75"/>
        <v>1500000</v>
      </c>
      <c r="EK15" s="30">
        <f t="shared" si="76"/>
        <v>1500000</v>
      </c>
      <c r="EL15" s="30">
        <f t="shared" si="77"/>
        <v>1500000</v>
      </c>
      <c r="EM15" s="44">
        <v>1500000</v>
      </c>
      <c r="EN15" s="30">
        <f t="shared" si="95"/>
        <v>1500000</v>
      </c>
      <c r="EO15" s="30">
        <f t="shared" si="96"/>
        <v>1500000</v>
      </c>
      <c r="EP15" s="30">
        <f t="shared" si="97"/>
        <v>1500000</v>
      </c>
      <c r="EQ15" s="30">
        <f t="shared" si="78"/>
        <v>0</v>
      </c>
      <c r="ER15" s="44">
        <v>500000</v>
      </c>
      <c r="ES15" s="30">
        <f t="shared" si="79"/>
        <v>500000</v>
      </c>
      <c r="ET15" s="30">
        <f t="shared" si="80"/>
        <v>500000</v>
      </c>
      <c r="EU15" s="30">
        <f t="shared" si="81"/>
        <v>500000</v>
      </c>
      <c r="EV15" s="30">
        <f t="shared" si="82"/>
        <v>-1000000</v>
      </c>
      <c r="EW15" s="44">
        <v>500000</v>
      </c>
      <c r="EX15" s="30">
        <f t="shared" si="83"/>
        <v>500000</v>
      </c>
      <c r="EY15" s="30">
        <f t="shared" si="84"/>
        <v>0</v>
      </c>
      <c r="EZ15" s="30">
        <f t="shared" si="8"/>
        <v>0</v>
      </c>
      <c r="FA15" s="44">
        <v>500000</v>
      </c>
      <c r="FB15" s="30">
        <f t="shared" si="85"/>
        <v>500000</v>
      </c>
      <c r="FC15" s="30">
        <v>3800000</v>
      </c>
      <c r="FD15" s="30">
        <f t="shared" si="86"/>
        <v>4300000</v>
      </c>
      <c r="FE15" s="30"/>
      <c r="FF15" s="30"/>
      <c r="FG15" s="30">
        <f t="shared" si="87"/>
        <v>4300000</v>
      </c>
      <c r="FH15" s="31">
        <v>0</v>
      </c>
      <c r="FI15" s="30">
        <f t="shared" si="88"/>
        <v>-4300000</v>
      </c>
      <c r="FJ15" s="30"/>
      <c r="FK15" s="30">
        <v>0</v>
      </c>
      <c r="FL15" s="44">
        <f t="shared" si="89"/>
        <v>-4300000</v>
      </c>
      <c r="FM15" s="44">
        <f t="shared" si="90"/>
        <v>0</v>
      </c>
      <c r="FN15" s="44"/>
      <c r="FO15" s="67" t="s">
        <v>277</v>
      </c>
      <c r="FP15" s="75"/>
    </row>
    <row r="16" spans="1:174" ht="17.25" customHeight="1">
      <c r="A16" s="22" t="s">
        <v>15</v>
      </c>
      <c r="B16" s="23"/>
      <c r="C16" s="61" t="s">
        <v>145</v>
      </c>
      <c r="D16" s="25">
        <v>4129687</v>
      </c>
      <c r="E16" s="26">
        <v>4129687</v>
      </c>
      <c r="F16" s="26">
        <v>4092372</v>
      </c>
      <c r="G16" s="26">
        <v>2000000</v>
      </c>
      <c r="H16" s="26"/>
      <c r="I16" s="26">
        <f t="shared" si="0"/>
        <v>2000000</v>
      </c>
      <c r="J16" s="27"/>
      <c r="K16" s="27"/>
      <c r="L16" s="27">
        <f t="shared" si="1"/>
        <v>0</v>
      </c>
      <c r="M16" s="28">
        <f t="shared" si="9"/>
        <v>2000000</v>
      </c>
      <c r="N16" s="28">
        <f>M16+J16</f>
        <v>2000000</v>
      </c>
      <c r="O16" s="28">
        <v>2000000</v>
      </c>
      <c r="P16" s="28">
        <v>2000000</v>
      </c>
      <c r="Q16" s="28">
        <v>2100000</v>
      </c>
      <c r="R16" s="28">
        <v>2050000</v>
      </c>
      <c r="S16" s="28">
        <v>2.4389999999999998E-2</v>
      </c>
      <c r="T16" s="28">
        <v>-50000</v>
      </c>
      <c r="U16" s="28">
        <f t="shared" si="92"/>
        <v>2000000</v>
      </c>
      <c r="V16" s="28">
        <f t="shared" si="2"/>
        <v>0</v>
      </c>
      <c r="W16" s="29">
        <v>2000000</v>
      </c>
      <c r="X16" s="29">
        <v>2000000</v>
      </c>
      <c r="Y16" s="29">
        <f t="shared" si="10"/>
        <v>4000000</v>
      </c>
      <c r="Z16" s="30">
        <v>2000000</v>
      </c>
      <c r="AA16" s="30">
        <f t="shared" si="11"/>
        <v>0</v>
      </c>
      <c r="AB16" s="30">
        <v>0</v>
      </c>
      <c r="AC16" s="30">
        <v>0</v>
      </c>
      <c r="AD16" s="31">
        <v>1200000</v>
      </c>
      <c r="AE16" s="30"/>
      <c r="AF16" s="30">
        <f>AC16-SUM(W16:X16)</f>
        <v>-4000000</v>
      </c>
      <c r="AG16" s="30">
        <f>AC16-Z16</f>
        <v>-2000000</v>
      </c>
      <c r="AH16" s="31">
        <v>1200000</v>
      </c>
      <c r="AI16" s="31">
        <v>750000</v>
      </c>
      <c r="AJ16" s="30">
        <f>AD16-W16-X16</f>
        <v>-2800000</v>
      </c>
      <c r="AK16" s="30">
        <f>AD16-Z16</f>
        <v>-800000</v>
      </c>
      <c r="AL16" s="30">
        <f>AD16-AC16</f>
        <v>1200000</v>
      </c>
      <c r="AM16" s="31">
        <f>AH16-W16-X16</f>
        <v>-2800000</v>
      </c>
      <c r="AN16" s="31">
        <f t="shared" si="15"/>
        <v>-800000</v>
      </c>
      <c r="AO16" s="31">
        <f t="shared" si="4"/>
        <v>1200000</v>
      </c>
      <c r="AP16" s="30">
        <v>750000</v>
      </c>
      <c r="AQ16" s="30">
        <f t="shared" si="5"/>
        <v>-3250000</v>
      </c>
      <c r="AR16" s="30">
        <f t="shared" si="16"/>
        <v>-1250000</v>
      </c>
      <c r="AS16" s="30">
        <f t="shared" si="17"/>
        <v>-3250000</v>
      </c>
      <c r="AT16" s="30"/>
      <c r="AU16" s="30">
        <f t="shared" si="18"/>
        <v>750000</v>
      </c>
      <c r="AV16" s="30">
        <v>2770000</v>
      </c>
      <c r="AW16" s="30">
        <f t="shared" si="19"/>
        <v>2020000</v>
      </c>
      <c r="AX16" s="30">
        <v>2000000</v>
      </c>
      <c r="AY16" s="31">
        <f t="shared" si="93"/>
        <v>1250000</v>
      </c>
      <c r="AZ16" s="31">
        <f t="shared" si="94"/>
        <v>-770000</v>
      </c>
      <c r="BA16" s="30">
        <v>2770000</v>
      </c>
      <c r="BB16" s="30">
        <f t="shared" si="20"/>
        <v>2020000</v>
      </c>
      <c r="BC16" s="30">
        <f t="shared" si="21"/>
        <v>0</v>
      </c>
      <c r="BD16" s="30">
        <f t="shared" si="22"/>
        <v>770000</v>
      </c>
      <c r="BE16" s="30">
        <f>2750000+450000</f>
        <v>3200000</v>
      </c>
      <c r="BF16" s="30">
        <v>2870000</v>
      </c>
      <c r="BG16" s="30">
        <v>2870000</v>
      </c>
      <c r="BH16" s="30">
        <f t="shared" si="23"/>
        <v>2120000</v>
      </c>
      <c r="BI16" s="30">
        <f t="shared" si="24"/>
        <v>100000</v>
      </c>
      <c r="BJ16" s="30">
        <f t="shared" si="25"/>
        <v>100000</v>
      </c>
      <c r="BK16" s="8">
        <f t="shared" si="26"/>
        <v>-330000</v>
      </c>
      <c r="BL16" s="30"/>
      <c r="BM16" s="30">
        <f t="shared" si="27"/>
        <v>2870000</v>
      </c>
      <c r="BN16" s="45">
        <v>2871370</v>
      </c>
      <c r="BO16" s="31">
        <f t="shared" si="28"/>
        <v>1370</v>
      </c>
      <c r="BP16" s="44">
        <v>1000000</v>
      </c>
      <c r="BQ16" s="8">
        <f t="shared" si="29"/>
        <v>-1870000</v>
      </c>
      <c r="BR16" s="8">
        <f t="shared" si="30"/>
        <v>-1871370</v>
      </c>
      <c r="BS16" s="44">
        <v>2000000</v>
      </c>
      <c r="BT16" s="47">
        <f t="shared" si="31"/>
        <v>-870000</v>
      </c>
      <c r="BU16" s="47">
        <f t="shared" si="32"/>
        <v>-871370</v>
      </c>
      <c r="BV16" s="47">
        <f t="shared" si="33"/>
        <v>1000000</v>
      </c>
      <c r="BW16" s="45">
        <v>2870000</v>
      </c>
      <c r="BX16" s="8">
        <f t="shared" si="34"/>
        <v>0</v>
      </c>
      <c r="BY16" s="8">
        <f t="shared" si="35"/>
        <v>-1370</v>
      </c>
      <c r="BZ16" s="8">
        <f t="shared" si="36"/>
        <v>870000</v>
      </c>
      <c r="CA16" s="45">
        <f>2870000+500000</f>
        <v>3370000</v>
      </c>
      <c r="CB16" s="8">
        <f t="shared" si="37"/>
        <v>500000</v>
      </c>
      <c r="CC16" s="8">
        <f t="shared" si="38"/>
        <v>498630</v>
      </c>
      <c r="CD16" s="8">
        <f t="shared" si="6"/>
        <v>1370000</v>
      </c>
      <c r="CE16" s="8">
        <f t="shared" si="39"/>
        <v>500000</v>
      </c>
      <c r="CF16" s="45">
        <v>2750000</v>
      </c>
      <c r="CG16" s="8">
        <f t="shared" si="40"/>
        <v>-120000</v>
      </c>
      <c r="CH16" s="8">
        <f t="shared" si="41"/>
        <v>-121370</v>
      </c>
      <c r="CI16" s="8">
        <f t="shared" si="42"/>
        <v>750000</v>
      </c>
      <c r="CJ16" s="8">
        <f t="shared" si="43"/>
        <v>-620000</v>
      </c>
      <c r="CK16" s="45">
        <v>2750000</v>
      </c>
      <c r="CL16" s="8">
        <f t="shared" si="7"/>
        <v>-120000</v>
      </c>
      <c r="CM16" s="8">
        <f t="shared" si="44"/>
        <v>-121370</v>
      </c>
      <c r="CN16" s="8">
        <f t="shared" si="45"/>
        <v>0</v>
      </c>
      <c r="CO16" s="45">
        <v>2750000</v>
      </c>
      <c r="CP16" s="45">
        <f t="shared" si="46"/>
        <v>-121370</v>
      </c>
      <c r="CQ16" s="8">
        <f t="shared" si="47"/>
        <v>0</v>
      </c>
      <c r="CR16" s="45">
        <v>1000000</v>
      </c>
      <c r="CS16" s="32">
        <v>1750000</v>
      </c>
      <c r="CT16" s="45">
        <f t="shared" si="48"/>
        <v>2750000</v>
      </c>
      <c r="CU16" s="8">
        <f t="shared" si="49"/>
        <v>0</v>
      </c>
      <c r="CV16" s="45">
        <f t="shared" si="50"/>
        <v>0</v>
      </c>
      <c r="CW16" s="45">
        <f t="shared" si="51"/>
        <v>1750000</v>
      </c>
      <c r="CX16" s="45">
        <v>2500000</v>
      </c>
      <c r="CY16" s="8">
        <f t="shared" si="52"/>
        <v>-250000</v>
      </c>
      <c r="CZ16" s="45">
        <f t="shared" si="53"/>
        <v>-250000</v>
      </c>
      <c r="DA16" s="45">
        <f t="shared" si="54"/>
        <v>-250000</v>
      </c>
      <c r="DB16" s="45">
        <v>2500000</v>
      </c>
      <c r="DC16" s="8">
        <f t="shared" si="55"/>
        <v>-250000</v>
      </c>
      <c r="DD16" s="45">
        <f t="shared" si="56"/>
        <v>-250000</v>
      </c>
      <c r="DE16" s="45">
        <f t="shared" si="57"/>
        <v>-250000</v>
      </c>
      <c r="DF16" s="45">
        <f t="shared" si="58"/>
        <v>0</v>
      </c>
      <c r="DG16" s="45">
        <v>2750000</v>
      </c>
      <c r="DH16" s="47">
        <f t="shared" si="59"/>
        <v>0</v>
      </c>
      <c r="DI16" s="45">
        <f t="shared" si="60"/>
        <v>0</v>
      </c>
      <c r="DJ16" s="45">
        <f t="shared" si="61"/>
        <v>0</v>
      </c>
      <c r="DK16" s="45">
        <f t="shared" si="62"/>
        <v>250000</v>
      </c>
      <c r="DL16" s="45"/>
      <c r="DM16" s="45">
        <f t="shared" si="63"/>
        <v>2750000</v>
      </c>
      <c r="DN16" s="45">
        <v>2750000</v>
      </c>
      <c r="DO16" s="45">
        <f t="shared" si="64"/>
        <v>0</v>
      </c>
      <c r="DP16" s="45"/>
      <c r="DQ16" s="45">
        <v>-41250</v>
      </c>
      <c r="DR16" s="45">
        <f t="shared" si="65"/>
        <v>2708750</v>
      </c>
      <c r="DS16" s="45">
        <f t="shared" si="66"/>
        <v>-41250</v>
      </c>
      <c r="DT16" s="45"/>
      <c r="DU16" s="45">
        <f t="shared" si="67"/>
        <v>2708750</v>
      </c>
      <c r="DV16" s="45">
        <f t="shared" si="68"/>
        <v>-41250</v>
      </c>
      <c r="DW16" s="45">
        <v>2708750</v>
      </c>
      <c r="DX16" s="45">
        <v>2708750</v>
      </c>
      <c r="DY16" s="9"/>
      <c r="DZ16" s="8">
        <f t="shared" si="69"/>
        <v>0</v>
      </c>
      <c r="EA16" s="47">
        <v>1000000</v>
      </c>
      <c r="EB16" s="8">
        <f t="shared" si="70"/>
        <v>-1708750</v>
      </c>
      <c r="EC16" s="8">
        <f t="shared" si="71"/>
        <v>-1708750</v>
      </c>
      <c r="ED16" s="71" t="s">
        <v>271</v>
      </c>
      <c r="EE16" s="44">
        <v>2758750</v>
      </c>
      <c r="EF16" s="30">
        <f t="shared" si="72"/>
        <v>50000</v>
      </c>
      <c r="EG16" s="30">
        <f t="shared" si="73"/>
        <v>50000</v>
      </c>
      <c r="EH16" s="30">
        <f t="shared" si="74"/>
        <v>1758750</v>
      </c>
      <c r="EI16" s="44">
        <v>2800000</v>
      </c>
      <c r="EJ16" s="30">
        <f t="shared" si="75"/>
        <v>91250</v>
      </c>
      <c r="EK16" s="30">
        <f t="shared" si="76"/>
        <v>91250</v>
      </c>
      <c r="EL16" s="30">
        <f t="shared" si="77"/>
        <v>41250</v>
      </c>
      <c r="EM16" s="44">
        <f>2800000+75000+150000</f>
        <v>3025000</v>
      </c>
      <c r="EN16" s="30">
        <f t="shared" si="95"/>
        <v>316250</v>
      </c>
      <c r="EO16" s="30">
        <f t="shared" si="96"/>
        <v>316250</v>
      </c>
      <c r="EP16" s="30">
        <f t="shared" si="97"/>
        <v>266250</v>
      </c>
      <c r="EQ16" s="30">
        <f t="shared" si="78"/>
        <v>225000</v>
      </c>
      <c r="ER16" s="44">
        <f>2800000+75000+150000</f>
        <v>3025000</v>
      </c>
      <c r="ES16" s="30">
        <f t="shared" si="79"/>
        <v>316250</v>
      </c>
      <c r="ET16" s="30">
        <f t="shared" si="80"/>
        <v>316250</v>
      </c>
      <c r="EU16" s="30">
        <f t="shared" si="81"/>
        <v>266250</v>
      </c>
      <c r="EV16" s="30">
        <f t="shared" si="82"/>
        <v>0</v>
      </c>
      <c r="EW16" s="44">
        <f>2800000+75000+150000</f>
        <v>3025000</v>
      </c>
      <c r="EX16" s="30">
        <f t="shared" si="83"/>
        <v>316250</v>
      </c>
      <c r="EY16" s="30">
        <f t="shared" si="84"/>
        <v>0</v>
      </c>
      <c r="EZ16" s="30">
        <f t="shared" si="8"/>
        <v>0</v>
      </c>
      <c r="FA16" s="44">
        <f>2800000+75000+150000</f>
        <v>3025000</v>
      </c>
      <c r="FB16" s="30">
        <f t="shared" si="85"/>
        <v>316250</v>
      </c>
      <c r="FC16" s="30"/>
      <c r="FD16" s="30">
        <f t="shared" si="86"/>
        <v>3025000</v>
      </c>
      <c r="FE16" s="30"/>
      <c r="FF16" s="30"/>
      <c r="FG16" s="30">
        <f t="shared" si="87"/>
        <v>3025000</v>
      </c>
      <c r="FH16" s="31">
        <v>5450138</v>
      </c>
      <c r="FI16" s="30">
        <f t="shared" si="88"/>
        <v>2425138</v>
      </c>
      <c r="FJ16" s="44" t="s">
        <v>312</v>
      </c>
      <c r="FK16" s="44">
        <v>1000000</v>
      </c>
      <c r="FL16" s="44">
        <f t="shared" si="89"/>
        <v>-2025000</v>
      </c>
      <c r="FM16" s="44">
        <f t="shared" si="90"/>
        <v>-4450138</v>
      </c>
      <c r="FN16" s="44" t="s">
        <v>328</v>
      </c>
      <c r="FO16" s="9"/>
    </row>
    <row r="17" spans="1:171" ht="12.75">
      <c r="A17" s="22" t="s">
        <v>29</v>
      </c>
      <c r="B17" s="23"/>
      <c r="C17" s="60" t="s">
        <v>300</v>
      </c>
      <c r="D17" s="25">
        <v>470987</v>
      </c>
      <c r="E17" s="26">
        <v>470987</v>
      </c>
      <c r="F17" s="26">
        <v>447603</v>
      </c>
      <c r="G17" s="26">
        <v>397937</v>
      </c>
      <c r="H17" s="26"/>
      <c r="I17" s="26">
        <f t="shared" si="0"/>
        <v>397937</v>
      </c>
      <c r="J17" s="27"/>
      <c r="K17" s="27"/>
      <c r="L17" s="27">
        <f t="shared" si="1"/>
        <v>0</v>
      </c>
      <c r="M17" s="28">
        <f t="shared" si="9"/>
        <v>397937</v>
      </c>
      <c r="N17" s="28">
        <f>M17+J17</f>
        <v>397937</v>
      </c>
      <c r="O17" s="28">
        <v>361000</v>
      </c>
      <c r="P17" s="28">
        <v>397937</v>
      </c>
      <c r="Q17" s="28">
        <v>397937</v>
      </c>
      <c r="R17" s="28">
        <v>397937</v>
      </c>
      <c r="S17" s="28">
        <v>8.2930000000000004E-2</v>
      </c>
      <c r="T17" s="28">
        <f t="shared" si="91"/>
        <v>-33000.915410000001</v>
      </c>
      <c r="U17" s="28">
        <f t="shared" si="92"/>
        <v>364936.08458999998</v>
      </c>
      <c r="V17" s="28">
        <f t="shared" si="2"/>
        <v>-33000.915410000016</v>
      </c>
      <c r="W17" s="29">
        <v>364937</v>
      </c>
      <c r="X17" s="29"/>
      <c r="Y17" s="29">
        <f t="shared" si="10"/>
        <v>364937</v>
      </c>
      <c r="Z17" s="30">
        <v>364937</v>
      </c>
      <c r="AA17" s="30">
        <f t="shared" si="11"/>
        <v>0</v>
      </c>
      <c r="AB17" s="30">
        <v>364937</v>
      </c>
      <c r="AC17" s="30">
        <v>364937</v>
      </c>
      <c r="AD17" s="31">
        <v>357638</v>
      </c>
      <c r="AE17" s="30"/>
      <c r="AF17" s="30"/>
      <c r="AG17" s="30"/>
      <c r="AH17" s="31">
        <v>357638</v>
      </c>
      <c r="AI17" s="31">
        <v>364937</v>
      </c>
      <c r="AJ17" s="30">
        <f t="shared" ref="AJ17:AJ55" si="98">AD17-W17</f>
        <v>-7299</v>
      </c>
      <c r="AK17" s="30">
        <f t="shared" si="12"/>
        <v>-7299</v>
      </c>
      <c r="AL17" s="30">
        <f t="shared" si="13"/>
        <v>-7299</v>
      </c>
      <c r="AM17" s="31">
        <f t="shared" si="14"/>
        <v>-7299</v>
      </c>
      <c r="AN17" s="31">
        <f t="shared" si="15"/>
        <v>-7299</v>
      </c>
      <c r="AO17" s="31">
        <f t="shared" si="4"/>
        <v>-7299</v>
      </c>
      <c r="AP17" s="30">
        <v>364937</v>
      </c>
      <c r="AQ17" s="30">
        <f t="shared" si="5"/>
        <v>0</v>
      </c>
      <c r="AR17" s="30">
        <f t="shared" si="16"/>
        <v>0</v>
      </c>
      <c r="AS17" s="30">
        <f t="shared" si="17"/>
        <v>0</v>
      </c>
      <c r="AT17" s="30"/>
      <c r="AU17" s="30">
        <f t="shared" si="18"/>
        <v>364937</v>
      </c>
      <c r="AV17" s="30">
        <v>364937</v>
      </c>
      <c r="AW17" s="30">
        <f t="shared" si="19"/>
        <v>0</v>
      </c>
      <c r="AX17" s="30">
        <v>364937</v>
      </c>
      <c r="AY17" s="31">
        <f t="shared" si="93"/>
        <v>0</v>
      </c>
      <c r="AZ17" s="31">
        <f t="shared" si="94"/>
        <v>0</v>
      </c>
      <c r="BA17" s="30">
        <v>364937</v>
      </c>
      <c r="BB17" s="30">
        <f t="shared" si="20"/>
        <v>0</v>
      </c>
      <c r="BC17" s="30">
        <f t="shared" si="21"/>
        <v>0</v>
      </c>
      <c r="BD17" s="30">
        <f t="shared" si="22"/>
        <v>0</v>
      </c>
      <c r="BE17" s="30">
        <f>514937+700000</f>
        <v>1214937</v>
      </c>
      <c r="BF17" s="30">
        <f>514937+700000</f>
        <v>1214937</v>
      </c>
      <c r="BG17" s="30">
        <f>514937+700000</f>
        <v>1214937</v>
      </c>
      <c r="BH17" s="30">
        <f t="shared" si="23"/>
        <v>850000</v>
      </c>
      <c r="BI17" s="30">
        <f t="shared" si="24"/>
        <v>850000</v>
      </c>
      <c r="BJ17" s="30">
        <f t="shared" si="25"/>
        <v>850000</v>
      </c>
      <c r="BK17" s="8">
        <f t="shared" si="26"/>
        <v>0</v>
      </c>
      <c r="BL17" s="30"/>
      <c r="BM17" s="30">
        <f t="shared" si="27"/>
        <v>1214937</v>
      </c>
      <c r="BN17" s="44">
        <v>3345312</v>
      </c>
      <c r="BO17" s="31">
        <f t="shared" si="28"/>
        <v>2130375</v>
      </c>
      <c r="BP17" s="44">
        <v>1805319</v>
      </c>
      <c r="BQ17" s="8">
        <f t="shared" si="29"/>
        <v>590382</v>
      </c>
      <c r="BR17" s="8">
        <f t="shared" si="30"/>
        <v>-1539993</v>
      </c>
      <c r="BS17" s="44">
        <f>BP17</f>
        <v>1805319</v>
      </c>
      <c r="BT17" s="47">
        <f t="shared" si="31"/>
        <v>590382</v>
      </c>
      <c r="BU17" s="47">
        <f t="shared" si="32"/>
        <v>-1539993</v>
      </c>
      <c r="BV17" s="47">
        <f t="shared" si="33"/>
        <v>0</v>
      </c>
      <c r="BW17" s="45">
        <v>1805319</v>
      </c>
      <c r="BX17" s="8">
        <f t="shared" si="34"/>
        <v>590382</v>
      </c>
      <c r="BY17" s="8">
        <f t="shared" si="35"/>
        <v>-1539993</v>
      </c>
      <c r="BZ17" s="8">
        <f t="shared" si="36"/>
        <v>0</v>
      </c>
      <c r="CA17" s="45">
        <f>1805319+1194681</f>
        <v>3000000</v>
      </c>
      <c r="CB17" s="8">
        <f t="shared" si="37"/>
        <v>1785063</v>
      </c>
      <c r="CC17" s="8">
        <f t="shared" si="38"/>
        <v>-345312</v>
      </c>
      <c r="CD17" s="8">
        <f t="shared" si="6"/>
        <v>1194681</v>
      </c>
      <c r="CE17" s="8">
        <f t="shared" si="39"/>
        <v>1194681</v>
      </c>
      <c r="CF17" s="45">
        <v>2805319</v>
      </c>
      <c r="CG17" s="8">
        <f t="shared" si="40"/>
        <v>1590382</v>
      </c>
      <c r="CH17" s="8">
        <f t="shared" si="41"/>
        <v>-539993</v>
      </c>
      <c r="CI17" s="8">
        <f t="shared" si="42"/>
        <v>1000000</v>
      </c>
      <c r="CJ17" s="8">
        <f t="shared" si="43"/>
        <v>-194681</v>
      </c>
      <c r="CK17" s="45">
        <f>2805319+540000</f>
        <v>3345319</v>
      </c>
      <c r="CL17" s="8">
        <f t="shared" si="7"/>
        <v>2130382</v>
      </c>
      <c r="CM17" s="8">
        <f t="shared" si="44"/>
        <v>7</v>
      </c>
      <c r="CN17" s="8">
        <f t="shared" si="45"/>
        <v>540000</v>
      </c>
      <c r="CO17" s="45">
        <v>3372030</v>
      </c>
      <c r="CP17" s="45">
        <f t="shared" si="46"/>
        <v>26718</v>
      </c>
      <c r="CQ17" s="8">
        <f t="shared" si="47"/>
        <v>26711</v>
      </c>
      <c r="CR17" s="45">
        <v>2805319</v>
      </c>
      <c r="CS17" s="32"/>
      <c r="CT17" s="45">
        <f t="shared" si="48"/>
        <v>2805319</v>
      </c>
      <c r="CU17" s="8">
        <f t="shared" si="49"/>
        <v>-540000</v>
      </c>
      <c r="CV17" s="45">
        <f t="shared" si="50"/>
        <v>-566711</v>
      </c>
      <c r="CW17" s="45">
        <f t="shared" si="51"/>
        <v>0</v>
      </c>
      <c r="CX17" s="45">
        <v>3354919</v>
      </c>
      <c r="CY17" s="8">
        <f t="shared" si="52"/>
        <v>9600</v>
      </c>
      <c r="CZ17" s="45">
        <f t="shared" si="53"/>
        <v>-17111</v>
      </c>
      <c r="DA17" s="45">
        <f t="shared" si="54"/>
        <v>549600</v>
      </c>
      <c r="DB17" s="45">
        <v>3354919</v>
      </c>
      <c r="DC17" s="8">
        <f t="shared" si="55"/>
        <v>9600</v>
      </c>
      <c r="DD17" s="45">
        <f t="shared" si="56"/>
        <v>-17111</v>
      </c>
      <c r="DE17" s="45">
        <f t="shared" si="57"/>
        <v>549600</v>
      </c>
      <c r="DF17" s="45">
        <f t="shared" si="58"/>
        <v>0</v>
      </c>
      <c r="DG17" s="45">
        <v>2805319</v>
      </c>
      <c r="DH17" s="47">
        <f t="shared" si="59"/>
        <v>-540000</v>
      </c>
      <c r="DI17" s="45">
        <f t="shared" si="60"/>
        <v>-566711</v>
      </c>
      <c r="DJ17" s="45">
        <f t="shared" si="61"/>
        <v>0</v>
      </c>
      <c r="DK17" s="45">
        <f t="shared" si="62"/>
        <v>-549600</v>
      </c>
      <c r="DL17" s="45"/>
      <c r="DM17" s="45">
        <f t="shared" si="63"/>
        <v>2805319</v>
      </c>
      <c r="DN17" s="45">
        <v>2805319</v>
      </c>
      <c r="DO17" s="45">
        <f t="shared" si="64"/>
        <v>-540000</v>
      </c>
      <c r="DP17" s="45"/>
      <c r="DQ17" s="45">
        <v>0</v>
      </c>
      <c r="DR17" s="45">
        <f t="shared" si="65"/>
        <v>2805319</v>
      </c>
      <c r="DS17" s="45">
        <f t="shared" si="66"/>
        <v>-540000</v>
      </c>
      <c r="DT17" s="45"/>
      <c r="DU17" s="45">
        <f t="shared" si="67"/>
        <v>2805319</v>
      </c>
      <c r="DV17" s="45">
        <f t="shared" si="68"/>
        <v>-540000</v>
      </c>
      <c r="DW17" s="45">
        <v>2805319</v>
      </c>
      <c r="DX17" s="45">
        <v>2805319</v>
      </c>
      <c r="DY17" s="9"/>
      <c r="DZ17" s="8">
        <f t="shared" si="69"/>
        <v>0</v>
      </c>
      <c r="EA17" s="47">
        <v>2805319</v>
      </c>
      <c r="EB17" s="8">
        <f t="shared" si="70"/>
        <v>0</v>
      </c>
      <c r="EC17" s="8">
        <f t="shared" si="71"/>
        <v>0</v>
      </c>
      <c r="ED17" s="73"/>
      <c r="EE17" s="44">
        <v>2805319</v>
      </c>
      <c r="EF17" s="30">
        <f t="shared" si="72"/>
        <v>0</v>
      </c>
      <c r="EG17" s="30">
        <f t="shared" si="73"/>
        <v>0</v>
      </c>
      <c r="EH17" s="30">
        <f t="shared" si="74"/>
        <v>0</v>
      </c>
      <c r="EI17" s="44">
        <v>2805319</v>
      </c>
      <c r="EJ17" s="30">
        <f t="shared" si="75"/>
        <v>0</v>
      </c>
      <c r="EK17" s="30">
        <f t="shared" si="76"/>
        <v>0</v>
      </c>
      <c r="EL17" s="30">
        <f t="shared" si="77"/>
        <v>0</v>
      </c>
      <c r="EM17" s="44">
        <v>2805319</v>
      </c>
      <c r="EN17" s="30">
        <f t="shared" si="95"/>
        <v>0</v>
      </c>
      <c r="EO17" s="30">
        <f t="shared" si="96"/>
        <v>0</v>
      </c>
      <c r="EP17" s="30">
        <f t="shared" si="97"/>
        <v>0</v>
      </c>
      <c r="EQ17" s="30">
        <f t="shared" si="78"/>
        <v>0</v>
      </c>
      <c r="ER17" s="44">
        <v>2805319</v>
      </c>
      <c r="ES17" s="30">
        <f t="shared" si="79"/>
        <v>0</v>
      </c>
      <c r="ET17" s="30">
        <f t="shared" si="80"/>
        <v>0</v>
      </c>
      <c r="EU17" s="30">
        <f t="shared" si="81"/>
        <v>0</v>
      </c>
      <c r="EV17" s="30">
        <f t="shared" si="82"/>
        <v>0</v>
      </c>
      <c r="EW17" s="44">
        <v>2805319</v>
      </c>
      <c r="EX17" s="30">
        <f t="shared" si="83"/>
        <v>0</v>
      </c>
      <c r="EY17" s="30">
        <f t="shared" si="84"/>
        <v>0</v>
      </c>
      <c r="EZ17" s="30">
        <f t="shared" si="8"/>
        <v>0</v>
      </c>
      <c r="FA17" s="44">
        <v>2805319</v>
      </c>
      <c r="FB17" s="30">
        <f t="shared" si="85"/>
        <v>0</v>
      </c>
      <c r="FC17" s="30"/>
      <c r="FD17" s="30">
        <f t="shared" si="86"/>
        <v>2805319</v>
      </c>
      <c r="FE17" s="30"/>
      <c r="FF17" s="30"/>
      <c r="FG17" s="30">
        <f t="shared" si="87"/>
        <v>2805319</v>
      </c>
      <c r="FH17" s="31">
        <v>1900500</v>
      </c>
      <c r="FI17" s="30">
        <f t="shared" si="88"/>
        <v>-904819</v>
      </c>
      <c r="FJ17" s="30"/>
      <c r="FK17" s="30">
        <v>1743981</v>
      </c>
      <c r="FL17" s="44">
        <f t="shared" si="89"/>
        <v>-1061338</v>
      </c>
      <c r="FM17" s="44">
        <f t="shared" si="90"/>
        <v>-156519</v>
      </c>
      <c r="FN17" s="44"/>
      <c r="FO17" s="9"/>
    </row>
    <row r="18" spans="1:171" ht="25.5">
      <c r="A18" s="22" t="s">
        <v>3</v>
      </c>
      <c r="B18" s="23"/>
      <c r="C18" s="61" t="s">
        <v>160</v>
      </c>
      <c r="D18" s="25">
        <v>7645700</v>
      </c>
      <c r="E18" s="26">
        <v>7726719</v>
      </c>
      <c r="F18" s="26">
        <v>7681009</v>
      </c>
      <c r="G18" s="26">
        <v>7685712</v>
      </c>
      <c r="H18" s="26"/>
      <c r="I18" s="26">
        <f t="shared" si="0"/>
        <v>7685712</v>
      </c>
      <c r="J18" s="27">
        <v>-99326</v>
      </c>
      <c r="K18" s="27"/>
      <c r="L18" s="27">
        <f t="shared" si="1"/>
        <v>-99326</v>
      </c>
      <c r="M18" s="28">
        <f t="shared" si="9"/>
        <v>7586386</v>
      </c>
      <c r="N18" s="28">
        <v>8158206</v>
      </c>
      <c r="O18" s="28">
        <v>7475804</v>
      </c>
      <c r="P18" s="28">
        <v>7475804</v>
      </c>
      <c r="Q18" s="28">
        <v>7586386</v>
      </c>
      <c r="R18" s="28">
        <v>7586386</v>
      </c>
      <c r="S18" s="28">
        <v>1.4579999999999999E-2</v>
      </c>
      <c r="T18" s="28">
        <f t="shared" si="91"/>
        <v>-110609.50787999999</v>
      </c>
      <c r="U18" s="28">
        <f t="shared" si="92"/>
        <v>7475776.4921199996</v>
      </c>
      <c r="V18" s="28">
        <f t="shared" si="2"/>
        <v>-110609.5078800004</v>
      </c>
      <c r="W18" s="29">
        <v>7475804</v>
      </c>
      <c r="X18" s="29"/>
      <c r="Y18" s="29">
        <f t="shared" si="10"/>
        <v>7475804</v>
      </c>
      <c r="Z18" s="30">
        <v>7507038</v>
      </c>
      <c r="AA18" s="30">
        <f t="shared" si="11"/>
        <v>31234</v>
      </c>
      <c r="AB18" s="30">
        <v>7345373</v>
      </c>
      <c r="AC18" s="30">
        <v>7345373</v>
      </c>
      <c r="AD18" s="31">
        <v>7256897</v>
      </c>
      <c r="AE18" s="30"/>
      <c r="AF18" s="30">
        <f>AC18-SUM(W18:X18)</f>
        <v>-130431</v>
      </c>
      <c r="AG18" s="30">
        <f>AC18-Z18</f>
        <v>-161665</v>
      </c>
      <c r="AH18" s="31">
        <v>7256897</v>
      </c>
      <c r="AI18" s="31">
        <v>7345373</v>
      </c>
      <c r="AJ18" s="30">
        <f t="shared" si="98"/>
        <v>-218907</v>
      </c>
      <c r="AK18" s="30">
        <f t="shared" si="12"/>
        <v>-250141</v>
      </c>
      <c r="AL18" s="30">
        <f t="shared" si="13"/>
        <v>-88476</v>
      </c>
      <c r="AM18" s="31">
        <f t="shared" si="14"/>
        <v>-218907</v>
      </c>
      <c r="AN18" s="31">
        <f t="shared" si="15"/>
        <v>-250141</v>
      </c>
      <c r="AO18" s="31">
        <f t="shared" si="4"/>
        <v>-88476</v>
      </c>
      <c r="AP18" s="30">
        <v>7345373</v>
      </c>
      <c r="AQ18" s="30">
        <f t="shared" si="5"/>
        <v>-130431</v>
      </c>
      <c r="AR18" s="30">
        <f t="shared" si="16"/>
        <v>-161665</v>
      </c>
      <c r="AS18" s="30">
        <f t="shared" si="17"/>
        <v>-130431</v>
      </c>
      <c r="AT18" s="30"/>
      <c r="AU18" s="30">
        <f t="shared" si="18"/>
        <v>7345373</v>
      </c>
      <c r="AV18" s="30">
        <v>7432061</v>
      </c>
      <c r="AW18" s="30">
        <f t="shared" si="19"/>
        <v>86688</v>
      </c>
      <c r="AX18" s="30">
        <v>7412903</v>
      </c>
      <c r="AY18" s="31">
        <f t="shared" si="93"/>
        <v>67530</v>
      </c>
      <c r="AZ18" s="31">
        <f t="shared" si="94"/>
        <v>-19158</v>
      </c>
      <c r="BA18" s="30">
        <v>7412903</v>
      </c>
      <c r="BB18" s="30">
        <f t="shared" si="20"/>
        <v>67530</v>
      </c>
      <c r="BC18" s="30">
        <f t="shared" si="21"/>
        <v>-19158</v>
      </c>
      <c r="BD18" s="30">
        <f t="shared" si="22"/>
        <v>0</v>
      </c>
      <c r="BE18" s="30">
        <v>7478770</v>
      </c>
      <c r="BF18" s="30">
        <v>7448153</v>
      </c>
      <c r="BG18" s="30">
        <v>7448153</v>
      </c>
      <c r="BH18" s="30">
        <f t="shared" si="23"/>
        <v>102780</v>
      </c>
      <c r="BI18" s="30">
        <f t="shared" si="24"/>
        <v>16092</v>
      </c>
      <c r="BJ18" s="30">
        <f t="shared" si="25"/>
        <v>35250</v>
      </c>
      <c r="BK18" s="8">
        <f t="shared" si="26"/>
        <v>-30617</v>
      </c>
      <c r="BL18" s="30">
        <f>50000+72639</f>
        <v>122639</v>
      </c>
      <c r="BM18" s="30">
        <f t="shared" si="27"/>
        <v>7325514</v>
      </c>
      <c r="BN18" s="44">
        <v>7792343</v>
      </c>
      <c r="BO18" s="31">
        <f t="shared" si="28"/>
        <v>466829</v>
      </c>
      <c r="BP18" s="44">
        <v>7761517</v>
      </c>
      <c r="BQ18" s="8">
        <f t="shared" si="29"/>
        <v>436003</v>
      </c>
      <c r="BR18" s="8">
        <f t="shared" si="30"/>
        <v>-30826</v>
      </c>
      <c r="BS18" s="44">
        <f t="shared" ref="BS18:BS20" si="99">BP18</f>
        <v>7761517</v>
      </c>
      <c r="BT18" s="47">
        <f t="shared" si="31"/>
        <v>436003</v>
      </c>
      <c r="BU18" s="47">
        <f t="shared" si="32"/>
        <v>-30826</v>
      </c>
      <c r="BV18" s="47">
        <f t="shared" si="33"/>
        <v>0</v>
      </c>
      <c r="BW18" s="45">
        <v>7761517</v>
      </c>
      <c r="BX18" s="8">
        <f t="shared" si="34"/>
        <v>436003</v>
      </c>
      <c r="BY18" s="8">
        <f t="shared" si="35"/>
        <v>-30826</v>
      </c>
      <c r="BZ18" s="8">
        <f t="shared" si="36"/>
        <v>0</v>
      </c>
      <c r="CA18" s="45">
        <v>7761517</v>
      </c>
      <c r="CB18" s="8">
        <f t="shared" si="37"/>
        <v>436003</v>
      </c>
      <c r="CC18" s="8">
        <f t="shared" si="38"/>
        <v>-30826</v>
      </c>
      <c r="CD18" s="8">
        <f t="shared" si="6"/>
        <v>0</v>
      </c>
      <c r="CE18" s="8">
        <f t="shared" si="39"/>
        <v>0</v>
      </c>
      <c r="CF18" s="45">
        <v>7761517</v>
      </c>
      <c r="CG18" s="8">
        <f t="shared" si="40"/>
        <v>436003</v>
      </c>
      <c r="CH18" s="8">
        <f t="shared" si="41"/>
        <v>-30826</v>
      </c>
      <c r="CI18" s="8">
        <f t="shared" si="42"/>
        <v>0</v>
      </c>
      <c r="CJ18" s="8">
        <f t="shared" si="43"/>
        <v>0</v>
      </c>
      <c r="CK18" s="45">
        <v>7761517</v>
      </c>
      <c r="CL18" s="8">
        <f t="shared" si="7"/>
        <v>436003</v>
      </c>
      <c r="CM18" s="8">
        <f t="shared" si="44"/>
        <v>-30826</v>
      </c>
      <c r="CN18" s="8">
        <f t="shared" si="45"/>
        <v>0</v>
      </c>
      <c r="CO18" s="45">
        <v>8019607</v>
      </c>
      <c r="CP18" s="45">
        <f t="shared" si="46"/>
        <v>227264</v>
      </c>
      <c r="CQ18" s="8">
        <f t="shared" si="47"/>
        <v>258090</v>
      </c>
      <c r="CR18" s="45">
        <v>7967142</v>
      </c>
      <c r="CS18" s="32"/>
      <c r="CT18" s="45">
        <f t="shared" si="48"/>
        <v>7967142</v>
      </c>
      <c r="CU18" s="8">
        <f t="shared" si="49"/>
        <v>205625</v>
      </c>
      <c r="CV18" s="45">
        <f t="shared" si="50"/>
        <v>-52465</v>
      </c>
      <c r="CW18" s="45">
        <f t="shared" si="51"/>
        <v>0</v>
      </c>
      <c r="CX18" s="45">
        <v>7874567</v>
      </c>
      <c r="CY18" s="8">
        <f t="shared" si="52"/>
        <v>113050</v>
      </c>
      <c r="CZ18" s="45">
        <f t="shared" si="53"/>
        <v>-145040</v>
      </c>
      <c r="DA18" s="45">
        <f t="shared" si="54"/>
        <v>-92575</v>
      </c>
      <c r="DB18" s="45">
        <v>7874567</v>
      </c>
      <c r="DC18" s="8">
        <f t="shared" si="55"/>
        <v>113050</v>
      </c>
      <c r="DD18" s="45">
        <f t="shared" si="56"/>
        <v>-145040</v>
      </c>
      <c r="DE18" s="45">
        <f t="shared" si="57"/>
        <v>-92575</v>
      </c>
      <c r="DF18" s="45">
        <f t="shared" si="58"/>
        <v>0</v>
      </c>
      <c r="DG18" s="45">
        <v>7967142</v>
      </c>
      <c r="DH18" s="47">
        <f t="shared" si="59"/>
        <v>205625</v>
      </c>
      <c r="DI18" s="45">
        <f t="shared" si="60"/>
        <v>-52465</v>
      </c>
      <c r="DJ18" s="45">
        <f t="shared" si="61"/>
        <v>0</v>
      </c>
      <c r="DK18" s="45">
        <f t="shared" si="62"/>
        <v>92575</v>
      </c>
      <c r="DL18" s="45"/>
      <c r="DM18" s="45">
        <f t="shared" si="63"/>
        <v>7967142</v>
      </c>
      <c r="DN18" s="45">
        <v>7967142</v>
      </c>
      <c r="DO18" s="45">
        <f t="shared" si="64"/>
        <v>205625</v>
      </c>
      <c r="DP18" s="45"/>
      <c r="DQ18" s="45">
        <v>0</v>
      </c>
      <c r="DR18" s="45">
        <f t="shared" si="65"/>
        <v>7967142</v>
      </c>
      <c r="DS18" s="45">
        <f t="shared" si="66"/>
        <v>205625</v>
      </c>
      <c r="DT18" s="45"/>
      <c r="DU18" s="45">
        <f t="shared" si="67"/>
        <v>7967142</v>
      </c>
      <c r="DV18" s="45">
        <f t="shared" si="68"/>
        <v>205625</v>
      </c>
      <c r="DW18" s="45">
        <v>7967142</v>
      </c>
      <c r="DX18" s="45">
        <v>8281698</v>
      </c>
      <c r="DY18" s="9"/>
      <c r="DZ18" s="8">
        <f t="shared" si="69"/>
        <v>314556</v>
      </c>
      <c r="EA18" s="47">
        <v>8281697</v>
      </c>
      <c r="EB18" s="8">
        <f t="shared" si="70"/>
        <v>314555</v>
      </c>
      <c r="EC18" s="8">
        <f t="shared" si="71"/>
        <v>-1</v>
      </c>
      <c r="ED18" s="73"/>
      <c r="EE18" s="44">
        <v>8281697</v>
      </c>
      <c r="EF18" s="30">
        <f t="shared" si="72"/>
        <v>314555</v>
      </c>
      <c r="EG18" s="30">
        <f t="shared" si="73"/>
        <v>-1</v>
      </c>
      <c r="EH18" s="30">
        <f t="shared" si="74"/>
        <v>0</v>
      </c>
      <c r="EI18" s="44">
        <v>8281698</v>
      </c>
      <c r="EJ18" s="30">
        <f t="shared" si="75"/>
        <v>314556</v>
      </c>
      <c r="EK18" s="30">
        <f t="shared" si="76"/>
        <v>0</v>
      </c>
      <c r="EL18" s="30">
        <f t="shared" si="77"/>
        <v>1</v>
      </c>
      <c r="EM18" s="44">
        <v>8281698</v>
      </c>
      <c r="EN18" s="30">
        <f t="shared" si="95"/>
        <v>314556</v>
      </c>
      <c r="EO18" s="30">
        <f t="shared" si="96"/>
        <v>0</v>
      </c>
      <c r="EP18" s="30">
        <f t="shared" si="97"/>
        <v>1</v>
      </c>
      <c r="EQ18" s="30">
        <f t="shared" si="78"/>
        <v>0</v>
      </c>
      <c r="ER18" s="44">
        <v>8281698</v>
      </c>
      <c r="ES18" s="30">
        <f t="shared" si="79"/>
        <v>314556</v>
      </c>
      <c r="ET18" s="30">
        <f t="shared" si="80"/>
        <v>0</v>
      </c>
      <c r="EU18" s="30">
        <f t="shared" si="81"/>
        <v>1</v>
      </c>
      <c r="EV18" s="30">
        <f t="shared" si="82"/>
        <v>0</v>
      </c>
      <c r="EW18" s="44">
        <v>8281698</v>
      </c>
      <c r="EX18" s="30">
        <f t="shared" si="83"/>
        <v>314556</v>
      </c>
      <c r="EY18" s="30">
        <f t="shared" si="84"/>
        <v>0</v>
      </c>
      <c r="EZ18" s="30">
        <f t="shared" si="8"/>
        <v>0</v>
      </c>
      <c r="FA18" s="44">
        <v>8281698</v>
      </c>
      <c r="FB18" s="30">
        <f t="shared" si="85"/>
        <v>314556</v>
      </c>
      <c r="FC18" s="30"/>
      <c r="FD18" s="30">
        <f t="shared" si="86"/>
        <v>8281698</v>
      </c>
      <c r="FE18" s="30">
        <f>8094937-8281698</f>
        <v>-186761</v>
      </c>
      <c r="FF18" s="30"/>
      <c r="FG18" s="30">
        <f t="shared" si="87"/>
        <v>8094937</v>
      </c>
      <c r="FH18" s="31">
        <v>8144423</v>
      </c>
      <c r="FI18" s="30">
        <f t="shared" si="88"/>
        <v>49486</v>
      </c>
      <c r="FJ18" s="30"/>
      <c r="FK18" s="30">
        <v>8126495</v>
      </c>
      <c r="FL18" s="44">
        <f t="shared" si="89"/>
        <v>31558</v>
      </c>
      <c r="FM18" s="44">
        <f t="shared" si="90"/>
        <v>-17928</v>
      </c>
      <c r="FN18" s="44"/>
      <c r="FO18" s="9"/>
    </row>
    <row r="19" spans="1:171" ht="25.5">
      <c r="A19" s="22" t="s">
        <v>16</v>
      </c>
      <c r="B19" s="23"/>
      <c r="C19" s="60" t="s">
        <v>317</v>
      </c>
      <c r="D19" s="25">
        <v>33802216</v>
      </c>
      <c r="E19" s="26">
        <v>33802216</v>
      </c>
      <c r="F19" s="26">
        <v>30802216</v>
      </c>
      <c r="G19" s="26">
        <f>25748947+200000</f>
        <v>25948947</v>
      </c>
      <c r="H19" s="26"/>
      <c r="I19" s="26">
        <f t="shared" si="0"/>
        <v>25948947</v>
      </c>
      <c r="J19" s="27"/>
      <c r="K19" s="27"/>
      <c r="L19" s="27">
        <f t="shared" si="1"/>
        <v>0</v>
      </c>
      <c r="M19" s="28">
        <f t="shared" si="9"/>
        <v>25948947</v>
      </c>
      <c r="N19" s="28">
        <f>M19+J19</f>
        <v>25948947</v>
      </c>
      <c r="O19" s="28">
        <v>25972317</v>
      </c>
      <c r="P19" s="28">
        <v>25972317</v>
      </c>
      <c r="Q19" s="28">
        <v>19273317</v>
      </c>
      <c r="R19" s="28">
        <v>25948947</v>
      </c>
      <c r="S19" s="28">
        <v>0.11561</v>
      </c>
      <c r="T19" s="28">
        <f t="shared" si="91"/>
        <v>-2999957.7626700001</v>
      </c>
      <c r="U19" s="28">
        <f t="shared" si="92"/>
        <v>22948989.237330001</v>
      </c>
      <c r="V19" s="28">
        <f t="shared" si="2"/>
        <v>-2999957.7626699992</v>
      </c>
      <c r="W19" s="29">
        <v>22948947</v>
      </c>
      <c r="X19" s="29"/>
      <c r="Y19" s="29">
        <f t="shared" si="10"/>
        <v>22948947</v>
      </c>
      <c r="Z19" s="30">
        <v>22948947</v>
      </c>
      <c r="AA19" s="30">
        <f t="shared" si="11"/>
        <v>0</v>
      </c>
      <c r="AB19" s="30">
        <v>22948947</v>
      </c>
      <c r="AC19" s="30">
        <v>22948947</v>
      </c>
      <c r="AD19" s="31">
        <v>20948947</v>
      </c>
      <c r="AE19" s="30"/>
      <c r="AF19" s="30"/>
      <c r="AG19" s="30"/>
      <c r="AH19" s="31">
        <v>20948947</v>
      </c>
      <c r="AI19" s="31">
        <v>22948947</v>
      </c>
      <c r="AJ19" s="30">
        <f t="shared" si="98"/>
        <v>-2000000</v>
      </c>
      <c r="AK19" s="30">
        <f t="shared" si="12"/>
        <v>-2000000</v>
      </c>
      <c r="AL19" s="30">
        <f t="shared" si="13"/>
        <v>-2000000</v>
      </c>
      <c r="AM19" s="31">
        <f t="shared" si="14"/>
        <v>-2000000</v>
      </c>
      <c r="AN19" s="31">
        <f t="shared" si="15"/>
        <v>-2000000</v>
      </c>
      <c r="AO19" s="31">
        <f t="shared" si="4"/>
        <v>-2000000</v>
      </c>
      <c r="AP19" s="30">
        <v>22948947</v>
      </c>
      <c r="AQ19" s="30">
        <f t="shared" si="5"/>
        <v>0</v>
      </c>
      <c r="AR19" s="30">
        <f t="shared" si="16"/>
        <v>0</v>
      </c>
      <c r="AS19" s="30">
        <f t="shared" si="17"/>
        <v>0</v>
      </c>
      <c r="AT19" s="30"/>
      <c r="AU19" s="30">
        <f t="shared" si="18"/>
        <v>22948947</v>
      </c>
      <c r="AV19" s="30">
        <v>25948947</v>
      </c>
      <c r="AW19" s="30">
        <f t="shared" si="19"/>
        <v>3000000</v>
      </c>
      <c r="AX19" s="30">
        <v>24948947</v>
      </c>
      <c r="AY19" s="31">
        <f t="shared" si="93"/>
        <v>2000000</v>
      </c>
      <c r="AZ19" s="31">
        <f t="shared" si="94"/>
        <v>-1000000</v>
      </c>
      <c r="BA19" s="30">
        <v>24948947</v>
      </c>
      <c r="BB19" s="30">
        <f t="shared" si="20"/>
        <v>2000000</v>
      </c>
      <c r="BC19" s="30">
        <f t="shared" si="21"/>
        <v>-1000000</v>
      </c>
      <c r="BD19" s="30">
        <f t="shared" si="22"/>
        <v>0</v>
      </c>
      <c r="BE19" s="30">
        <v>20948947</v>
      </c>
      <c r="BF19" s="30">
        <v>23948947</v>
      </c>
      <c r="BG19" s="30">
        <v>23948947</v>
      </c>
      <c r="BH19" s="30">
        <f t="shared" si="23"/>
        <v>1000000</v>
      </c>
      <c r="BI19" s="30">
        <f t="shared" si="24"/>
        <v>-2000000</v>
      </c>
      <c r="BJ19" s="30">
        <f t="shared" si="25"/>
        <v>-1000000</v>
      </c>
      <c r="BK19" s="8">
        <f t="shared" si="26"/>
        <v>3000000</v>
      </c>
      <c r="BL19" s="30"/>
      <c r="BM19" s="30">
        <f t="shared" si="27"/>
        <v>23948947</v>
      </c>
      <c r="BN19" s="44">
        <v>23948947</v>
      </c>
      <c r="BO19" s="31">
        <f t="shared" si="28"/>
        <v>0</v>
      </c>
      <c r="BP19" s="44">
        <v>23948947</v>
      </c>
      <c r="BQ19" s="8">
        <f t="shared" si="29"/>
        <v>0</v>
      </c>
      <c r="BR19" s="8">
        <f t="shared" si="30"/>
        <v>0</v>
      </c>
      <c r="BS19" s="44">
        <f t="shared" si="99"/>
        <v>23948947</v>
      </c>
      <c r="BT19" s="47">
        <f t="shared" si="31"/>
        <v>0</v>
      </c>
      <c r="BU19" s="47">
        <f t="shared" si="32"/>
        <v>0</v>
      </c>
      <c r="BV19" s="47">
        <f t="shared" si="33"/>
        <v>0</v>
      </c>
      <c r="BW19" s="45">
        <v>20000000</v>
      </c>
      <c r="BX19" s="8">
        <f t="shared" si="34"/>
        <v>-3948947</v>
      </c>
      <c r="BY19" s="8">
        <f t="shared" si="35"/>
        <v>-3948947</v>
      </c>
      <c r="BZ19" s="8">
        <f t="shared" si="36"/>
        <v>-3948947</v>
      </c>
      <c r="CA19" s="45">
        <v>20000000</v>
      </c>
      <c r="CB19" s="8">
        <f t="shared" si="37"/>
        <v>-3948947</v>
      </c>
      <c r="CC19" s="8">
        <f t="shared" si="38"/>
        <v>-3948947</v>
      </c>
      <c r="CD19" s="8">
        <f t="shared" si="6"/>
        <v>-3948947</v>
      </c>
      <c r="CE19" s="8">
        <f t="shared" si="39"/>
        <v>0</v>
      </c>
      <c r="CF19" s="45">
        <v>23948947</v>
      </c>
      <c r="CG19" s="8">
        <f t="shared" si="40"/>
        <v>0</v>
      </c>
      <c r="CH19" s="8">
        <f t="shared" si="41"/>
        <v>0</v>
      </c>
      <c r="CI19" s="8">
        <f t="shared" si="42"/>
        <v>0</v>
      </c>
      <c r="CJ19" s="8">
        <f t="shared" si="43"/>
        <v>3948947</v>
      </c>
      <c r="CK19" s="45">
        <v>23948947</v>
      </c>
      <c r="CL19" s="8">
        <f t="shared" si="7"/>
        <v>0</v>
      </c>
      <c r="CM19" s="8">
        <f t="shared" si="44"/>
        <v>0</v>
      </c>
      <c r="CN19" s="8">
        <f t="shared" si="45"/>
        <v>0</v>
      </c>
      <c r="CO19" s="45">
        <v>27048947</v>
      </c>
      <c r="CP19" s="45">
        <f t="shared" si="46"/>
        <v>3100000</v>
      </c>
      <c r="CQ19" s="8">
        <f t="shared" si="47"/>
        <v>3100000</v>
      </c>
      <c r="CR19" s="45">
        <v>23948947</v>
      </c>
      <c r="CS19" s="30"/>
      <c r="CT19" s="45">
        <f t="shared" si="48"/>
        <v>23948947</v>
      </c>
      <c r="CU19" s="8">
        <f t="shared" si="49"/>
        <v>0</v>
      </c>
      <c r="CV19" s="45">
        <f t="shared" si="50"/>
        <v>-3100000</v>
      </c>
      <c r="CW19" s="45">
        <f t="shared" si="51"/>
        <v>0</v>
      </c>
      <c r="CX19" s="45">
        <v>20000000</v>
      </c>
      <c r="CY19" s="8">
        <f t="shared" si="52"/>
        <v>-3948947</v>
      </c>
      <c r="CZ19" s="45">
        <f t="shared" si="53"/>
        <v>-7048947</v>
      </c>
      <c r="DA19" s="45">
        <f t="shared" si="54"/>
        <v>-3948947</v>
      </c>
      <c r="DB19" s="45">
        <v>20000000</v>
      </c>
      <c r="DC19" s="8">
        <f t="shared" si="55"/>
        <v>-3948947</v>
      </c>
      <c r="DD19" s="45">
        <f t="shared" si="56"/>
        <v>-7048947</v>
      </c>
      <c r="DE19" s="45">
        <f t="shared" si="57"/>
        <v>-3948947</v>
      </c>
      <c r="DF19" s="45">
        <f t="shared" si="58"/>
        <v>0</v>
      </c>
      <c r="DG19" s="45">
        <v>23948947</v>
      </c>
      <c r="DH19" s="47">
        <f t="shared" si="59"/>
        <v>0</v>
      </c>
      <c r="DI19" s="45">
        <f t="shared" si="60"/>
        <v>-3100000</v>
      </c>
      <c r="DJ19" s="45">
        <f t="shared" si="61"/>
        <v>0</v>
      </c>
      <c r="DK19" s="45">
        <f t="shared" si="62"/>
        <v>3948947</v>
      </c>
      <c r="DL19" s="45"/>
      <c r="DM19" s="45">
        <f t="shared" si="63"/>
        <v>23948947</v>
      </c>
      <c r="DN19" s="45">
        <v>23948947</v>
      </c>
      <c r="DO19" s="45">
        <f t="shared" si="64"/>
        <v>0</v>
      </c>
      <c r="DP19" s="45"/>
      <c r="DQ19" s="45">
        <v>-359234</v>
      </c>
      <c r="DR19" s="45">
        <f t="shared" si="65"/>
        <v>23589713</v>
      </c>
      <c r="DS19" s="45">
        <f t="shared" si="66"/>
        <v>-359234</v>
      </c>
      <c r="DT19" s="45">
        <v>-5000000</v>
      </c>
      <c r="DU19" s="45">
        <f t="shared" si="67"/>
        <v>18589713</v>
      </c>
      <c r="DV19" s="45">
        <f t="shared" si="68"/>
        <v>-5359234</v>
      </c>
      <c r="DW19" s="45">
        <v>18589713</v>
      </c>
      <c r="DX19" s="45">
        <v>0</v>
      </c>
      <c r="DY19" s="9"/>
      <c r="DZ19" s="8">
        <f t="shared" si="69"/>
        <v>-18589713</v>
      </c>
      <c r="EA19" s="47">
        <v>18589713</v>
      </c>
      <c r="EB19" s="8">
        <f t="shared" si="70"/>
        <v>0</v>
      </c>
      <c r="EC19" s="8">
        <f t="shared" si="71"/>
        <v>18589713</v>
      </c>
      <c r="ED19" s="73"/>
      <c r="EE19" s="44">
        <v>18589713</v>
      </c>
      <c r="EF19" s="30">
        <f t="shared" si="72"/>
        <v>0</v>
      </c>
      <c r="EG19" s="30">
        <f t="shared" si="73"/>
        <v>18589713</v>
      </c>
      <c r="EH19" s="30">
        <f t="shared" si="74"/>
        <v>0</v>
      </c>
      <c r="EI19" s="44">
        <v>1000000</v>
      </c>
      <c r="EJ19" s="30">
        <f t="shared" si="75"/>
        <v>-17589713</v>
      </c>
      <c r="EK19" s="30">
        <f t="shared" si="76"/>
        <v>1000000</v>
      </c>
      <c r="EL19" s="30">
        <f t="shared" si="77"/>
        <v>-17589713</v>
      </c>
      <c r="EM19" s="44">
        <v>1000000</v>
      </c>
      <c r="EN19" s="30">
        <f t="shared" si="95"/>
        <v>-17589713</v>
      </c>
      <c r="EO19" s="30">
        <f t="shared" si="96"/>
        <v>1000000</v>
      </c>
      <c r="EP19" s="30">
        <f t="shared" si="97"/>
        <v>-17589713</v>
      </c>
      <c r="EQ19" s="30">
        <f t="shared" si="78"/>
        <v>0</v>
      </c>
      <c r="ER19" s="44">
        <v>18589713</v>
      </c>
      <c r="ES19" s="30">
        <f t="shared" si="79"/>
        <v>0</v>
      </c>
      <c r="ET19" s="30">
        <f t="shared" si="80"/>
        <v>18589713</v>
      </c>
      <c r="EU19" s="30">
        <f t="shared" si="81"/>
        <v>0</v>
      </c>
      <c r="EV19" s="30">
        <f t="shared" si="82"/>
        <v>17589713</v>
      </c>
      <c r="EW19" s="44">
        <f>18589713-17589713</f>
        <v>1000000</v>
      </c>
      <c r="EX19" s="30">
        <f t="shared" si="83"/>
        <v>-17589713</v>
      </c>
      <c r="EY19" s="30">
        <f t="shared" si="84"/>
        <v>-17589713</v>
      </c>
      <c r="EZ19" s="30">
        <f t="shared" si="8"/>
        <v>17589713</v>
      </c>
      <c r="FA19" s="44">
        <f>18589713</f>
        <v>18589713</v>
      </c>
      <c r="FB19" s="30">
        <f t="shared" si="85"/>
        <v>0</v>
      </c>
      <c r="FC19" s="30"/>
      <c r="FD19" s="30">
        <f t="shared" si="86"/>
        <v>18589713</v>
      </c>
      <c r="FE19" s="30"/>
      <c r="FF19" s="30"/>
      <c r="FG19" s="30">
        <f t="shared" si="87"/>
        <v>18589713</v>
      </c>
      <c r="FH19" s="31">
        <v>18589713</v>
      </c>
      <c r="FI19" s="30">
        <f t="shared" si="88"/>
        <v>0</v>
      </c>
      <c r="FJ19" s="30"/>
      <c r="FK19" s="30">
        <v>18589713</v>
      </c>
      <c r="FL19" s="44">
        <f t="shared" si="89"/>
        <v>0</v>
      </c>
      <c r="FM19" s="44">
        <f t="shared" si="90"/>
        <v>0</v>
      </c>
      <c r="FN19" s="44" t="s">
        <v>337</v>
      </c>
      <c r="FO19" s="9"/>
    </row>
    <row r="20" spans="1:171" ht="12.75">
      <c r="A20" s="22" t="s">
        <v>17</v>
      </c>
      <c r="B20" s="23"/>
      <c r="C20" s="61" t="s">
        <v>107</v>
      </c>
      <c r="D20" s="25">
        <v>2900000</v>
      </c>
      <c r="E20" s="26">
        <v>2900000</v>
      </c>
      <c r="F20" s="26">
        <v>2235705</v>
      </c>
      <c r="G20" s="26">
        <v>0</v>
      </c>
      <c r="H20" s="26"/>
      <c r="I20" s="26">
        <f t="shared" si="0"/>
        <v>0</v>
      </c>
      <c r="J20" s="33"/>
      <c r="K20" s="27"/>
      <c r="L20" s="27">
        <f t="shared" si="1"/>
        <v>0</v>
      </c>
      <c r="M20" s="28">
        <f t="shared" si="9"/>
        <v>0</v>
      </c>
      <c r="N20" s="28">
        <v>0</v>
      </c>
      <c r="O20" s="28">
        <v>0</v>
      </c>
      <c r="P20" s="28">
        <v>750000</v>
      </c>
      <c r="Q20" s="28">
        <v>0</v>
      </c>
      <c r="R20" s="28">
        <v>750000</v>
      </c>
      <c r="S20" s="28">
        <v>0.46666999999999997</v>
      </c>
      <c r="T20" s="28">
        <f t="shared" si="91"/>
        <v>-350002.5</v>
      </c>
      <c r="U20" s="28">
        <f t="shared" si="92"/>
        <v>399997.5</v>
      </c>
      <c r="V20" s="28">
        <f t="shared" si="2"/>
        <v>399997.5</v>
      </c>
      <c r="W20" s="29">
        <v>400000</v>
      </c>
      <c r="X20" s="29"/>
      <c r="Y20" s="29">
        <f t="shared" si="10"/>
        <v>400000</v>
      </c>
      <c r="Z20" s="30">
        <v>0</v>
      </c>
      <c r="AA20" s="30">
        <f t="shared" si="11"/>
        <v>-400000</v>
      </c>
      <c r="AB20" s="30">
        <v>400000</v>
      </c>
      <c r="AC20" s="30">
        <v>400000</v>
      </c>
      <c r="AD20" s="31">
        <v>392000</v>
      </c>
      <c r="AE20" s="30"/>
      <c r="AF20" s="30"/>
      <c r="AG20" s="30">
        <f>AC20-Z20</f>
        <v>400000</v>
      </c>
      <c r="AH20" s="31">
        <v>392000</v>
      </c>
      <c r="AI20" s="31">
        <v>400000</v>
      </c>
      <c r="AJ20" s="30">
        <f t="shared" si="98"/>
        <v>-8000</v>
      </c>
      <c r="AK20" s="30">
        <f t="shared" si="12"/>
        <v>392000</v>
      </c>
      <c r="AL20" s="30">
        <f t="shared" si="13"/>
        <v>-8000</v>
      </c>
      <c r="AM20" s="31">
        <f t="shared" si="14"/>
        <v>-8000</v>
      </c>
      <c r="AN20" s="31">
        <f t="shared" si="15"/>
        <v>392000</v>
      </c>
      <c r="AO20" s="31">
        <f t="shared" si="4"/>
        <v>-8000</v>
      </c>
      <c r="AP20" s="30">
        <v>400000</v>
      </c>
      <c r="AQ20" s="30">
        <f t="shared" si="5"/>
        <v>0</v>
      </c>
      <c r="AR20" s="30">
        <f t="shared" si="16"/>
        <v>400000</v>
      </c>
      <c r="AS20" s="30">
        <f t="shared" si="17"/>
        <v>0</v>
      </c>
      <c r="AT20" s="30"/>
      <c r="AU20" s="30">
        <f t="shared" si="18"/>
        <v>400000</v>
      </c>
      <c r="AV20" s="30">
        <v>400000</v>
      </c>
      <c r="AW20" s="30">
        <f t="shared" si="19"/>
        <v>0</v>
      </c>
      <c r="AX20" s="30">
        <v>400000</v>
      </c>
      <c r="AY20" s="31">
        <f t="shared" si="93"/>
        <v>0</v>
      </c>
      <c r="AZ20" s="31">
        <f t="shared" si="94"/>
        <v>0</v>
      </c>
      <c r="BA20" s="30">
        <v>400000</v>
      </c>
      <c r="BB20" s="30">
        <f t="shared" si="20"/>
        <v>0</v>
      </c>
      <c r="BC20" s="30">
        <f t="shared" si="21"/>
        <v>0</v>
      </c>
      <c r="BD20" s="30">
        <f t="shared" si="22"/>
        <v>0</v>
      </c>
      <c r="BE20" s="30">
        <v>400000</v>
      </c>
      <c r="BF20" s="30">
        <v>400000</v>
      </c>
      <c r="BG20" s="30">
        <v>400000</v>
      </c>
      <c r="BH20" s="30">
        <f t="shared" si="23"/>
        <v>0</v>
      </c>
      <c r="BI20" s="30">
        <f t="shared" si="24"/>
        <v>0</v>
      </c>
      <c r="BJ20" s="30">
        <f t="shared" si="25"/>
        <v>0</v>
      </c>
      <c r="BK20" s="8">
        <f t="shared" si="26"/>
        <v>0</v>
      </c>
      <c r="BL20" s="30"/>
      <c r="BM20" s="30">
        <f t="shared" si="27"/>
        <v>400000</v>
      </c>
      <c r="BN20" s="44">
        <v>400000</v>
      </c>
      <c r="BO20" s="31">
        <f t="shared" si="28"/>
        <v>0</v>
      </c>
      <c r="BP20" s="44">
        <v>100000</v>
      </c>
      <c r="BQ20" s="8">
        <f t="shared" si="29"/>
        <v>-300000</v>
      </c>
      <c r="BR20" s="8">
        <f t="shared" si="30"/>
        <v>-300000</v>
      </c>
      <c r="BS20" s="44">
        <f t="shared" si="99"/>
        <v>100000</v>
      </c>
      <c r="BT20" s="47">
        <f t="shared" si="31"/>
        <v>-300000</v>
      </c>
      <c r="BU20" s="47">
        <f t="shared" si="32"/>
        <v>-300000</v>
      </c>
      <c r="BV20" s="47">
        <f t="shared" si="33"/>
        <v>0</v>
      </c>
      <c r="BW20" s="45">
        <v>400000</v>
      </c>
      <c r="BX20" s="8">
        <f t="shared" si="34"/>
        <v>0</v>
      </c>
      <c r="BY20" s="8">
        <f t="shared" si="35"/>
        <v>0</v>
      </c>
      <c r="BZ20" s="8">
        <f t="shared" si="36"/>
        <v>300000</v>
      </c>
      <c r="CA20" s="45">
        <v>400000</v>
      </c>
      <c r="CB20" s="8">
        <f t="shared" si="37"/>
        <v>0</v>
      </c>
      <c r="CC20" s="8">
        <f t="shared" si="38"/>
        <v>0</v>
      </c>
      <c r="CD20" s="8">
        <f t="shared" si="6"/>
        <v>300000</v>
      </c>
      <c r="CE20" s="8">
        <f t="shared" si="39"/>
        <v>0</v>
      </c>
      <c r="CF20" s="45">
        <v>350000</v>
      </c>
      <c r="CG20" s="8">
        <f t="shared" si="40"/>
        <v>-50000</v>
      </c>
      <c r="CH20" s="8">
        <f t="shared" si="41"/>
        <v>-50000</v>
      </c>
      <c r="CI20" s="8">
        <f t="shared" si="42"/>
        <v>250000</v>
      </c>
      <c r="CJ20" s="8">
        <f t="shared" si="43"/>
        <v>-50000</v>
      </c>
      <c r="CK20" s="45">
        <v>350000</v>
      </c>
      <c r="CL20" s="8">
        <f t="shared" si="7"/>
        <v>-50000</v>
      </c>
      <c r="CM20" s="8">
        <f t="shared" si="44"/>
        <v>-50000</v>
      </c>
      <c r="CN20" s="8">
        <f t="shared" si="45"/>
        <v>0</v>
      </c>
      <c r="CO20" s="45">
        <v>0</v>
      </c>
      <c r="CP20" s="45">
        <f t="shared" si="46"/>
        <v>-400000</v>
      </c>
      <c r="CQ20" s="8">
        <f t="shared" si="47"/>
        <v>-350000</v>
      </c>
      <c r="CR20" s="45">
        <v>0</v>
      </c>
      <c r="CS20" s="32"/>
      <c r="CT20" s="45">
        <f t="shared" si="48"/>
        <v>0</v>
      </c>
      <c r="CU20" s="8">
        <f t="shared" si="49"/>
        <v>-350000</v>
      </c>
      <c r="CV20" s="45">
        <f t="shared" si="50"/>
        <v>0</v>
      </c>
      <c r="CW20" s="45">
        <f t="shared" si="51"/>
        <v>0</v>
      </c>
      <c r="CX20" s="45">
        <v>350000</v>
      </c>
      <c r="CY20" s="8">
        <f t="shared" si="52"/>
        <v>0</v>
      </c>
      <c r="CZ20" s="45">
        <f t="shared" si="53"/>
        <v>350000</v>
      </c>
      <c r="DA20" s="45">
        <f t="shared" si="54"/>
        <v>350000</v>
      </c>
      <c r="DB20" s="45">
        <v>350000</v>
      </c>
      <c r="DC20" s="8">
        <f t="shared" si="55"/>
        <v>0</v>
      </c>
      <c r="DD20" s="45">
        <f t="shared" si="56"/>
        <v>350000</v>
      </c>
      <c r="DE20" s="45">
        <f t="shared" si="57"/>
        <v>350000</v>
      </c>
      <c r="DF20" s="45">
        <f t="shared" si="58"/>
        <v>0</v>
      </c>
      <c r="DG20" s="45">
        <v>300000</v>
      </c>
      <c r="DH20" s="47">
        <f t="shared" si="59"/>
        <v>-50000</v>
      </c>
      <c r="DI20" s="45">
        <f t="shared" si="60"/>
        <v>300000</v>
      </c>
      <c r="DJ20" s="45">
        <f t="shared" si="61"/>
        <v>300000</v>
      </c>
      <c r="DK20" s="45">
        <f t="shared" si="62"/>
        <v>-50000</v>
      </c>
      <c r="DL20" s="45"/>
      <c r="DM20" s="45">
        <f t="shared" si="63"/>
        <v>300000</v>
      </c>
      <c r="DN20" s="45">
        <v>300000</v>
      </c>
      <c r="DO20" s="45">
        <f t="shared" si="64"/>
        <v>-50000</v>
      </c>
      <c r="DP20" s="45"/>
      <c r="DQ20" s="45">
        <v>-4500</v>
      </c>
      <c r="DR20" s="45">
        <f t="shared" si="65"/>
        <v>295500</v>
      </c>
      <c r="DS20" s="45">
        <f t="shared" si="66"/>
        <v>-54500</v>
      </c>
      <c r="DT20" s="45"/>
      <c r="DU20" s="45">
        <f t="shared" si="67"/>
        <v>295500</v>
      </c>
      <c r="DV20" s="45">
        <f t="shared" si="68"/>
        <v>-54500</v>
      </c>
      <c r="DW20" s="45">
        <v>295500</v>
      </c>
      <c r="DX20" s="45">
        <v>0</v>
      </c>
      <c r="DY20" s="9"/>
      <c r="DZ20" s="8">
        <f t="shared" si="69"/>
        <v>-295500</v>
      </c>
      <c r="EA20" s="47">
        <v>0</v>
      </c>
      <c r="EB20" s="8">
        <f t="shared" si="70"/>
        <v>-295500</v>
      </c>
      <c r="EC20" s="8">
        <f t="shared" si="71"/>
        <v>0</v>
      </c>
      <c r="ED20" s="71" t="s">
        <v>268</v>
      </c>
      <c r="EE20" s="44">
        <v>0</v>
      </c>
      <c r="EF20" s="30">
        <f t="shared" si="72"/>
        <v>-295500</v>
      </c>
      <c r="EG20" s="30">
        <f t="shared" si="73"/>
        <v>0</v>
      </c>
      <c r="EH20" s="30">
        <f t="shared" si="74"/>
        <v>0</v>
      </c>
      <c r="EI20" s="44">
        <v>0</v>
      </c>
      <c r="EJ20" s="30">
        <f t="shared" si="75"/>
        <v>-295500</v>
      </c>
      <c r="EK20" s="30">
        <f t="shared" si="76"/>
        <v>0</v>
      </c>
      <c r="EL20" s="30">
        <f t="shared" si="77"/>
        <v>0</v>
      </c>
      <c r="EM20" s="44">
        <v>0</v>
      </c>
      <c r="EN20" s="30">
        <f t="shared" si="95"/>
        <v>-295500</v>
      </c>
      <c r="EO20" s="30">
        <f t="shared" si="96"/>
        <v>0</v>
      </c>
      <c r="EP20" s="30">
        <f t="shared" si="97"/>
        <v>0</v>
      </c>
      <c r="EQ20" s="30">
        <f t="shared" si="78"/>
        <v>0</v>
      </c>
      <c r="ER20" s="44">
        <v>0</v>
      </c>
      <c r="ES20" s="30">
        <f t="shared" si="79"/>
        <v>-295500</v>
      </c>
      <c r="ET20" s="30">
        <f t="shared" si="80"/>
        <v>0</v>
      </c>
      <c r="EU20" s="30">
        <f t="shared" si="81"/>
        <v>0</v>
      </c>
      <c r="EV20" s="30">
        <f t="shared" si="82"/>
        <v>0</v>
      </c>
      <c r="EW20" s="44">
        <v>0</v>
      </c>
      <c r="EX20" s="30">
        <f t="shared" si="83"/>
        <v>-295500</v>
      </c>
      <c r="EY20" s="30">
        <f t="shared" si="84"/>
        <v>0</v>
      </c>
      <c r="EZ20" s="30">
        <f t="shared" si="8"/>
        <v>0</v>
      </c>
      <c r="FA20" s="44">
        <v>0</v>
      </c>
      <c r="FB20" s="30">
        <f t="shared" si="85"/>
        <v>-295500</v>
      </c>
      <c r="FC20" s="30"/>
      <c r="FD20" s="30">
        <f t="shared" si="86"/>
        <v>0</v>
      </c>
      <c r="FE20" s="30"/>
      <c r="FF20" s="30"/>
      <c r="FG20" s="30">
        <f t="shared" si="87"/>
        <v>0</v>
      </c>
      <c r="FH20" s="31">
        <v>0</v>
      </c>
      <c r="FI20" s="30">
        <f t="shared" si="88"/>
        <v>0</v>
      </c>
      <c r="FJ20" s="30"/>
      <c r="FK20" s="30">
        <v>0</v>
      </c>
      <c r="FL20" s="44">
        <f t="shared" si="89"/>
        <v>0</v>
      </c>
      <c r="FM20" s="44">
        <f t="shared" si="90"/>
        <v>0</v>
      </c>
      <c r="FN20" s="44"/>
      <c r="FO20" s="9"/>
    </row>
    <row r="21" spans="1:171" ht="12.75">
      <c r="A21" s="22" t="s">
        <v>18</v>
      </c>
      <c r="B21" s="23"/>
      <c r="C21" s="60" t="s">
        <v>278</v>
      </c>
      <c r="D21" s="25">
        <v>30101348</v>
      </c>
      <c r="E21" s="26">
        <v>31176348</v>
      </c>
      <c r="F21" s="26">
        <v>29972208</v>
      </c>
      <c r="G21" s="26">
        <v>28085096</v>
      </c>
      <c r="H21" s="26"/>
      <c r="I21" s="26">
        <f t="shared" si="0"/>
        <v>28085096</v>
      </c>
      <c r="J21" s="27"/>
      <c r="K21" s="27"/>
      <c r="L21" s="27">
        <f t="shared" si="1"/>
        <v>0</v>
      </c>
      <c r="M21" s="28">
        <f t="shared" si="9"/>
        <v>28085096</v>
      </c>
      <c r="N21" s="28">
        <v>27957357</v>
      </c>
      <c r="O21" s="28">
        <v>27956636</v>
      </c>
      <c r="P21" s="28">
        <v>27956636</v>
      </c>
      <c r="Q21" s="28">
        <v>27957357</v>
      </c>
      <c r="R21" s="28">
        <v>27952108</v>
      </c>
      <c r="S21" s="28">
        <v>8.94E-3</v>
      </c>
      <c r="T21" s="28">
        <f t="shared" si="91"/>
        <v>-249891.84552</v>
      </c>
      <c r="U21" s="28">
        <f t="shared" si="92"/>
        <v>27702216.154479999</v>
      </c>
      <c r="V21" s="28">
        <f t="shared" si="2"/>
        <v>-382879.8455200009</v>
      </c>
      <c r="W21" s="29">
        <v>27702108</v>
      </c>
      <c r="X21" s="29"/>
      <c r="Y21" s="29">
        <f t="shared" si="10"/>
        <v>27702108</v>
      </c>
      <c r="Z21" s="30">
        <v>27702115</v>
      </c>
      <c r="AA21" s="30">
        <f t="shared" si="11"/>
        <v>7</v>
      </c>
      <c r="AB21" s="30">
        <v>27702108</v>
      </c>
      <c r="AC21" s="30">
        <v>27702108</v>
      </c>
      <c r="AD21" s="31">
        <v>27702108</v>
      </c>
      <c r="AE21" s="30"/>
      <c r="AF21" s="30"/>
      <c r="AG21" s="30">
        <f>AC21-Z21</f>
        <v>-7</v>
      </c>
      <c r="AH21" s="31">
        <v>27702108</v>
      </c>
      <c r="AI21" s="31">
        <v>27702108</v>
      </c>
      <c r="AJ21" s="30">
        <f t="shared" si="98"/>
        <v>0</v>
      </c>
      <c r="AK21" s="30">
        <f t="shared" si="12"/>
        <v>-7</v>
      </c>
      <c r="AL21" s="30">
        <f t="shared" si="13"/>
        <v>0</v>
      </c>
      <c r="AM21" s="31">
        <f t="shared" si="14"/>
        <v>0</v>
      </c>
      <c r="AN21" s="31">
        <f t="shared" si="15"/>
        <v>-7</v>
      </c>
      <c r="AO21" s="31">
        <f t="shared" si="4"/>
        <v>0</v>
      </c>
      <c r="AP21" s="30">
        <v>27702108</v>
      </c>
      <c r="AQ21" s="30">
        <f t="shared" si="5"/>
        <v>0</v>
      </c>
      <c r="AR21" s="30">
        <f t="shared" si="16"/>
        <v>-7</v>
      </c>
      <c r="AS21" s="30">
        <f t="shared" si="17"/>
        <v>0</v>
      </c>
      <c r="AT21" s="30">
        <v>3000000</v>
      </c>
      <c r="AU21" s="30">
        <f t="shared" si="18"/>
        <v>30702108</v>
      </c>
      <c r="AV21" s="30">
        <v>30707455</v>
      </c>
      <c r="AW21" s="30">
        <f t="shared" si="19"/>
        <v>5347</v>
      </c>
      <c r="AX21" s="30">
        <v>29173112</v>
      </c>
      <c r="AY21" s="31">
        <f t="shared" si="93"/>
        <v>-1528996</v>
      </c>
      <c r="AZ21" s="31">
        <f t="shared" si="94"/>
        <v>-1534343</v>
      </c>
      <c r="BA21" s="30">
        <v>29923112</v>
      </c>
      <c r="BB21" s="30">
        <f t="shared" si="20"/>
        <v>-778996</v>
      </c>
      <c r="BC21" s="30">
        <f t="shared" si="21"/>
        <v>-784343</v>
      </c>
      <c r="BD21" s="30">
        <f t="shared" si="22"/>
        <v>750000</v>
      </c>
      <c r="BE21" s="30">
        <v>30707455</v>
      </c>
      <c r="BF21" s="30">
        <v>30174160</v>
      </c>
      <c r="BG21" s="30">
        <v>30174160</v>
      </c>
      <c r="BH21" s="30">
        <f t="shared" si="23"/>
        <v>-527948</v>
      </c>
      <c r="BI21" s="30">
        <f t="shared" si="24"/>
        <v>-533295</v>
      </c>
      <c r="BJ21" s="30">
        <f t="shared" si="25"/>
        <v>251048</v>
      </c>
      <c r="BK21" s="8">
        <f t="shared" si="26"/>
        <v>-533295</v>
      </c>
      <c r="BL21" s="30"/>
      <c r="BM21" s="30">
        <f t="shared" si="27"/>
        <v>30174160</v>
      </c>
      <c r="BN21" s="44">
        <v>35178721</v>
      </c>
      <c r="BO21" s="31">
        <f t="shared" si="28"/>
        <v>5004561</v>
      </c>
      <c r="BP21" s="44">
        <v>29156340</v>
      </c>
      <c r="BQ21" s="8">
        <f t="shared" si="29"/>
        <v>-1017820</v>
      </c>
      <c r="BR21" s="8">
        <f t="shared" si="30"/>
        <v>-6022381</v>
      </c>
      <c r="BS21" s="44">
        <v>30174160</v>
      </c>
      <c r="BT21" s="47">
        <f t="shared" si="31"/>
        <v>0</v>
      </c>
      <c r="BU21" s="47">
        <f t="shared" si="32"/>
        <v>-5004561</v>
      </c>
      <c r="BV21" s="47">
        <f t="shared" si="33"/>
        <v>1017820</v>
      </c>
      <c r="BW21" s="45">
        <v>30024160</v>
      </c>
      <c r="BX21" s="8">
        <f t="shared" si="34"/>
        <v>-150000</v>
      </c>
      <c r="BY21" s="8">
        <f t="shared" si="35"/>
        <v>-5154561</v>
      </c>
      <c r="BZ21" s="8">
        <f t="shared" si="36"/>
        <v>-150000</v>
      </c>
      <c r="CA21" s="45">
        <f>30024160+150000</f>
        <v>30174160</v>
      </c>
      <c r="CB21" s="8">
        <f t="shared" si="37"/>
        <v>0</v>
      </c>
      <c r="CC21" s="8">
        <f t="shared" si="38"/>
        <v>-5004561</v>
      </c>
      <c r="CD21" s="8">
        <f t="shared" si="6"/>
        <v>0</v>
      </c>
      <c r="CE21" s="8">
        <f t="shared" si="39"/>
        <v>150000</v>
      </c>
      <c r="CF21" s="45">
        <v>30174160</v>
      </c>
      <c r="CG21" s="8">
        <f t="shared" si="40"/>
        <v>0</v>
      </c>
      <c r="CH21" s="8">
        <f t="shared" si="41"/>
        <v>-5004561</v>
      </c>
      <c r="CI21" s="8">
        <f t="shared" si="42"/>
        <v>0</v>
      </c>
      <c r="CJ21" s="8">
        <f t="shared" si="43"/>
        <v>0</v>
      </c>
      <c r="CK21" s="45">
        <v>30174160</v>
      </c>
      <c r="CL21" s="8">
        <f t="shared" si="7"/>
        <v>0</v>
      </c>
      <c r="CM21" s="8">
        <f t="shared" si="44"/>
        <v>-5004561</v>
      </c>
      <c r="CN21" s="8">
        <f t="shared" si="45"/>
        <v>0</v>
      </c>
      <c r="CO21" s="45">
        <v>30024160</v>
      </c>
      <c r="CP21" s="45">
        <f t="shared" si="46"/>
        <v>-5154561</v>
      </c>
      <c r="CQ21" s="8">
        <f t="shared" si="47"/>
        <v>-150000</v>
      </c>
      <c r="CR21" s="45">
        <v>29156340</v>
      </c>
      <c r="CS21" s="32">
        <v>1117820</v>
      </c>
      <c r="CT21" s="45">
        <f t="shared" si="48"/>
        <v>30274160</v>
      </c>
      <c r="CU21" s="8">
        <f t="shared" si="49"/>
        <v>100000</v>
      </c>
      <c r="CV21" s="45">
        <f t="shared" si="50"/>
        <v>250000</v>
      </c>
      <c r="CW21" s="45">
        <f t="shared" si="51"/>
        <v>1117820</v>
      </c>
      <c r="CX21" s="45">
        <v>29156340</v>
      </c>
      <c r="CY21" s="8">
        <f t="shared" si="52"/>
        <v>-1017820</v>
      </c>
      <c r="CZ21" s="45">
        <f t="shared" si="53"/>
        <v>-867820</v>
      </c>
      <c r="DA21" s="45">
        <f t="shared" si="54"/>
        <v>-1117820</v>
      </c>
      <c r="DB21" s="45">
        <f>29156340+250000</f>
        <v>29406340</v>
      </c>
      <c r="DC21" s="8">
        <f t="shared" si="55"/>
        <v>-767820</v>
      </c>
      <c r="DD21" s="45">
        <f t="shared" si="56"/>
        <v>-617820</v>
      </c>
      <c r="DE21" s="45">
        <f t="shared" si="57"/>
        <v>-867820</v>
      </c>
      <c r="DF21" s="45">
        <f t="shared" si="58"/>
        <v>250000</v>
      </c>
      <c r="DG21" s="45">
        <v>30374160</v>
      </c>
      <c r="DH21" s="47">
        <f t="shared" si="59"/>
        <v>200000</v>
      </c>
      <c r="DI21" s="45">
        <f t="shared" si="60"/>
        <v>350000</v>
      </c>
      <c r="DJ21" s="45">
        <f t="shared" si="61"/>
        <v>100000</v>
      </c>
      <c r="DK21" s="45">
        <f t="shared" si="62"/>
        <v>967820</v>
      </c>
      <c r="DL21" s="45"/>
      <c r="DM21" s="45">
        <f t="shared" si="63"/>
        <v>30374160</v>
      </c>
      <c r="DN21" s="45">
        <v>30374160</v>
      </c>
      <c r="DO21" s="45">
        <f t="shared" si="64"/>
        <v>200000</v>
      </c>
      <c r="DP21" s="45"/>
      <c r="DQ21" s="45">
        <v>-705513</v>
      </c>
      <c r="DR21" s="45">
        <f t="shared" si="65"/>
        <v>29668647</v>
      </c>
      <c r="DS21" s="45">
        <f t="shared" si="66"/>
        <v>-505513</v>
      </c>
      <c r="DT21" s="45"/>
      <c r="DU21" s="45">
        <f t="shared" si="67"/>
        <v>29668647</v>
      </c>
      <c r="DV21" s="45">
        <f t="shared" si="68"/>
        <v>-505513</v>
      </c>
      <c r="DW21" s="45">
        <v>29668647</v>
      </c>
      <c r="DX21" s="45">
        <v>30036166</v>
      </c>
      <c r="DY21" s="9"/>
      <c r="DZ21" s="8">
        <f t="shared" si="69"/>
        <v>367519</v>
      </c>
      <c r="EA21" s="47">
        <v>29156340</v>
      </c>
      <c r="EB21" s="8">
        <f t="shared" si="70"/>
        <v>-512307</v>
      </c>
      <c r="EC21" s="8">
        <f t="shared" si="71"/>
        <v>-879826</v>
      </c>
      <c r="ED21" s="73"/>
      <c r="EE21" s="44">
        <v>30431340</v>
      </c>
      <c r="EF21" s="30">
        <f t="shared" si="72"/>
        <v>762693</v>
      </c>
      <c r="EG21" s="30">
        <f t="shared" si="73"/>
        <v>395174</v>
      </c>
      <c r="EH21" s="30">
        <f t="shared" si="74"/>
        <v>1275000</v>
      </c>
      <c r="EI21" s="44">
        <v>30374160</v>
      </c>
      <c r="EJ21" s="30">
        <f t="shared" si="75"/>
        <v>705513</v>
      </c>
      <c r="EK21" s="30">
        <f t="shared" si="76"/>
        <v>337994</v>
      </c>
      <c r="EL21" s="30">
        <f t="shared" si="77"/>
        <v>-57180</v>
      </c>
      <c r="EM21" s="44">
        <f>30374160+100000+500000+250000</f>
        <v>31224160</v>
      </c>
      <c r="EN21" s="30">
        <f t="shared" si="95"/>
        <v>1555513</v>
      </c>
      <c r="EO21" s="30">
        <f t="shared" si="96"/>
        <v>1187994</v>
      </c>
      <c r="EP21" s="30">
        <f t="shared" si="97"/>
        <v>792820</v>
      </c>
      <c r="EQ21" s="30">
        <f t="shared" si="78"/>
        <v>850000</v>
      </c>
      <c r="ER21" s="44">
        <v>31249160</v>
      </c>
      <c r="ES21" s="30">
        <f t="shared" si="79"/>
        <v>1580513</v>
      </c>
      <c r="ET21" s="30">
        <f t="shared" si="80"/>
        <v>1212994</v>
      </c>
      <c r="EU21" s="30">
        <f t="shared" si="81"/>
        <v>817820</v>
      </c>
      <c r="EV21" s="30">
        <f t="shared" si="82"/>
        <v>25000</v>
      </c>
      <c r="EW21" s="44">
        <v>31249160</v>
      </c>
      <c r="EX21" s="30">
        <f t="shared" si="83"/>
        <v>1580513</v>
      </c>
      <c r="EY21" s="30">
        <f t="shared" si="84"/>
        <v>0</v>
      </c>
      <c r="EZ21" s="30">
        <f t="shared" si="8"/>
        <v>0</v>
      </c>
      <c r="FA21" s="44">
        <v>31249160</v>
      </c>
      <c r="FB21" s="30">
        <f t="shared" si="85"/>
        <v>1580513</v>
      </c>
      <c r="FC21" s="30"/>
      <c r="FD21" s="30">
        <f t="shared" si="86"/>
        <v>31249160</v>
      </c>
      <c r="FE21" s="30">
        <f>31160279-31249160</f>
        <v>-88881</v>
      </c>
      <c r="FF21" s="30">
        <v>-500000</v>
      </c>
      <c r="FG21" s="30">
        <f t="shared" si="87"/>
        <v>30660279</v>
      </c>
      <c r="FH21" s="31">
        <v>30274866</v>
      </c>
      <c r="FI21" s="30">
        <f t="shared" si="88"/>
        <v>-385413</v>
      </c>
      <c r="FJ21" s="44" t="s">
        <v>313</v>
      </c>
      <c r="FK21" s="44">
        <v>29093517</v>
      </c>
      <c r="FL21" s="44">
        <f t="shared" si="89"/>
        <v>-1566762</v>
      </c>
      <c r="FM21" s="44">
        <f t="shared" si="90"/>
        <v>-1181349</v>
      </c>
      <c r="FN21" s="44" t="s">
        <v>313</v>
      </c>
      <c r="FO21" s="9"/>
    </row>
    <row r="22" spans="1:171" ht="12.75">
      <c r="A22" s="22" t="s">
        <v>4</v>
      </c>
      <c r="B22" s="23"/>
      <c r="C22" s="61" t="s">
        <v>46</v>
      </c>
      <c r="D22" s="25">
        <v>58300000</v>
      </c>
      <c r="E22" s="26">
        <v>61300000</v>
      </c>
      <c r="F22" s="26">
        <v>58357600</v>
      </c>
      <c r="G22" s="26">
        <v>40521840</v>
      </c>
      <c r="H22" s="26"/>
      <c r="I22" s="26">
        <f t="shared" si="0"/>
        <v>40521840</v>
      </c>
      <c r="J22" s="27"/>
      <c r="K22" s="27"/>
      <c r="L22" s="27">
        <f t="shared" si="1"/>
        <v>0</v>
      </c>
      <c r="M22" s="28">
        <f t="shared" si="9"/>
        <v>40521840</v>
      </c>
      <c r="N22" s="28">
        <f>M22+J22</f>
        <v>40521840</v>
      </c>
      <c r="O22" s="28">
        <v>42547932</v>
      </c>
      <c r="P22" s="28">
        <v>42547932</v>
      </c>
      <c r="Q22" s="28">
        <v>40521840</v>
      </c>
      <c r="R22" s="28">
        <v>44074024</v>
      </c>
      <c r="S22" s="28">
        <v>8.0610000000000001E-2</v>
      </c>
      <c r="T22" s="28">
        <f t="shared" si="91"/>
        <v>-3552807.0746400002</v>
      </c>
      <c r="U22" s="28">
        <f t="shared" si="92"/>
        <v>40521216.925360002</v>
      </c>
      <c r="V22" s="28">
        <f t="shared" si="2"/>
        <v>-623.07463999837637</v>
      </c>
      <c r="W22" s="29">
        <v>40521000</v>
      </c>
      <c r="X22" s="29"/>
      <c r="Y22" s="29">
        <f t="shared" si="10"/>
        <v>40521000</v>
      </c>
      <c r="Z22" s="30">
        <v>40521000</v>
      </c>
      <c r="AA22" s="30">
        <f t="shared" si="11"/>
        <v>0</v>
      </c>
      <c r="AB22" s="30">
        <v>40521000</v>
      </c>
      <c r="AC22" s="30">
        <v>40521000</v>
      </c>
      <c r="AD22" s="31">
        <v>40521000</v>
      </c>
      <c r="AE22" s="30"/>
      <c r="AF22" s="30"/>
      <c r="AG22" s="30"/>
      <c r="AH22" s="32">
        <v>43521000</v>
      </c>
      <c r="AI22" s="32">
        <v>43521000</v>
      </c>
      <c r="AJ22" s="30">
        <f t="shared" si="98"/>
        <v>0</v>
      </c>
      <c r="AK22" s="30">
        <f t="shared" si="12"/>
        <v>0</v>
      </c>
      <c r="AL22" s="30">
        <f t="shared" si="13"/>
        <v>0</v>
      </c>
      <c r="AM22" s="31">
        <f t="shared" si="14"/>
        <v>3000000</v>
      </c>
      <c r="AN22" s="31">
        <f t="shared" si="15"/>
        <v>3000000</v>
      </c>
      <c r="AO22" s="31">
        <f t="shared" si="4"/>
        <v>3000000</v>
      </c>
      <c r="AP22" s="30">
        <v>43521000</v>
      </c>
      <c r="AQ22" s="30">
        <f t="shared" si="5"/>
        <v>3000000</v>
      </c>
      <c r="AR22" s="30">
        <f t="shared" si="16"/>
        <v>3000000</v>
      </c>
      <c r="AS22" s="30">
        <f t="shared" si="17"/>
        <v>3000000</v>
      </c>
      <c r="AT22" s="30"/>
      <c r="AU22" s="30">
        <f t="shared" si="18"/>
        <v>43521000</v>
      </c>
      <c r="AV22" s="30">
        <v>43521000</v>
      </c>
      <c r="AW22" s="30">
        <f t="shared" si="19"/>
        <v>0</v>
      </c>
      <c r="AX22" s="30">
        <v>45442445</v>
      </c>
      <c r="AY22" s="31">
        <f t="shared" si="93"/>
        <v>1921445</v>
      </c>
      <c r="AZ22" s="31">
        <f t="shared" si="94"/>
        <v>1921445</v>
      </c>
      <c r="BA22" s="30">
        <v>45442445</v>
      </c>
      <c r="BB22" s="30">
        <f t="shared" si="20"/>
        <v>1921445</v>
      </c>
      <c r="BC22" s="30">
        <f t="shared" si="21"/>
        <v>1921445</v>
      </c>
      <c r="BD22" s="30">
        <f t="shared" si="22"/>
        <v>0</v>
      </c>
      <c r="BE22" s="30">
        <f>43521000+2000000</f>
        <v>45521000</v>
      </c>
      <c r="BF22" s="30">
        <f>43521000+2000000</f>
        <v>45521000</v>
      </c>
      <c r="BG22" s="30">
        <f>43521000+2000000</f>
        <v>45521000</v>
      </c>
      <c r="BH22" s="30">
        <f t="shared" si="23"/>
        <v>2000000</v>
      </c>
      <c r="BI22" s="30">
        <f t="shared" si="24"/>
        <v>2000000</v>
      </c>
      <c r="BJ22" s="30">
        <f t="shared" si="25"/>
        <v>78555</v>
      </c>
      <c r="BK22" s="8">
        <f t="shared" si="26"/>
        <v>0</v>
      </c>
      <c r="BL22" s="30">
        <v>1000000</v>
      </c>
      <c r="BM22" s="34">
        <f>BG22-BL22+1000000</f>
        <v>45521000</v>
      </c>
      <c r="BN22" s="45">
        <v>44521000</v>
      </c>
      <c r="BO22" s="32">
        <f t="shared" si="28"/>
        <v>-1000000</v>
      </c>
      <c r="BP22" s="45">
        <v>45521000</v>
      </c>
      <c r="BQ22" s="48">
        <f t="shared" si="29"/>
        <v>0</v>
      </c>
      <c r="BR22" s="48">
        <f t="shared" si="30"/>
        <v>1000000</v>
      </c>
      <c r="BS22" s="45">
        <v>46021000</v>
      </c>
      <c r="BT22" s="49">
        <f t="shared" si="31"/>
        <v>500000</v>
      </c>
      <c r="BU22" s="49">
        <f t="shared" si="32"/>
        <v>1500000</v>
      </c>
      <c r="BV22" s="49">
        <f t="shared" si="33"/>
        <v>500000</v>
      </c>
      <c r="BW22" s="45">
        <v>49521000</v>
      </c>
      <c r="BX22" s="48">
        <f t="shared" si="34"/>
        <v>4000000</v>
      </c>
      <c r="BY22" s="48">
        <f t="shared" si="35"/>
        <v>5000000</v>
      </c>
      <c r="BZ22" s="48">
        <f t="shared" si="36"/>
        <v>3500000</v>
      </c>
      <c r="CA22" s="45">
        <f>49521000+2000000</f>
        <v>51521000</v>
      </c>
      <c r="CB22" s="8">
        <f t="shared" si="37"/>
        <v>6000000</v>
      </c>
      <c r="CC22" s="8">
        <f t="shared" si="38"/>
        <v>7000000</v>
      </c>
      <c r="CD22" s="8">
        <f t="shared" si="6"/>
        <v>5500000</v>
      </c>
      <c r="CE22" s="8">
        <f t="shared" si="39"/>
        <v>2000000</v>
      </c>
      <c r="CF22" s="45">
        <v>51521000</v>
      </c>
      <c r="CG22" s="8">
        <f t="shared" si="40"/>
        <v>6000000</v>
      </c>
      <c r="CH22" s="8">
        <f t="shared" si="41"/>
        <v>7000000</v>
      </c>
      <c r="CI22" s="8">
        <f t="shared" si="42"/>
        <v>5500000</v>
      </c>
      <c r="CJ22" s="8">
        <f t="shared" si="43"/>
        <v>0</v>
      </c>
      <c r="CK22" s="45">
        <v>51521000</v>
      </c>
      <c r="CL22" s="8">
        <f t="shared" si="7"/>
        <v>6000000</v>
      </c>
      <c r="CM22" s="8">
        <f t="shared" si="44"/>
        <v>7000000</v>
      </c>
      <c r="CN22" s="8">
        <f t="shared" si="45"/>
        <v>0</v>
      </c>
      <c r="CO22" s="45">
        <v>51521000</v>
      </c>
      <c r="CP22" s="45">
        <f t="shared" si="46"/>
        <v>7000000</v>
      </c>
      <c r="CQ22" s="8">
        <f t="shared" si="47"/>
        <v>0</v>
      </c>
      <c r="CR22" s="45">
        <v>53521000</v>
      </c>
      <c r="CS22" s="32"/>
      <c r="CT22" s="45">
        <f t="shared" si="48"/>
        <v>53521000</v>
      </c>
      <c r="CU22" s="8">
        <f t="shared" si="49"/>
        <v>2000000</v>
      </c>
      <c r="CV22" s="45">
        <f t="shared" si="50"/>
        <v>2000000</v>
      </c>
      <c r="CW22" s="45">
        <f t="shared" si="51"/>
        <v>0</v>
      </c>
      <c r="CX22" s="45">
        <v>70251563</v>
      </c>
      <c r="CY22" s="8">
        <f t="shared" si="52"/>
        <v>18730563</v>
      </c>
      <c r="CZ22" s="45">
        <f t="shared" si="53"/>
        <v>18730563</v>
      </c>
      <c r="DA22" s="45">
        <f t="shared" si="54"/>
        <v>16730563</v>
      </c>
      <c r="DB22" s="45">
        <v>70251563</v>
      </c>
      <c r="DC22" s="8">
        <f t="shared" si="55"/>
        <v>18730563</v>
      </c>
      <c r="DD22" s="45">
        <f t="shared" si="56"/>
        <v>18730563</v>
      </c>
      <c r="DE22" s="45">
        <f t="shared" si="57"/>
        <v>16730563</v>
      </c>
      <c r="DF22" s="45">
        <f t="shared" si="58"/>
        <v>0</v>
      </c>
      <c r="DG22" s="45">
        <v>70251563</v>
      </c>
      <c r="DH22" s="47">
        <f t="shared" si="59"/>
        <v>18730563</v>
      </c>
      <c r="DI22" s="45">
        <f t="shared" si="60"/>
        <v>18730563</v>
      </c>
      <c r="DJ22" s="45">
        <f t="shared" si="61"/>
        <v>16730563</v>
      </c>
      <c r="DK22" s="45">
        <f t="shared" si="62"/>
        <v>0</v>
      </c>
      <c r="DL22" s="45"/>
      <c r="DM22" s="45">
        <f t="shared" si="63"/>
        <v>70251563</v>
      </c>
      <c r="DN22" s="45">
        <v>70251563</v>
      </c>
      <c r="DO22" s="45">
        <f t="shared" si="64"/>
        <v>18730563</v>
      </c>
      <c r="DP22" s="45"/>
      <c r="DQ22" s="45">
        <v>-18730563</v>
      </c>
      <c r="DR22" s="45">
        <f t="shared" si="65"/>
        <v>51521000</v>
      </c>
      <c r="DS22" s="45">
        <f t="shared" si="66"/>
        <v>0</v>
      </c>
      <c r="DT22" s="45"/>
      <c r="DU22" s="45">
        <f>DR22+DT22</f>
        <v>51521000</v>
      </c>
      <c r="DV22" s="45">
        <f t="shared" si="68"/>
        <v>0</v>
      </c>
      <c r="DW22" s="45">
        <f>51521000+5000000</f>
        <v>56521000</v>
      </c>
      <c r="DX22" s="45">
        <v>51521000</v>
      </c>
      <c r="DY22" s="9"/>
      <c r="DZ22" s="8">
        <f t="shared" si="69"/>
        <v>0</v>
      </c>
      <c r="EA22" s="47">
        <v>56521000</v>
      </c>
      <c r="EB22" s="8">
        <f t="shared" si="70"/>
        <v>5000000</v>
      </c>
      <c r="EC22" s="8">
        <f t="shared" si="71"/>
        <v>5000000</v>
      </c>
      <c r="ED22" s="73"/>
      <c r="EE22" s="44">
        <v>56521000</v>
      </c>
      <c r="EF22" s="30">
        <f t="shared" si="72"/>
        <v>5000000</v>
      </c>
      <c r="EG22" s="30">
        <f t="shared" si="73"/>
        <v>5000000</v>
      </c>
      <c r="EH22" s="30">
        <f t="shared" si="74"/>
        <v>0</v>
      </c>
      <c r="EI22" s="44">
        <v>56521000</v>
      </c>
      <c r="EJ22" s="30">
        <f t="shared" si="75"/>
        <v>5000000</v>
      </c>
      <c r="EK22" s="30">
        <f t="shared" si="76"/>
        <v>5000000</v>
      </c>
      <c r="EL22" s="30">
        <f t="shared" si="77"/>
        <v>0</v>
      </c>
      <c r="EM22" s="44">
        <f>56521000+3000000</f>
        <v>59521000</v>
      </c>
      <c r="EN22" s="30">
        <f t="shared" si="95"/>
        <v>8000000</v>
      </c>
      <c r="EO22" s="30">
        <f t="shared" si="96"/>
        <v>8000000</v>
      </c>
      <c r="EP22" s="30">
        <f t="shared" si="97"/>
        <v>3000000</v>
      </c>
      <c r="EQ22" s="30">
        <f t="shared" si="78"/>
        <v>3000000</v>
      </c>
      <c r="ER22" s="44">
        <v>59021000</v>
      </c>
      <c r="ES22" s="30">
        <f t="shared" si="79"/>
        <v>2500000</v>
      </c>
      <c r="ET22" s="30">
        <f t="shared" si="80"/>
        <v>7500000</v>
      </c>
      <c r="EU22" s="30">
        <f t="shared" si="81"/>
        <v>2500000</v>
      </c>
      <c r="EV22" s="30">
        <f t="shared" si="82"/>
        <v>-500000</v>
      </c>
      <c r="EW22" s="44">
        <v>59021000</v>
      </c>
      <c r="EX22" s="30">
        <f t="shared" si="83"/>
        <v>2500000</v>
      </c>
      <c r="EY22" s="30">
        <f t="shared" si="84"/>
        <v>0</v>
      </c>
      <c r="EZ22" s="30">
        <f t="shared" si="8"/>
        <v>0</v>
      </c>
      <c r="FA22" s="44">
        <v>59021000</v>
      </c>
      <c r="FB22" s="30">
        <f t="shared" si="85"/>
        <v>2500000</v>
      </c>
      <c r="FC22" s="30"/>
      <c r="FD22" s="30">
        <f t="shared" si="86"/>
        <v>59021000</v>
      </c>
      <c r="FE22" s="30"/>
      <c r="FF22" s="30"/>
      <c r="FG22" s="30">
        <f t="shared" si="87"/>
        <v>59021000</v>
      </c>
      <c r="FH22" s="31">
        <v>59021000</v>
      </c>
      <c r="FI22" s="30">
        <f t="shared" si="88"/>
        <v>0</v>
      </c>
      <c r="FJ22" s="30"/>
      <c r="FK22" s="30">
        <v>60021000</v>
      </c>
      <c r="FL22" s="44">
        <f t="shared" si="89"/>
        <v>1000000</v>
      </c>
      <c r="FM22" s="44">
        <f t="shared" si="90"/>
        <v>1000000</v>
      </c>
      <c r="FN22" s="44"/>
      <c r="FO22" s="9"/>
    </row>
    <row r="23" spans="1:171" ht="25.5" customHeight="1">
      <c r="A23" s="22" t="s">
        <v>27</v>
      </c>
      <c r="B23" s="23"/>
      <c r="C23" s="60" t="s">
        <v>211</v>
      </c>
      <c r="D23" s="25">
        <v>1950000</v>
      </c>
      <c r="E23" s="26">
        <v>2075000</v>
      </c>
      <c r="F23" s="26">
        <v>1975400</v>
      </c>
      <c r="G23" s="26">
        <v>646855</v>
      </c>
      <c r="H23" s="26"/>
      <c r="I23" s="26">
        <f t="shared" si="0"/>
        <v>646855</v>
      </c>
      <c r="J23" s="27">
        <v>-146855</v>
      </c>
      <c r="K23" s="27"/>
      <c r="L23" s="27">
        <f t="shared" si="1"/>
        <v>-146855</v>
      </c>
      <c r="M23" s="28">
        <f t="shared" si="9"/>
        <v>500000</v>
      </c>
      <c r="N23" s="28">
        <v>500000</v>
      </c>
      <c r="O23" s="28">
        <v>400000</v>
      </c>
      <c r="P23" s="28">
        <v>400000</v>
      </c>
      <c r="Q23" s="28"/>
      <c r="R23" s="28">
        <v>500000</v>
      </c>
      <c r="S23" s="28">
        <v>0.2</v>
      </c>
      <c r="T23" s="28">
        <f t="shared" si="91"/>
        <v>-100000</v>
      </c>
      <c r="U23" s="28">
        <f t="shared" si="92"/>
        <v>400000</v>
      </c>
      <c r="V23" s="28">
        <f t="shared" si="2"/>
        <v>-100000</v>
      </c>
      <c r="W23" s="29">
        <v>400000</v>
      </c>
      <c r="X23" s="29"/>
      <c r="Y23" s="29">
        <f t="shared" si="10"/>
        <v>400000</v>
      </c>
      <c r="Z23" s="30">
        <v>400000</v>
      </c>
      <c r="AA23" s="30">
        <f t="shared" si="11"/>
        <v>0</v>
      </c>
      <c r="AB23" s="30">
        <v>400000</v>
      </c>
      <c r="AC23" s="30">
        <v>400000</v>
      </c>
      <c r="AD23" s="31">
        <v>400000</v>
      </c>
      <c r="AE23" s="30"/>
      <c r="AF23" s="30"/>
      <c r="AG23" s="30"/>
      <c r="AH23" s="31">
        <v>400000</v>
      </c>
      <c r="AI23" s="31">
        <v>400000</v>
      </c>
      <c r="AJ23" s="30">
        <f t="shared" si="98"/>
        <v>0</v>
      </c>
      <c r="AK23" s="30">
        <f t="shared" si="12"/>
        <v>0</v>
      </c>
      <c r="AL23" s="30">
        <f t="shared" si="13"/>
        <v>0</v>
      </c>
      <c r="AM23" s="31">
        <f t="shared" si="14"/>
        <v>0</v>
      </c>
      <c r="AN23" s="31">
        <f t="shared" si="15"/>
        <v>0</v>
      </c>
      <c r="AO23" s="31">
        <f t="shared" si="4"/>
        <v>0</v>
      </c>
      <c r="AP23" s="30">
        <v>400000</v>
      </c>
      <c r="AQ23" s="30">
        <f t="shared" si="5"/>
        <v>0</v>
      </c>
      <c r="AR23" s="30">
        <f t="shared" si="16"/>
        <v>0</v>
      </c>
      <c r="AS23" s="30">
        <f t="shared" si="17"/>
        <v>0</v>
      </c>
      <c r="AT23" s="30"/>
      <c r="AU23" s="30">
        <f t="shared" si="18"/>
        <v>400000</v>
      </c>
      <c r="AV23" s="30">
        <v>400000</v>
      </c>
      <c r="AW23" s="30">
        <f t="shared" si="19"/>
        <v>0</v>
      </c>
      <c r="AX23" s="30">
        <v>200000</v>
      </c>
      <c r="AY23" s="31">
        <f t="shared" si="93"/>
        <v>-200000</v>
      </c>
      <c r="AZ23" s="31">
        <f t="shared" si="94"/>
        <v>-200000</v>
      </c>
      <c r="BA23" s="30">
        <v>200000</v>
      </c>
      <c r="BB23" s="30">
        <f t="shared" si="20"/>
        <v>-200000</v>
      </c>
      <c r="BC23" s="30">
        <f t="shared" si="21"/>
        <v>-200000</v>
      </c>
      <c r="BD23" s="30">
        <f t="shared" si="22"/>
        <v>0</v>
      </c>
      <c r="BE23" s="30">
        <v>400000</v>
      </c>
      <c r="BF23" s="30">
        <v>250000</v>
      </c>
      <c r="BG23" s="30">
        <v>250000</v>
      </c>
      <c r="BH23" s="30">
        <f t="shared" si="23"/>
        <v>-150000</v>
      </c>
      <c r="BI23" s="30">
        <f t="shared" si="24"/>
        <v>-150000</v>
      </c>
      <c r="BJ23" s="30">
        <f t="shared" si="25"/>
        <v>50000</v>
      </c>
      <c r="BK23" s="8">
        <f t="shared" si="26"/>
        <v>-150000</v>
      </c>
      <c r="BL23" s="30"/>
      <c r="BM23" s="34">
        <f t="shared" si="27"/>
        <v>250000</v>
      </c>
      <c r="BN23" s="45">
        <v>250000</v>
      </c>
      <c r="BO23" s="32">
        <f t="shared" si="28"/>
        <v>0</v>
      </c>
      <c r="BP23" s="45">
        <v>200000</v>
      </c>
      <c r="BQ23" s="48">
        <f t="shared" si="29"/>
        <v>-50000</v>
      </c>
      <c r="BR23" s="48">
        <f t="shared" si="30"/>
        <v>-50000</v>
      </c>
      <c r="BS23" s="45">
        <f>BP23</f>
        <v>200000</v>
      </c>
      <c r="BT23" s="49">
        <f t="shared" si="31"/>
        <v>-50000</v>
      </c>
      <c r="BU23" s="49">
        <f t="shared" si="32"/>
        <v>-50000</v>
      </c>
      <c r="BV23" s="49">
        <f t="shared" si="33"/>
        <v>0</v>
      </c>
      <c r="BW23" s="45">
        <v>3000000</v>
      </c>
      <c r="BX23" s="48">
        <f t="shared" si="34"/>
        <v>2750000</v>
      </c>
      <c r="BY23" s="48">
        <f t="shared" si="35"/>
        <v>2750000</v>
      </c>
      <c r="BZ23" s="48">
        <f t="shared" si="36"/>
        <v>2800000</v>
      </c>
      <c r="CA23" s="45">
        <v>3000000</v>
      </c>
      <c r="CB23" s="8">
        <f t="shared" si="37"/>
        <v>2750000</v>
      </c>
      <c r="CC23" s="8">
        <f t="shared" si="38"/>
        <v>2750000</v>
      </c>
      <c r="CD23" s="8">
        <f t="shared" si="6"/>
        <v>2800000</v>
      </c>
      <c r="CE23" s="8">
        <f t="shared" si="39"/>
        <v>0</v>
      </c>
      <c r="CF23" s="45">
        <v>3000000</v>
      </c>
      <c r="CG23" s="8">
        <f t="shared" si="40"/>
        <v>2750000</v>
      </c>
      <c r="CH23" s="8">
        <f t="shared" si="41"/>
        <v>2750000</v>
      </c>
      <c r="CI23" s="8">
        <f t="shared" si="42"/>
        <v>2800000</v>
      </c>
      <c r="CJ23" s="8">
        <f t="shared" si="43"/>
        <v>0</v>
      </c>
      <c r="CK23" s="45">
        <v>3000000</v>
      </c>
      <c r="CL23" s="8">
        <f t="shared" si="7"/>
        <v>2750000</v>
      </c>
      <c r="CM23" s="8">
        <f t="shared" si="44"/>
        <v>2750000</v>
      </c>
      <c r="CN23" s="8">
        <f t="shared" si="45"/>
        <v>0</v>
      </c>
      <c r="CO23" s="45">
        <v>0</v>
      </c>
      <c r="CP23" s="45">
        <f t="shared" si="46"/>
        <v>-250000</v>
      </c>
      <c r="CQ23" s="8">
        <f t="shared" si="47"/>
        <v>-3000000</v>
      </c>
      <c r="CR23" s="45">
        <v>1500000</v>
      </c>
      <c r="CS23" s="32"/>
      <c r="CT23" s="45">
        <f t="shared" si="48"/>
        <v>1500000</v>
      </c>
      <c r="CU23" s="8">
        <f t="shared" si="49"/>
        <v>-1500000</v>
      </c>
      <c r="CV23" s="45">
        <f t="shared" si="50"/>
        <v>1500000</v>
      </c>
      <c r="CW23" s="45">
        <f t="shared" si="51"/>
        <v>0</v>
      </c>
      <c r="CX23" s="45">
        <v>3020613</v>
      </c>
      <c r="CY23" s="8">
        <f t="shared" si="52"/>
        <v>20613</v>
      </c>
      <c r="CZ23" s="45">
        <f t="shared" si="53"/>
        <v>3020613</v>
      </c>
      <c r="DA23" s="45">
        <f t="shared" si="54"/>
        <v>1520613</v>
      </c>
      <c r="DB23" s="45">
        <v>3020613</v>
      </c>
      <c r="DC23" s="8">
        <f t="shared" si="55"/>
        <v>20613</v>
      </c>
      <c r="DD23" s="45">
        <f t="shared" si="56"/>
        <v>3020613</v>
      </c>
      <c r="DE23" s="45">
        <f t="shared" si="57"/>
        <v>1520613</v>
      </c>
      <c r="DF23" s="45">
        <f t="shared" si="58"/>
        <v>0</v>
      </c>
      <c r="DG23" s="45">
        <v>2244847</v>
      </c>
      <c r="DH23" s="47">
        <f t="shared" si="59"/>
        <v>-755153</v>
      </c>
      <c r="DI23" s="45">
        <f t="shared" si="60"/>
        <v>2244847</v>
      </c>
      <c r="DJ23" s="45">
        <f t="shared" si="61"/>
        <v>744847</v>
      </c>
      <c r="DK23" s="45">
        <f t="shared" si="62"/>
        <v>-775766</v>
      </c>
      <c r="DL23" s="45"/>
      <c r="DM23" s="45">
        <f t="shared" si="63"/>
        <v>2244847</v>
      </c>
      <c r="DN23" s="45">
        <v>2244847</v>
      </c>
      <c r="DO23" s="45">
        <f t="shared" si="64"/>
        <v>-755153</v>
      </c>
      <c r="DP23" s="45"/>
      <c r="DQ23" s="45">
        <v>-2244847</v>
      </c>
      <c r="DR23" s="45">
        <f t="shared" si="65"/>
        <v>0</v>
      </c>
      <c r="DS23" s="45">
        <f t="shared" si="66"/>
        <v>-3000000</v>
      </c>
      <c r="DT23" s="45"/>
      <c r="DU23" s="45">
        <f t="shared" si="67"/>
        <v>0</v>
      </c>
      <c r="DV23" s="45">
        <f t="shared" si="68"/>
        <v>-3000000</v>
      </c>
      <c r="DW23" s="45">
        <v>0</v>
      </c>
      <c r="DX23" s="45">
        <v>0</v>
      </c>
      <c r="DY23" s="9"/>
      <c r="DZ23" s="8">
        <f t="shared" si="69"/>
        <v>0</v>
      </c>
      <c r="EA23" s="47">
        <v>0</v>
      </c>
      <c r="EB23" s="8">
        <f t="shared" si="70"/>
        <v>0</v>
      </c>
      <c r="EC23" s="8">
        <f t="shared" si="71"/>
        <v>0</v>
      </c>
      <c r="ED23" s="73"/>
      <c r="EE23" s="44"/>
      <c r="EF23" s="30">
        <f t="shared" si="72"/>
        <v>0</v>
      </c>
      <c r="EG23" s="30">
        <f t="shared" si="73"/>
        <v>0</v>
      </c>
      <c r="EH23" s="30">
        <f t="shared" si="74"/>
        <v>0</v>
      </c>
      <c r="EI23" s="44">
        <v>2244847</v>
      </c>
      <c r="EJ23" s="30">
        <f t="shared" si="75"/>
        <v>2244847</v>
      </c>
      <c r="EK23" s="30">
        <f t="shared" si="76"/>
        <v>2244847</v>
      </c>
      <c r="EL23" s="30">
        <f t="shared" si="77"/>
        <v>2244847</v>
      </c>
      <c r="EM23" s="44">
        <v>2244847</v>
      </c>
      <c r="EN23" s="30">
        <f t="shared" si="95"/>
        <v>2244847</v>
      </c>
      <c r="EO23" s="30">
        <f t="shared" si="96"/>
        <v>2244847</v>
      </c>
      <c r="EP23" s="30">
        <f t="shared" si="97"/>
        <v>2244847</v>
      </c>
      <c r="EQ23" s="30">
        <f t="shared" si="78"/>
        <v>0</v>
      </c>
      <c r="ER23" s="44">
        <v>1750000</v>
      </c>
      <c r="ES23" s="30">
        <f t="shared" si="79"/>
        <v>1750000</v>
      </c>
      <c r="ET23" s="30">
        <f t="shared" si="80"/>
        <v>1750000</v>
      </c>
      <c r="EU23" s="30">
        <f t="shared" si="81"/>
        <v>1750000</v>
      </c>
      <c r="EV23" s="30">
        <f t="shared" si="82"/>
        <v>-494847</v>
      </c>
      <c r="EW23" s="44">
        <v>1750000</v>
      </c>
      <c r="EX23" s="30">
        <f t="shared" si="83"/>
        <v>1750000</v>
      </c>
      <c r="EY23" s="30">
        <f t="shared" si="84"/>
        <v>0</v>
      </c>
      <c r="EZ23" s="30">
        <f t="shared" si="8"/>
        <v>0</v>
      </c>
      <c r="FA23" s="44">
        <v>1750000</v>
      </c>
      <c r="FB23" s="30">
        <f t="shared" si="85"/>
        <v>1750000</v>
      </c>
      <c r="FC23" s="30"/>
      <c r="FD23" s="30">
        <f t="shared" si="86"/>
        <v>1750000</v>
      </c>
      <c r="FE23" s="30"/>
      <c r="FF23" s="30"/>
      <c r="FG23" s="30">
        <f t="shared" si="87"/>
        <v>1750000</v>
      </c>
      <c r="FH23" s="31">
        <v>1750000</v>
      </c>
      <c r="FI23" s="30">
        <f t="shared" si="88"/>
        <v>0</v>
      </c>
      <c r="FJ23" s="30"/>
      <c r="FK23" s="30">
        <v>0</v>
      </c>
      <c r="FL23" s="44">
        <f t="shared" si="89"/>
        <v>-1750000</v>
      </c>
      <c r="FM23" s="44">
        <f t="shared" si="90"/>
        <v>-1750000</v>
      </c>
      <c r="FN23" s="44"/>
      <c r="FO23" s="9"/>
    </row>
    <row r="24" spans="1:171" ht="25.5">
      <c r="A24" s="46" t="s">
        <v>206</v>
      </c>
      <c r="B24" s="23"/>
      <c r="C24" s="61" t="s">
        <v>156</v>
      </c>
      <c r="D24" s="25"/>
      <c r="E24" s="26"/>
      <c r="F24" s="26"/>
      <c r="G24" s="26"/>
      <c r="H24" s="26"/>
      <c r="I24" s="26"/>
      <c r="J24" s="27"/>
      <c r="K24" s="27"/>
      <c r="L24" s="27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9"/>
      <c r="X24" s="29"/>
      <c r="Y24" s="29">
        <f>W24+X24</f>
        <v>0</v>
      </c>
      <c r="Z24" s="30"/>
      <c r="AA24" s="30"/>
      <c r="AB24" s="30"/>
      <c r="AC24" s="30"/>
      <c r="AD24" s="31"/>
      <c r="AE24" s="30"/>
      <c r="AF24" s="30"/>
      <c r="AG24" s="30"/>
      <c r="AH24" s="31"/>
      <c r="AI24" s="31"/>
      <c r="AJ24" s="30"/>
      <c r="AK24" s="30"/>
      <c r="AL24" s="30"/>
      <c r="AM24" s="31"/>
      <c r="AN24" s="31"/>
      <c r="AO24" s="31"/>
      <c r="AP24" s="30"/>
      <c r="AQ24" s="30"/>
      <c r="AR24" s="30"/>
      <c r="AS24" s="30"/>
      <c r="AT24" s="30"/>
      <c r="AU24" s="30">
        <f>AP24+AT24</f>
        <v>0</v>
      </c>
      <c r="AV24" s="30"/>
      <c r="AW24" s="30"/>
      <c r="AX24" s="30">
        <v>11300000</v>
      </c>
      <c r="AY24" s="31">
        <f>AX24-AP24-AT24</f>
        <v>11300000</v>
      </c>
      <c r="AZ24" s="31">
        <f>AX24-AV24</f>
        <v>11300000</v>
      </c>
      <c r="BA24" s="30">
        <v>11300000</v>
      </c>
      <c r="BB24" s="30">
        <f>BA24-AP24-AT24</f>
        <v>11300000</v>
      </c>
      <c r="BC24" s="30">
        <f>BA24-AV24</f>
        <v>11300000</v>
      </c>
      <c r="BD24" s="30">
        <f>BA24-AX24</f>
        <v>0</v>
      </c>
      <c r="BE24" s="30"/>
      <c r="BF24" s="30">
        <v>11300000</v>
      </c>
      <c r="BG24" s="30">
        <v>11300000</v>
      </c>
      <c r="BH24" s="30">
        <f>+BF24-AU24</f>
        <v>11300000</v>
      </c>
      <c r="BI24" s="30">
        <f>+BF24-AV24</f>
        <v>11300000</v>
      </c>
      <c r="BJ24" s="30">
        <f>+BF24-BA24</f>
        <v>0</v>
      </c>
      <c r="BK24" s="8">
        <f>+BF24-BE24</f>
        <v>11300000</v>
      </c>
      <c r="BL24" s="30">
        <v>5250000</v>
      </c>
      <c r="BM24" s="34">
        <f>BG24-BL24+5250000</f>
        <v>11300000</v>
      </c>
      <c r="BN24" s="45">
        <v>6050000</v>
      </c>
      <c r="BO24" s="32">
        <f>BN24-BM24</f>
        <v>-5250000</v>
      </c>
      <c r="BP24" s="45">
        <v>6050000</v>
      </c>
      <c r="BQ24" s="48">
        <f>BP24-BM24</f>
        <v>-5250000</v>
      </c>
      <c r="BR24" s="48">
        <f>BP24-BN24</f>
        <v>0</v>
      </c>
      <c r="BS24" s="45">
        <f>BP24</f>
        <v>6050000</v>
      </c>
      <c r="BT24" s="49">
        <f>BS24-BM24</f>
        <v>-5250000</v>
      </c>
      <c r="BU24" s="49">
        <f>BS24-BN24</f>
        <v>0</v>
      </c>
      <c r="BV24" s="49">
        <f>BS24-BP24</f>
        <v>0</v>
      </c>
      <c r="BW24" s="45">
        <v>6050000</v>
      </c>
      <c r="BX24" s="48">
        <f>BW24-BM24</f>
        <v>-5250000</v>
      </c>
      <c r="BY24" s="48">
        <f>BW24-BN24</f>
        <v>0</v>
      </c>
      <c r="BZ24" s="48">
        <f>BW24-BS24</f>
        <v>0</v>
      </c>
      <c r="CA24" s="45">
        <f>6050000+1300000</f>
        <v>7350000</v>
      </c>
      <c r="CB24" s="8">
        <f>CA24-BM24</f>
        <v>-3950000</v>
      </c>
      <c r="CC24" s="8">
        <f>CA24-BN24</f>
        <v>1300000</v>
      </c>
      <c r="CD24" s="8">
        <f>CA24-BS24</f>
        <v>1300000</v>
      </c>
      <c r="CE24" s="8">
        <f>CA24-BW24</f>
        <v>1300000</v>
      </c>
      <c r="CF24" s="45">
        <v>7350000</v>
      </c>
      <c r="CG24" s="8">
        <f>CF24-BM24</f>
        <v>-3950000</v>
      </c>
      <c r="CH24" s="8">
        <f>CF24-BN24</f>
        <v>1300000</v>
      </c>
      <c r="CI24" s="8">
        <f>CF24-BS24</f>
        <v>1300000</v>
      </c>
      <c r="CJ24" s="8">
        <f>CF24-CA24</f>
        <v>0</v>
      </c>
      <c r="CK24" s="45">
        <v>7350000</v>
      </c>
      <c r="CL24" s="8">
        <f>CK24-BM24</f>
        <v>-3950000</v>
      </c>
      <c r="CM24" s="8">
        <f>CK24-BN24</f>
        <v>1300000</v>
      </c>
      <c r="CN24" s="8">
        <f>CK24-CF24</f>
        <v>0</v>
      </c>
      <c r="CO24" s="45">
        <f>CK24</f>
        <v>7350000</v>
      </c>
      <c r="CP24" s="45">
        <f t="shared" si="46"/>
        <v>1300000</v>
      </c>
      <c r="CQ24" s="8">
        <f t="shared" si="47"/>
        <v>0</v>
      </c>
      <c r="CR24" s="45">
        <v>7350000</v>
      </c>
      <c r="CS24" s="32"/>
      <c r="CT24" s="45">
        <f t="shared" si="48"/>
        <v>7350000</v>
      </c>
      <c r="CU24" s="8">
        <f t="shared" si="49"/>
        <v>0</v>
      </c>
      <c r="CV24" s="45">
        <f t="shared" si="50"/>
        <v>0</v>
      </c>
      <c r="CW24" s="45">
        <f t="shared" si="51"/>
        <v>0</v>
      </c>
      <c r="CX24" s="45">
        <v>7350000</v>
      </c>
      <c r="CY24" s="8">
        <f t="shared" si="52"/>
        <v>0</v>
      </c>
      <c r="CZ24" s="45">
        <f t="shared" si="53"/>
        <v>0</v>
      </c>
      <c r="DA24" s="45">
        <f t="shared" si="54"/>
        <v>0</v>
      </c>
      <c r="DB24" s="45">
        <v>7350000</v>
      </c>
      <c r="DC24" s="8">
        <f t="shared" si="55"/>
        <v>0</v>
      </c>
      <c r="DD24" s="45">
        <f t="shared" si="56"/>
        <v>0</v>
      </c>
      <c r="DE24" s="45">
        <f t="shared" si="57"/>
        <v>0</v>
      </c>
      <c r="DF24" s="45">
        <f t="shared" si="58"/>
        <v>0</v>
      </c>
      <c r="DG24" s="45">
        <v>7350000</v>
      </c>
      <c r="DH24" s="47">
        <f t="shared" si="59"/>
        <v>0</v>
      </c>
      <c r="DI24" s="45">
        <f t="shared" si="60"/>
        <v>0</v>
      </c>
      <c r="DJ24" s="45">
        <f t="shared" si="61"/>
        <v>0</v>
      </c>
      <c r="DK24" s="45">
        <f t="shared" si="62"/>
        <v>0</v>
      </c>
      <c r="DL24" s="45"/>
      <c r="DM24" s="45">
        <f t="shared" si="63"/>
        <v>7350000</v>
      </c>
      <c r="DN24" s="45">
        <v>7350000</v>
      </c>
      <c r="DO24" s="45">
        <f t="shared" si="64"/>
        <v>0</v>
      </c>
      <c r="DP24" s="45"/>
      <c r="DQ24" s="45">
        <v>0</v>
      </c>
      <c r="DR24" s="45">
        <f t="shared" si="65"/>
        <v>7350000</v>
      </c>
      <c r="DS24" s="45">
        <f t="shared" si="66"/>
        <v>0</v>
      </c>
      <c r="DT24" s="45"/>
      <c r="DU24" s="45">
        <f t="shared" si="67"/>
        <v>7350000</v>
      </c>
      <c r="DV24" s="45">
        <f t="shared" si="68"/>
        <v>0</v>
      </c>
      <c r="DW24" s="45">
        <v>7350000</v>
      </c>
      <c r="DX24" s="45">
        <v>8350000</v>
      </c>
      <c r="DY24" s="9"/>
      <c r="DZ24" s="8">
        <f t="shared" si="69"/>
        <v>1000000</v>
      </c>
      <c r="EA24" s="47">
        <v>8350000</v>
      </c>
      <c r="EB24" s="8">
        <f t="shared" si="70"/>
        <v>1000000</v>
      </c>
      <c r="EC24" s="8">
        <f t="shared" si="71"/>
        <v>0</v>
      </c>
      <c r="ED24" s="73"/>
      <c r="EE24" s="44">
        <v>8350000</v>
      </c>
      <c r="EF24" s="30">
        <f t="shared" si="72"/>
        <v>1000000</v>
      </c>
      <c r="EG24" s="30">
        <f t="shared" si="73"/>
        <v>0</v>
      </c>
      <c r="EH24" s="30">
        <f t="shared" si="74"/>
        <v>0</v>
      </c>
      <c r="EI24" s="44">
        <v>7350000</v>
      </c>
      <c r="EJ24" s="30">
        <f t="shared" si="75"/>
        <v>0</v>
      </c>
      <c r="EK24" s="30">
        <f t="shared" si="76"/>
        <v>-1000000</v>
      </c>
      <c r="EL24" s="30">
        <f t="shared" si="77"/>
        <v>-1000000</v>
      </c>
      <c r="EM24" s="44">
        <f>7350000+1000000</f>
        <v>8350000</v>
      </c>
      <c r="EN24" s="30">
        <f t="shared" si="95"/>
        <v>1000000</v>
      </c>
      <c r="EO24" s="30">
        <f t="shared" si="96"/>
        <v>0</v>
      </c>
      <c r="EP24" s="30">
        <f t="shared" si="97"/>
        <v>0</v>
      </c>
      <c r="EQ24" s="30">
        <f t="shared" si="78"/>
        <v>1000000</v>
      </c>
      <c r="ER24" s="44">
        <f>7350000+1000000</f>
        <v>8350000</v>
      </c>
      <c r="ES24" s="30">
        <f t="shared" si="79"/>
        <v>1000000</v>
      </c>
      <c r="ET24" s="30">
        <f t="shared" si="80"/>
        <v>0</v>
      </c>
      <c r="EU24" s="30">
        <f t="shared" si="81"/>
        <v>0</v>
      </c>
      <c r="EV24" s="30">
        <f t="shared" si="82"/>
        <v>0</v>
      </c>
      <c r="EW24" s="44">
        <f>7350000+1000000</f>
        <v>8350000</v>
      </c>
      <c r="EX24" s="30">
        <f t="shared" si="83"/>
        <v>1000000</v>
      </c>
      <c r="EY24" s="30">
        <f t="shared" si="84"/>
        <v>0</v>
      </c>
      <c r="EZ24" s="30">
        <f t="shared" si="8"/>
        <v>0</v>
      </c>
      <c r="FA24" s="44">
        <f>7350000+1000000</f>
        <v>8350000</v>
      </c>
      <c r="FB24" s="30">
        <f t="shared" si="85"/>
        <v>1000000</v>
      </c>
      <c r="FC24" s="30"/>
      <c r="FD24" s="30">
        <f t="shared" si="86"/>
        <v>8350000</v>
      </c>
      <c r="FE24" s="30"/>
      <c r="FF24" s="30"/>
      <c r="FG24" s="30">
        <f t="shared" si="87"/>
        <v>8350000</v>
      </c>
      <c r="FH24" s="31">
        <v>8350000</v>
      </c>
      <c r="FI24" s="30">
        <f t="shared" si="88"/>
        <v>0</v>
      </c>
      <c r="FJ24" s="30"/>
      <c r="FK24" s="30">
        <v>8350000</v>
      </c>
      <c r="FL24" s="44">
        <f t="shared" si="89"/>
        <v>0</v>
      </c>
      <c r="FM24" s="44">
        <f t="shared" si="90"/>
        <v>0</v>
      </c>
      <c r="FN24" s="44"/>
      <c r="FO24" s="9"/>
    </row>
    <row r="25" spans="1:171" ht="15.75" customHeight="1">
      <c r="A25" s="22" t="s">
        <v>149</v>
      </c>
      <c r="B25" s="23"/>
      <c r="C25" s="61" t="s">
        <v>182</v>
      </c>
      <c r="D25" s="25"/>
      <c r="E25" s="26"/>
      <c r="F25" s="26"/>
      <c r="G25" s="26"/>
      <c r="H25" s="26"/>
      <c r="I25" s="26"/>
      <c r="J25" s="27"/>
      <c r="K25" s="27"/>
      <c r="L25" s="27"/>
      <c r="M25" s="28">
        <v>0</v>
      </c>
      <c r="N25" s="28"/>
      <c r="O25" s="28"/>
      <c r="P25" s="28"/>
      <c r="Q25" s="28"/>
      <c r="R25" s="28"/>
      <c r="S25" s="28"/>
      <c r="T25" s="28"/>
      <c r="U25" s="28"/>
      <c r="V25" s="28"/>
      <c r="W25" s="29">
        <v>0</v>
      </c>
      <c r="X25" s="29"/>
      <c r="Y25" s="29">
        <f t="shared" si="10"/>
        <v>0</v>
      </c>
      <c r="Z25" s="30">
        <v>0</v>
      </c>
      <c r="AA25" s="30">
        <f t="shared" si="11"/>
        <v>0</v>
      </c>
      <c r="AB25" s="30"/>
      <c r="AC25" s="30"/>
      <c r="AD25" s="31"/>
      <c r="AE25" s="30"/>
      <c r="AF25" s="30"/>
      <c r="AG25" s="30"/>
      <c r="AH25" s="31"/>
      <c r="AI25" s="31"/>
      <c r="AJ25" s="30"/>
      <c r="AK25" s="30"/>
      <c r="AL25" s="30"/>
      <c r="AM25" s="31"/>
      <c r="AN25" s="31"/>
      <c r="AO25" s="31"/>
      <c r="AP25" s="30">
        <v>0</v>
      </c>
      <c r="AQ25" s="30"/>
      <c r="AR25" s="30"/>
      <c r="AS25" s="30">
        <f t="shared" si="17"/>
        <v>0</v>
      </c>
      <c r="AT25" s="30"/>
      <c r="AU25" s="30">
        <f t="shared" si="18"/>
        <v>0</v>
      </c>
      <c r="AV25" s="30">
        <v>2400000</v>
      </c>
      <c r="AW25" s="30">
        <f t="shared" si="19"/>
        <v>2400000</v>
      </c>
      <c r="AX25" s="30">
        <v>1000000</v>
      </c>
      <c r="AY25" s="31">
        <f t="shared" si="93"/>
        <v>1000000</v>
      </c>
      <c r="AZ25" s="31">
        <f t="shared" si="94"/>
        <v>-1400000</v>
      </c>
      <c r="BA25" s="30">
        <v>1750000</v>
      </c>
      <c r="BB25" s="30">
        <f t="shared" si="20"/>
        <v>1750000</v>
      </c>
      <c r="BC25" s="30">
        <f t="shared" si="21"/>
        <v>-650000</v>
      </c>
      <c r="BD25" s="30">
        <f t="shared" si="22"/>
        <v>750000</v>
      </c>
      <c r="BE25" s="30">
        <v>2000000</v>
      </c>
      <c r="BF25" s="30">
        <v>2000000</v>
      </c>
      <c r="BG25" s="30">
        <v>2000000</v>
      </c>
      <c r="BH25" s="30">
        <f t="shared" si="23"/>
        <v>2000000</v>
      </c>
      <c r="BI25" s="30">
        <f t="shared" si="24"/>
        <v>-400000</v>
      </c>
      <c r="BJ25" s="30">
        <f t="shared" si="25"/>
        <v>250000</v>
      </c>
      <c r="BK25" s="8">
        <f t="shared" si="26"/>
        <v>0</v>
      </c>
      <c r="BL25" s="30"/>
      <c r="BM25" s="34">
        <f t="shared" si="27"/>
        <v>2000000</v>
      </c>
      <c r="BN25" s="45">
        <v>2000000</v>
      </c>
      <c r="BO25" s="32">
        <f t="shared" si="28"/>
        <v>0</v>
      </c>
      <c r="BP25" s="45">
        <v>1000000</v>
      </c>
      <c r="BQ25" s="48">
        <f t="shared" si="29"/>
        <v>-1000000</v>
      </c>
      <c r="BR25" s="48">
        <f t="shared" si="30"/>
        <v>-1000000</v>
      </c>
      <c r="BS25" s="45">
        <v>2000000</v>
      </c>
      <c r="BT25" s="49">
        <f t="shared" si="31"/>
        <v>0</v>
      </c>
      <c r="BU25" s="49">
        <f t="shared" si="32"/>
        <v>0</v>
      </c>
      <c r="BV25" s="49">
        <f t="shared" si="33"/>
        <v>1000000</v>
      </c>
      <c r="BW25" s="45">
        <v>2600000</v>
      </c>
      <c r="BX25" s="48">
        <f t="shared" si="34"/>
        <v>600000</v>
      </c>
      <c r="BY25" s="48">
        <f t="shared" si="35"/>
        <v>600000</v>
      </c>
      <c r="BZ25" s="48">
        <f t="shared" si="36"/>
        <v>600000</v>
      </c>
      <c r="CA25" s="45">
        <v>2600000</v>
      </c>
      <c r="CB25" s="8">
        <f t="shared" si="37"/>
        <v>600000</v>
      </c>
      <c r="CC25" s="8">
        <f t="shared" si="38"/>
        <v>600000</v>
      </c>
      <c r="CD25" s="8">
        <f t="shared" si="6"/>
        <v>600000</v>
      </c>
      <c r="CE25" s="8">
        <f t="shared" si="39"/>
        <v>0</v>
      </c>
      <c r="CF25" s="45">
        <v>2600000</v>
      </c>
      <c r="CG25" s="8">
        <f t="shared" si="40"/>
        <v>600000</v>
      </c>
      <c r="CH25" s="8">
        <f t="shared" si="41"/>
        <v>600000</v>
      </c>
      <c r="CI25" s="8">
        <f t="shared" si="42"/>
        <v>600000</v>
      </c>
      <c r="CJ25" s="8">
        <f t="shared" si="43"/>
        <v>0</v>
      </c>
      <c r="CK25" s="45">
        <v>2600000</v>
      </c>
      <c r="CL25" s="8">
        <f t="shared" si="7"/>
        <v>600000</v>
      </c>
      <c r="CM25" s="8">
        <f t="shared" si="44"/>
        <v>600000</v>
      </c>
      <c r="CN25" s="8">
        <f t="shared" si="45"/>
        <v>0</v>
      </c>
      <c r="CO25" s="45">
        <v>2000000</v>
      </c>
      <c r="CP25" s="45">
        <f t="shared" si="46"/>
        <v>0</v>
      </c>
      <c r="CQ25" s="8">
        <f t="shared" si="47"/>
        <v>-600000</v>
      </c>
      <c r="CR25" s="45">
        <v>2000000</v>
      </c>
      <c r="CS25" s="32">
        <v>600000</v>
      </c>
      <c r="CT25" s="45">
        <f t="shared" si="48"/>
        <v>2600000</v>
      </c>
      <c r="CU25" s="8">
        <f t="shared" si="49"/>
        <v>0</v>
      </c>
      <c r="CV25" s="45">
        <f t="shared" si="50"/>
        <v>600000</v>
      </c>
      <c r="CW25" s="45">
        <f t="shared" si="51"/>
        <v>600000</v>
      </c>
      <c r="CX25" s="45">
        <v>2600000</v>
      </c>
      <c r="CY25" s="8">
        <f t="shared" si="52"/>
        <v>0</v>
      </c>
      <c r="CZ25" s="45">
        <f t="shared" si="53"/>
        <v>600000</v>
      </c>
      <c r="DA25" s="45">
        <f t="shared" si="54"/>
        <v>0</v>
      </c>
      <c r="DB25" s="45">
        <v>2600000</v>
      </c>
      <c r="DC25" s="8">
        <f t="shared" si="55"/>
        <v>0</v>
      </c>
      <c r="DD25" s="45">
        <f t="shared" si="56"/>
        <v>600000</v>
      </c>
      <c r="DE25" s="45">
        <f t="shared" si="57"/>
        <v>0</v>
      </c>
      <c r="DF25" s="45">
        <f t="shared" si="58"/>
        <v>0</v>
      </c>
      <c r="DG25" s="45">
        <v>2600000</v>
      </c>
      <c r="DH25" s="47">
        <f t="shared" si="59"/>
        <v>0</v>
      </c>
      <c r="DI25" s="45">
        <f t="shared" si="60"/>
        <v>600000</v>
      </c>
      <c r="DJ25" s="45">
        <f t="shared" si="61"/>
        <v>0</v>
      </c>
      <c r="DK25" s="45">
        <f t="shared" si="62"/>
        <v>0</v>
      </c>
      <c r="DL25" s="45"/>
      <c r="DM25" s="45">
        <f t="shared" si="63"/>
        <v>2600000</v>
      </c>
      <c r="DN25" s="45">
        <v>2600000</v>
      </c>
      <c r="DO25" s="45">
        <f t="shared" si="64"/>
        <v>0</v>
      </c>
      <c r="DP25" s="45"/>
      <c r="DQ25" s="45">
        <v>-46803</v>
      </c>
      <c r="DR25" s="45">
        <f t="shared" si="65"/>
        <v>2553197</v>
      </c>
      <c r="DS25" s="45">
        <f t="shared" si="66"/>
        <v>-46803</v>
      </c>
      <c r="DT25" s="45"/>
      <c r="DU25" s="45">
        <f t="shared" si="67"/>
        <v>2553197</v>
      </c>
      <c r="DV25" s="45">
        <f t="shared" si="68"/>
        <v>-46803</v>
      </c>
      <c r="DW25" s="45">
        <v>2553197</v>
      </c>
      <c r="DX25" s="45">
        <v>2553197</v>
      </c>
      <c r="DY25" s="9"/>
      <c r="DZ25" s="8">
        <f t="shared" si="69"/>
        <v>0</v>
      </c>
      <c r="EA25" s="47">
        <v>2553197</v>
      </c>
      <c r="EB25" s="8">
        <f t="shared" si="70"/>
        <v>0</v>
      </c>
      <c r="EC25" s="8">
        <f t="shared" si="71"/>
        <v>0</v>
      </c>
      <c r="ED25" s="71" t="s">
        <v>271</v>
      </c>
      <c r="EE25" s="44">
        <v>2700000</v>
      </c>
      <c r="EF25" s="30">
        <f t="shared" si="72"/>
        <v>146803</v>
      </c>
      <c r="EG25" s="30">
        <f t="shared" si="73"/>
        <v>146803</v>
      </c>
      <c r="EH25" s="30">
        <f t="shared" si="74"/>
        <v>146803</v>
      </c>
      <c r="EI25" s="44">
        <v>2553197</v>
      </c>
      <c r="EJ25" s="30">
        <f t="shared" si="75"/>
        <v>0</v>
      </c>
      <c r="EK25" s="30">
        <f t="shared" si="76"/>
        <v>0</v>
      </c>
      <c r="EL25" s="30">
        <f t="shared" si="77"/>
        <v>-146803</v>
      </c>
      <c r="EM25" s="44">
        <v>2553197</v>
      </c>
      <c r="EN25" s="30">
        <f t="shared" si="95"/>
        <v>0</v>
      </c>
      <c r="EO25" s="30">
        <f t="shared" si="96"/>
        <v>0</v>
      </c>
      <c r="EP25" s="30">
        <f t="shared" si="97"/>
        <v>-146803</v>
      </c>
      <c r="EQ25" s="30">
        <f t="shared" si="78"/>
        <v>0</v>
      </c>
      <c r="ER25" s="44">
        <v>2700000</v>
      </c>
      <c r="ES25" s="30">
        <f t="shared" si="79"/>
        <v>146803</v>
      </c>
      <c r="ET25" s="30">
        <f t="shared" si="80"/>
        <v>146803</v>
      </c>
      <c r="EU25" s="30">
        <f t="shared" si="81"/>
        <v>0</v>
      </c>
      <c r="EV25" s="30">
        <f t="shared" si="82"/>
        <v>146803</v>
      </c>
      <c r="EW25" s="44">
        <v>2700000</v>
      </c>
      <c r="EX25" s="30">
        <f t="shared" si="83"/>
        <v>146803</v>
      </c>
      <c r="EY25" s="30">
        <f t="shared" si="84"/>
        <v>0</v>
      </c>
      <c r="EZ25" s="30">
        <f t="shared" si="8"/>
        <v>0</v>
      </c>
      <c r="FA25" s="44">
        <v>2700000</v>
      </c>
      <c r="FB25" s="30">
        <f t="shared" si="85"/>
        <v>146803</v>
      </c>
      <c r="FC25" s="30"/>
      <c r="FD25" s="30">
        <f t="shared" si="86"/>
        <v>2700000</v>
      </c>
      <c r="FE25" s="30"/>
      <c r="FF25" s="30"/>
      <c r="FG25" s="30">
        <f t="shared" si="87"/>
        <v>2700000</v>
      </c>
      <c r="FH25" s="31">
        <v>3200000</v>
      </c>
      <c r="FI25" s="30">
        <f t="shared" si="88"/>
        <v>500000</v>
      </c>
      <c r="FJ25" s="30"/>
      <c r="FK25" s="30">
        <v>2700000</v>
      </c>
      <c r="FL25" s="44">
        <f t="shared" si="89"/>
        <v>0</v>
      </c>
      <c r="FM25" s="44">
        <f t="shared" si="90"/>
        <v>-500000</v>
      </c>
      <c r="FN25" s="44"/>
      <c r="FO25" s="9"/>
    </row>
    <row r="26" spans="1:171" ht="12.75" hidden="1">
      <c r="A26" s="22" t="s">
        <v>10</v>
      </c>
      <c r="B26" s="23"/>
      <c r="C26" s="61" t="s">
        <v>26</v>
      </c>
      <c r="D26" s="25">
        <v>1247000</v>
      </c>
      <c r="E26" s="26">
        <v>1247000</v>
      </c>
      <c r="F26" s="26">
        <v>1239518</v>
      </c>
      <c r="G26" s="26">
        <v>1239518</v>
      </c>
      <c r="H26" s="26"/>
      <c r="I26" s="26">
        <f t="shared" si="0"/>
        <v>1239518</v>
      </c>
      <c r="J26" s="27"/>
      <c r="K26" s="27"/>
      <c r="L26" s="27">
        <f t="shared" si="1"/>
        <v>0</v>
      </c>
      <c r="M26" s="28">
        <f t="shared" si="9"/>
        <v>1239518</v>
      </c>
      <c r="N26" s="28">
        <f>M26+J26</f>
        <v>1239518</v>
      </c>
      <c r="O26" s="28">
        <v>1000000</v>
      </c>
      <c r="P26" s="28">
        <v>1000000</v>
      </c>
      <c r="Q26" s="28">
        <v>1239518</v>
      </c>
      <c r="R26" s="28">
        <v>1239518</v>
      </c>
      <c r="S26" s="28">
        <v>0.19323000000000001</v>
      </c>
      <c r="T26" s="28">
        <f t="shared" si="91"/>
        <v>-239512.06314000001</v>
      </c>
      <c r="U26" s="28">
        <f t="shared" si="92"/>
        <v>1000005.93686</v>
      </c>
      <c r="V26" s="28">
        <f t="shared" si="2"/>
        <v>-239512.06313999998</v>
      </c>
      <c r="W26" s="29">
        <v>1000000</v>
      </c>
      <c r="X26" s="29"/>
      <c r="Y26" s="29">
        <f t="shared" si="10"/>
        <v>1000000</v>
      </c>
      <c r="Z26" s="30">
        <v>1000000</v>
      </c>
      <c r="AA26" s="30">
        <f t="shared" si="11"/>
        <v>0</v>
      </c>
      <c r="AB26" s="30">
        <v>1000000</v>
      </c>
      <c r="AC26" s="30">
        <v>1000000</v>
      </c>
      <c r="AD26" s="31">
        <v>1000000</v>
      </c>
      <c r="AE26" s="30"/>
      <c r="AF26" s="30"/>
      <c r="AG26" s="30"/>
      <c r="AH26" s="31">
        <v>1000000</v>
      </c>
      <c r="AI26" s="31">
        <v>1000000</v>
      </c>
      <c r="AJ26" s="30">
        <f t="shared" si="98"/>
        <v>0</v>
      </c>
      <c r="AK26" s="30">
        <f t="shared" si="12"/>
        <v>0</v>
      </c>
      <c r="AL26" s="30">
        <f t="shared" si="13"/>
        <v>0</v>
      </c>
      <c r="AM26" s="31">
        <f t="shared" si="14"/>
        <v>0</v>
      </c>
      <c r="AN26" s="31">
        <f t="shared" si="15"/>
        <v>0</v>
      </c>
      <c r="AO26" s="31">
        <f t="shared" si="4"/>
        <v>0</v>
      </c>
      <c r="AP26" s="30">
        <v>1000000</v>
      </c>
      <c r="AQ26" s="30">
        <f t="shared" si="5"/>
        <v>0</v>
      </c>
      <c r="AR26" s="30">
        <f t="shared" si="16"/>
        <v>0</v>
      </c>
      <c r="AS26" s="30">
        <f t="shared" si="17"/>
        <v>0</v>
      </c>
      <c r="AT26" s="30"/>
      <c r="AU26" s="30">
        <f t="shared" si="18"/>
        <v>1000000</v>
      </c>
      <c r="AV26" s="30">
        <v>1000000</v>
      </c>
      <c r="AW26" s="30">
        <f t="shared" si="19"/>
        <v>0</v>
      </c>
      <c r="AX26" s="30">
        <v>0</v>
      </c>
      <c r="AY26" s="31">
        <f t="shared" si="93"/>
        <v>-1000000</v>
      </c>
      <c r="AZ26" s="31">
        <f t="shared" si="94"/>
        <v>-1000000</v>
      </c>
      <c r="BA26" s="30">
        <v>0</v>
      </c>
      <c r="BB26" s="30">
        <f t="shared" si="20"/>
        <v>-1000000</v>
      </c>
      <c r="BC26" s="30">
        <f t="shared" si="21"/>
        <v>-1000000</v>
      </c>
      <c r="BD26" s="30">
        <f t="shared" si="22"/>
        <v>0</v>
      </c>
      <c r="BE26" s="30">
        <v>1000000</v>
      </c>
      <c r="BF26" s="30">
        <v>0</v>
      </c>
      <c r="BG26" s="30">
        <v>0</v>
      </c>
      <c r="BH26" s="30">
        <f t="shared" si="23"/>
        <v>-1000000</v>
      </c>
      <c r="BI26" s="30">
        <f t="shared" si="24"/>
        <v>-1000000</v>
      </c>
      <c r="BJ26" s="30">
        <f t="shared" si="25"/>
        <v>0</v>
      </c>
      <c r="BK26" s="8">
        <f t="shared" si="26"/>
        <v>-1000000</v>
      </c>
      <c r="BL26" s="30"/>
      <c r="BM26" s="34">
        <f t="shared" si="27"/>
        <v>0</v>
      </c>
      <c r="BN26" s="45">
        <v>0</v>
      </c>
      <c r="BO26" s="32">
        <f t="shared" si="28"/>
        <v>0</v>
      </c>
      <c r="BP26" s="45">
        <v>0</v>
      </c>
      <c r="BQ26" s="48">
        <f t="shared" si="29"/>
        <v>0</v>
      </c>
      <c r="BR26" s="48">
        <f t="shared" si="30"/>
        <v>0</v>
      </c>
      <c r="BS26" s="45"/>
      <c r="BT26" s="49">
        <f t="shared" si="31"/>
        <v>0</v>
      </c>
      <c r="BU26" s="49">
        <f t="shared" si="32"/>
        <v>0</v>
      </c>
      <c r="BV26" s="49">
        <f t="shared" si="33"/>
        <v>0</v>
      </c>
      <c r="BW26" s="45">
        <v>0</v>
      </c>
      <c r="BX26" s="48">
        <f t="shared" si="34"/>
        <v>0</v>
      </c>
      <c r="BY26" s="48">
        <f t="shared" si="35"/>
        <v>0</v>
      </c>
      <c r="BZ26" s="48">
        <f t="shared" si="36"/>
        <v>0</v>
      </c>
      <c r="CA26" s="45">
        <v>0</v>
      </c>
      <c r="CB26" s="8">
        <f t="shared" si="37"/>
        <v>0</v>
      </c>
      <c r="CC26" s="8">
        <f t="shared" si="38"/>
        <v>0</v>
      </c>
      <c r="CD26" s="8">
        <f t="shared" si="6"/>
        <v>0</v>
      </c>
      <c r="CE26" s="8">
        <f t="shared" si="39"/>
        <v>0</v>
      </c>
      <c r="CF26" s="45"/>
      <c r="CG26" s="8">
        <f t="shared" si="40"/>
        <v>0</v>
      </c>
      <c r="CH26" s="8">
        <f t="shared" si="41"/>
        <v>0</v>
      </c>
      <c r="CI26" s="8">
        <f t="shared" si="42"/>
        <v>0</v>
      </c>
      <c r="CJ26" s="8">
        <f t="shared" si="43"/>
        <v>0</v>
      </c>
      <c r="CK26" s="45"/>
      <c r="CL26" s="8">
        <f t="shared" si="7"/>
        <v>0</v>
      </c>
      <c r="CM26" s="8">
        <f t="shared" si="44"/>
        <v>0</v>
      </c>
      <c r="CN26" s="8">
        <f t="shared" si="45"/>
        <v>0</v>
      </c>
      <c r="CO26" s="45"/>
      <c r="CP26" s="45">
        <f t="shared" si="46"/>
        <v>0</v>
      </c>
      <c r="CQ26" s="8">
        <f t="shared" si="47"/>
        <v>0</v>
      </c>
      <c r="CR26" s="45">
        <v>0</v>
      </c>
      <c r="CS26" s="32"/>
      <c r="CT26" s="45">
        <f t="shared" si="48"/>
        <v>0</v>
      </c>
      <c r="CU26" s="8">
        <f t="shared" si="49"/>
        <v>0</v>
      </c>
      <c r="CV26" s="45">
        <f t="shared" si="50"/>
        <v>0</v>
      </c>
      <c r="CW26" s="45">
        <f t="shared" si="51"/>
        <v>0</v>
      </c>
      <c r="CX26" s="45"/>
      <c r="CY26" s="8">
        <f t="shared" si="52"/>
        <v>0</v>
      </c>
      <c r="CZ26" s="45">
        <f t="shared" si="53"/>
        <v>0</v>
      </c>
      <c r="DA26" s="45">
        <f t="shared" si="54"/>
        <v>0</v>
      </c>
      <c r="DB26" s="45"/>
      <c r="DC26" s="8">
        <f t="shared" si="55"/>
        <v>0</v>
      </c>
      <c r="DD26" s="45">
        <f t="shared" si="56"/>
        <v>0</v>
      </c>
      <c r="DE26" s="45">
        <f t="shared" si="57"/>
        <v>0</v>
      </c>
      <c r="DF26" s="45">
        <f t="shared" si="58"/>
        <v>0</v>
      </c>
      <c r="DG26" s="45"/>
      <c r="DH26" s="47">
        <f t="shared" si="59"/>
        <v>0</v>
      </c>
      <c r="DI26" s="45">
        <f t="shared" si="60"/>
        <v>0</v>
      </c>
      <c r="DJ26" s="45">
        <f t="shared" si="61"/>
        <v>0</v>
      </c>
      <c r="DK26" s="45">
        <f t="shared" si="62"/>
        <v>0</v>
      </c>
      <c r="DL26" s="45"/>
      <c r="DM26" s="45">
        <f t="shared" si="63"/>
        <v>0</v>
      </c>
      <c r="DN26" s="45"/>
      <c r="DO26" s="45">
        <f t="shared" si="64"/>
        <v>0</v>
      </c>
      <c r="DP26" s="45"/>
      <c r="DQ26" s="45"/>
      <c r="DR26" s="45">
        <f t="shared" si="65"/>
        <v>0</v>
      </c>
      <c r="DS26" s="45">
        <f t="shared" si="66"/>
        <v>0</v>
      </c>
      <c r="DT26" s="45"/>
      <c r="DU26" s="45">
        <f t="shared" si="67"/>
        <v>0</v>
      </c>
      <c r="DV26" s="45">
        <f t="shared" si="68"/>
        <v>0</v>
      </c>
      <c r="DW26" s="45">
        <v>0</v>
      </c>
      <c r="DX26" s="45"/>
      <c r="DY26" s="9"/>
      <c r="DZ26" s="8">
        <f t="shared" si="69"/>
        <v>0</v>
      </c>
      <c r="EA26" s="47"/>
      <c r="EB26" s="8">
        <f t="shared" si="70"/>
        <v>0</v>
      </c>
      <c r="EC26" s="8">
        <f t="shared" si="71"/>
        <v>0</v>
      </c>
      <c r="ED26" s="73"/>
      <c r="EE26" s="44"/>
      <c r="EF26" s="30">
        <f t="shared" si="72"/>
        <v>0</v>
      </c>
      <c r="EG26" s="30">
        <f t="shared" si="73"/>
        <v>0</v>
      </c>
      <c r="EH26" s="30">
        <f t="shared" si="74"/>
        <v>0</v>
      </c>
      <c r="EI26" s="44">
        <v>0</v>
      </c>
      <c r="EJ26" s="30">
        <f t="shared" si="75"/>
        <v>0</v>
      </c>
      <c r="EK26" s="30">
        <f t="shared" si="76"/>
        <v>0</v>
      </c>
      <c r="EL26" s="30">
        <f t="shared" si="77"/>
        <v>0</v>
      </c>
      <c r="EM26" s="44">
        <v>0</v>
      </c>
      <c r="EN26" s="30">
        <f t="shared" si="95"/>
        <v>0</v>
      </c>
      <c r="EO26" s="30">
        <f t="shared" si="96"/>
        <v>0</v>
      </c>
      <c r="EP26" s="30">
        <f t="shared" si="97"/>
        <v>0</v>
      </c>
      <c r="EQ26" s="30">
        <f t="shared" si="78"/>
        <v>0</v>
      </c>
      <c r="ER26" s="44">
        <v>0</v>
      </c>
      <c r="ES26" s="30">
        <f t="shared" si="79"/>
        <v>0</v>
      </c>
      <c r="ET26" s="30">
        <f t="shared" si="80"/>
        <v>0</v>
      </c>
      <c r="EU26" s="30">
        <f t="shared" si="81"/>
        <v>0</v>
      </c>
      <c r="EV26" s="30">
        <f t="shared" si="82"/>
        <v>0</v>
      </c>
      <c r="EW26" s="44">
        <v>0</v>
      </c>
      <c r="EX26" s="30">
        <f t="shared" si="83"/>
        <v>0</v>
      </c>
      <c r="EY26" s="30">
        <f t="shared" si="84"/>
        <v>0</v>
      </c>
      <c r="EZ26" s="30">
        <f t="shared" si="8"/>
        <v>0</v>
      </c>
      <c r="FA26" s="44">
        <v>0</v>
      </c>
      <c r="FB26" s="30">
        <f t="shared" si="85"/>
        <v>0</v>
      </c>
      <c r="FC26" s="30"/>
      <c r="FD26" s="30">
        <f t="shared" si="86"/>
        <v>0</v>
      </c>
      <c r="FE26" s="30"/>
      <c r="FF26" s="30"/>
      <c r="FG26" s="30">
        <f t="shared" si="87"/>
        <v>0</v>
      </c>
      <c r="FH26" s="31"/>
      <c r="FI26" s="30">
        <f t="shared" si="88"/>
        <v>0</v>
      </c>
      <c r="FJ26" s="30"/>
      <c r="FK26" s="30"/>
      <c r="FL26" s="44">
        <f t="shared" si="89"/>
        <v>0</v>
      </c>
      <c r="FM26" s="44">
        <f t="shared" si="90"/>
        <v>0</v>
      </c>
      <c r="FN26" s="44"/>
      <c r="FO26" s="9"/>
    </row>
    <row r="27" spans="1:171" ht="12.75">
      <c r="A27" s="24" t="s">
        <v>19</v>
      </c>
      <c r="B27" s="24"/>
      <c r="C27" s="61" t="s">
        <v>183</v>
      </c>
      <c r="D27" s="25">
        <v>5426986</v>
      </c>
      <c r="E27" s="26">
        <v>5426986</v>
      </c>
      <c r="F27" s="26">
        <v>5426986</v>
      </c>
      <c r="G27" s="26">
        <v>5426986</v>
      </c>
      <c r="H27" s="26"/>
      <c r="I27" s="26">
        <f t="shared" si="0"/>
        <v>5426986</v>
      </c>
      <c r="J27" s="27"/>
      <c r="K27" s="27"/>
      <c r="L27" s="27">
        <f t="shared" si="1"/>
        <v>0</v>
      </c>
      <c r="M27" s="28">
        <f t="shared" si="9"/>
        <v>5426986</v>
      </c>
      <c r="N27" s="28">
        <f>M27+J27</f>
        <v>5426986</v>
      </c>
      <c r="O27" s="28">
        <v>5426986</v>
      </c>
      <c r="P27" s="28">
        <v>5426986</v>
      </c>
      <c r="Q27" s="28">
        <v>5426986</v>
      </c>
      <c r="R27" s="28">
        <v>5426986</v>
      </c>
      <c r="S27" s="28">
        <v>0</v>
      </c>
      <c r="T27" s="28">
        <f t="shared" si="91"/>
        <v>0</v>
      </c>
      <c r="U27" s="28">
        <f t="shared" si="92"/>
        <v>5426986</v>
      </c>
      <c r="V27" s="28">
        <f t="shared" si="2"/>
        <v>0</v>
      </c>
      <c r="W27" s="29">
        <v>5426986</v>
      </c>
      <c r="X27" s="29"/>
      <c r="Y27" s="29">
        <f t="shared" si="10"/>
        <v>5426986</v>
      </c>
      <c r="Z27" s="30">
        <v>5426986</v>
      </c>
      <c r="AA27" s="30">
        <f t="shared" si="11"/>
        <v>0</v>
      </c>
      <c r="AB27" s="30">
        <v>5426986</v>
      </c>
      <c r="AC27" s="30">
        <v>5426986</v>
      </c>
      <c r="AD27" s="31">
        <v>5426986</v>
      </c>
      <c r="AE27" s="30"/>
      <c r="AF27" s="30"/>
      <c r="AG27" s="30"/>
      <c r="AH27" s="31">
        <v>5426986</v>
      </c>
      <c r="AI27" s="31">
        <v>5426986</v>
      </c>
      <c r="AJ27" s="30">
        <f t="shared" si="98"/>
        <v>0</v>
      </c>
      <c r="AK27" s="30">
        <f t="shared" si="12"/>
        <v>0</v>
      </c>
      <c r="AL27" s="30">
        <f t="shared" si="13"/>
        <v>0</v>
      </c>
      <c r="AM27" s="31">
        <f t="shared" si="14"/>
        <v>0</v>
      </c>
      <c r="AN27" s="31">
        <f t="shared" si="15"/>
        <v>0</v>
      </c>
      <c r="AO27" s="31">
        <f t="shared" si="4"/>
        <v>0</v>
      </c>
      <c r="AP27" s="30">
        <v>5426986</v>
      </c>
      <c r="AQ27" s="30">
        <f t="shared" si="5"/>
        <v>0</v>
      </c>
      <c r="AR27" s="30">
        <f t="shared" si="16"/>
        <v>0</v>
      </c>
      <c r="AS27" s="30">
        <f t="shared" si="17"/>
        <v>0</v>
      </c>
      <c r="AT27" s="30"/>
      <c r="AU27" s="30">
        <f t="shared" si="18"/>
        <v>5426986</v>
      </c>
      <c r="AV27" s="30">
        <v>5426986</v>
      </c>
      <c r="AW27" s="30">
        <f t="shared" si="19"/>
        <v>0</v>
      </c>
      <c r="AX27" s="30">
        <v>5426986</v>
      </c>
      <c r="AY27" s="31">
        <f t="shared" si="93"/>
        <v>0</v>
      </c>
      <c r="AZ27" s="31">
        <f t="shared" si="94"/>
        <v>0</v>
      </c>
      <c r="BA27" s="30">
        <v>5426986</v>
      </c>
      <c r="BB27" s="30">
        <f t="shared" si="20"/>
        <v>0</v>
      </c>
      <c r="BC27" s="30">
        <f t="shared" si="21"/>
        <v>0</v>
      </c>
      <c r="BD27" s="30">
        <f t="shared" si="22"/>
        <v>0</v>
      </c>
      <c r="BE27" s="30">
        <v>5426986</v>
      </c>
      <c r="BF27" s="30">
        <v>5426986</v>
      </c>
      <c r="BG27" s="30">
        <v>5426986</v>
      </c>
      <c r="BH27" s="30">
        <f t="shared" si="23"/>
        <v>0</v>
      </c>
      <c r="BI27" s="30">
        <f t="shared" si="24"/>
        <v>0</v>
      </c>
      <c r="BJ27" s="30">
        <f t="shared" si="25"/>
        <v>0</v>
      </c>
      <c r="BK27" s="8">
        <f t="shared" si="26"/>
        <v>0</v>
      </c>
      <c r="BL27" s="30"/>
      <c r="BM27" s="34">
        <f t="shared" si="27"/>
        <v>5426986</v>
      </c>
      <c r="BN27" s="45">
        <v>5426986</v>
      </c>
      <c r="BO27" s="32">
        <f t="shared" si="28"/>
        <v>0</v>
      </c>
      <c r="BP27" s="45">
        <v>5426986</v>
      </c>
      <c r="BQ27" s="48">
        <f t="shared" si="29"/>
        <v>0</v>
      </c>
      <c r="BR27" s="48">
        <f t="shared" si="30"/>
        <v>0</v>
      </c>
      <c r="BS27" s="45">
        <f>BP27</f>
        <v>5426986</v>
      </c>
      <c r="BT27" s="49">
        <f t="shared" si="31"/>
        <v>0</v>
      </c>
      <c r="BU27" s="49">
        <f t="shared" si="32"/>
        <v>0</v>
      </c>
      <c r="BV27" s="49">
        <f t="shared" si="33"/>
        <v>0</v>
      </c>
      <c r="BW27" s="45">
        <v>5426986</v>
      </c>
      <c r="BX27" s="48">
        <f t="shared" si="34"/>
        <v>0</v>
      </c>
      <c r="BY27" s="48">
        <f t="shared" si="35"/>
        <v>0</v>
      </c>
      <c r="BZ27" s="48">
        <f t="shared" si="36"/>
        <v>0</v>
      </c>
      <c r="CA27" s="45">
        <v>5426986</v>
      </c>
      <c r="CB27" s="8">
        <f t="shared" si="37"/>
        <v>0</v>
      </c>
      <c r="CC27" s="8">
        <f t="shared" si="38"/>
        <v>0</v>
      </c>
      <c r="CD27" s="8">
        <f t="shared" si="6"/>
        <v>0</v>
      </c>
      <c r="CE27" s="8">
        <f t="shared" si="39"/>
        <v>0</v>
      </c>
      <c r="CF27" s="45">
        <v>5426986</v>
      </c>
      <c r="CG27" s="8">
        <f t="shared" si="40"/>
        <v>0</v>
      </c>
      <c r="CH27" s="8">
        <f t="shared" si="41"/>
        <v>0</v>
      </c>
      <c r="CI27" s="8">
        <f t="shared" si="42"/>
        <v>0</v>
      </c>
      <c r="CJ27" s="8">
        <f t="shared" si="43"/>
        <v>0</v>
      </c>
      <c r="CK27" s="45">
        <v>5426986</v>
      </c>
      <c r="CL27" s="8">
        <f t="shared" si="7"/>
        <v>0</v>
      </c>
      <c r="CM27" s="8">
        <f t="shared" si="44"/>
        <v>0</v>
      </c>
      <c r="CN27" s="8">
        <f t="shared" si="45"/>
        <v>0</v>
      </c>
      <c r="CO27" s="45">
        <v>5426986</v>
      </c>
      <c r="CP27" s="45">
        <f t="shared" si="46"/>
        <v>0</v>
      </c>
      <c r="CQ27" s="8">
        <f t="shared" si="47"/>
        <v>0</v>
      </c>
      <c r="CR27" s="45">
        <v>5426986</v>
      </c>
      <c r="CS27" s="32"/>
      <c r="CT27" s="45">
        <f t="shared" si="48"/>
        <v>5426986</v>
      </c>
      <c r="CU27" s="8">
        <f t="shared" si="49"/>
        <v>0</v>
      </c>
      <c r="CV27" s="45">
        <f t="shared" si="50"/>
        <v>0</v>
      </c>
      <c r="CW27" s="45">
        <f t="shared" si="51"/>
        <v>0</v>
      </c>
      <c r="CX27" s="45">
        <v>5426986</v>
      </c>
      <c r="CY27" s="8">
        <f t="shared" si="52"/>
        <v>0</v>
      </c>
      <c r="CZ27" s="45">
        <f t="shared" si="53"/>
        <v>0</v>
      </c>
      <c r="DA27" s="45">
        <f t="shared" si="54"/>
        <v>0</v>
      </c>
      <c r="DB27" s="45">
        <v>5426986</v>
      </c>
      <c r="DC27" s="8">
        <f t="shared" si="55"/>
        <v>0</v>
      </c>
      <c r="DD27" s="45">
        <f t="shared" si="56"/>
        <v>0</v>
      </c>
      <c r="DE27" s="45">
        <f t="shared" si="57"/>
        <v>0</v>
      </c>
      <c r="DF27" s="45">
        <f t="shared" si="58"/>
        <v>0</v>
      </c>
      <c r="DG27" s="45">
        <v>5426986</v>
      </c>
      <c r="DH27" s="47">
        <f t="shared" si="59"/>
        <v>0</v>
      </c>
      <c r="DI27" s="45">
        <f t="shared" si="60"/>
        <v>0</v>
      </c>
      <c r="DJ27" s="45">
        <f t="shared" si="61"/>
        <v>0</v>
      </c>
      <c r="DK27" s="45">
        <f t="shared" si="62"/>
        <v>0</v>
      </c>
      <c r="DL27" s="45"/>
      <c r="DM27" s="45">
        <f t="shared" si="63"/>
        <v>5426986</v>
      </c>
      <c r="DN27" s="45">
        <v>5426986</v>
      </c>
      <c r="DO27" s="45">
        <f t="shared" si="64"/>
        <v>0</v>
      </c>
      <c r="DP27" s="45"/>
      <c r="DQ27" s="45">
        <v>0</v>
      </c>
      <c r="DR27" s="45">
        <f t="shared" si="65"/>
        <v>5426986</v>
      </c>
      <c r="DS27" s="45">
        <f t="shared" si="66"/>
        <v>0</v>
      </c>
      <c r="DT27" s="45"/>
      <c r="DU27" s="45">
        <f t="shared" si="67"/>
        <v>5426986</v>
      </c>
      <c r="DV27" s="45">
        <f t="shared" si="68"/>
        <v>0</v>
      </c>
      <c r="DW27" s="45">
        <v>5426986</v>
      </c>
      <c r="DX27" s="45">
        <v>5426986</v>
      </c>
      <c r="DY27" s="9"/>
      <c r="DZ27" s="8">
        <f t="shared" si="69"/>
        <v>0</v>
      </c>
      <c r="EA27" s="47">
        <v>5426986</v>
      </c>
      <c r="EB27" s="8">
        <f t="shared" si="70"/>
        <v>0</v>
      </c>
      <c r="EC27" s="8">
        <f t="shared" si="71"/>
        <v>0</v>
      </c>
      <c r="ED27" s="73"/>
      <c r="EE27" s="44">
        <v>5426986</v>
      </c>
      <c r="EF27" s="30">
        <f t="shared" si="72"/>
        <v>0</v>
      </c>
      <c r="EG27" s="30">
        <f t="shared" si="73"/>
        <v>0</v>
      </c>
      <c r="EH27" s="30">
        <f t="shared" si="74"/>
        <v>0</v>
      </c>
      <c r="EI27" s="44">
        <v>5426986</v>
      </c>
      <c r="EJ27" s="30">
        <f t="shared" si="75"/>
        <v>0</v>
      </c>
      <c r="EK27" s="30">
        <f t="shared" si="76"/>
        <v>0</v>
      </c>
      <c r="EL27" s="30">
        <f t="shared" si="77"/>
        <v>0</v>
      </c>
      <c r="EM27" s="44">
        <v>5426986</v>
      </c>
      <c r="EN27" s="30">
        <f t="shared" si="95"/>
        <v>0</v>
      </c>
      <c r="EO27" s="30">
        <f t="shared" si="96"/>
        <v>0</v>
      </c>
      <c r="EP27" s="30">
        <f t="shared" si="97"/>
        <v>0</v>
      </c>
      <c r="EQ27" s="30">
        <f t="shared" si="78"/>
        <v>0</v>
      </c>
      <c r="ER27" s="44">
        <v>5426986</v>
      </c>
      <c r="ES27" s="30">
        <f t="shared" si="79"/>
        <v>0</v>
      </c>
      <c r="ET27" s="30">
        <f t="shared" si="80"/>
        <v>0</v>
      </c>
      <c r="EU27" s="30">
        <f t="shared" si="81"/>
        <v>0</v>
      </c>
      <c r="EV27" s="30">
        <f t="shared" si="82"/>
        <v>0</v>
      </c>
      <c r="EW27" s="44">
        <v>5426986</v>
      </c>
      <c r="EX27" s="30">
        <f t="shared" si="83"/>
        <v>0</v>
      </c>
      <c r="EY27" s="30">
        <f t="shared" si="84"/>
        <v>0</v>
      </c>
      <c r="EZ27" s="30">
        <f t="shared" si="8"/>
        <v>0</v>
      </c>
      <c r="FA27" s="44">
        <v>5426986</v>
      </c>
      <c r="FB27" s="30">
        <f t="shared" si="85"/>
        <v>0</v>
      </c>
      <c r="FC27" s="30"/>
      <c r="FD27" s="30">
        <f t="shared" si="86"/>
        <v>5426986</v>
      </c>
      <c r="FE27" s="30"/>
      <c r="FF27" s="30"/>
      <c r="FG27" s="30">
        <f t="shared" si="87"/>
        <v>5426986</v>
      </c>
      <c r="FH27" s="31">
        <v>5426986</v>
      </c>
      <c r="FI27" s="30">
        <f t="shared" si="88"/>
        <v>0</v>
      </c>
      <c r="FJ27" s="30"/>
      <c r="FK27" s="30">
        <v>5426986</v>
      </c>
      <c r="FL27" s="44">
        <f t="shared" si="89"/>
        <v>0</v>
      </c>
      <c r="FM27" s="44">
        <f t="shared" si="90"/>
        <v>0</v>
      </c>
      <c r="FN27" s="44"/>
      <c r="FO27" s="9"/>
    </row>
    <row r="28" spans="1:171" ht="12.75">
      <c r="A28" s="22" t="s">
        <v>20</v>
      </c>
      <c r="B28" s="23"/>
      <c r="C28" s="61" t="s">
        <v>31</v>
      </c>
      <c r="D28" s="25">
        <v>4277635</v>
      </c>
      <c r="E28" s="26">
        <v>4277635</v>
      </c>
      <c r="F28" s="26">
        <v>4177635</v>
      </c>
      <c r="G28" s="26">
        <v>4177632</v>
      </c>
      <c r="H28" s="26"/>
      <c r="I28" s="26">
        <f t="shared" si="0"/>
        <v>4177632</v>
      </c>
      <c r="J28" s="27"/>
      <c r="K28" s="27"/>
      <c r="L28" s="27">
        <f t="shared" si="1"/>
        <v>0</v>
      </c>
      <c r="M28" s="28">
        <f t="shared" si="9"/>
        <v>4177632</v>
      </c>
      <c r="N28" s="28">
        <v>4177632</v>
      </c>
      <c r="O28" s="28">
        <v>4121215</v>
      </c>
      <c r="P28" s="28">
        <v>4121215</v>
      </c>
      <c r="Q28" s="28">
        <v>4177632</v>
      </c>
      <c r="R28" s="28">
        <v>4121215</v>
      </c>
      <c r="S28" s="28">
        <v>0</v>
      </c>
      <c r="T28" s="28">
        <f t="shared" si="91"/>
        <v>0</v>
      </c>
      <c r="U28" s="28">
        <f t="shared" si="92"/>
        <v>4121215</v>
      </c>
      <c r="V28" s="28">
        <f t="shared" si="2"/>
        <v>-56417</v>
      </c>
      <c r="W28" s="29">
        <v>4121215</v>
      </c>
      <c r="X28" s="29"/>
      <c r="Y28" s="29">
        <f t="shared" si="10"/>
        <v>4121215</v>
      </c>
      <c r="Z28" s="30">
        <v>4411611</v>
      </c>
      <c r="AA28" s="30">
        <f t="shared" si="11"/>
        <v>290396</v>
      </c>
      <c r="AB28" s="30">
        <v>4121215</v>
      </c>
      <c r="AC28" s="30">
        <v>4121215</v>
      </c>
      <c r="AD28" s="31">
        <v>4121215</v>
      </c>
      <c r="AE28" s="30"/>
      <c r="AF28" s="30"/>
      <c r="AG28" s="30">
        <f>AC28-Z28</f>
        <v>-290396</v>
      </c>
      <c r="AH28" s="31">
        <v>4121215</v>
      </c>
      <c r="AI28" s="31">
        <v>4121215</v>
      </c>
      <c r="AJ28" s="30">
        <f t="shared" si="98"/>
        <v>0</v>
      </c>
      <c r="AK28" s="30">
        <f t="shared" si="12"/>
        <v>-290396</v>
      </c>
      <c r="AL28" s="30">
        <f t="shared" si="13"/>
        <v>0</v>
      </c>
      <c r="AM28" s="31">
        <f t="shared" si="14"/>
        <v>0</v>
      </c>
      <c r="AN28" s="31">
        <f t="shared" si="15"/>
        <v>-290396</v>
      </c>
      <c r="AO28" s="31">
        <f t="shared" si="4"/>
        <v>0</v>
      </c>
      <c r="AP28" s="30">
        <v>4121215</v>
      </c>
      <c r="AQ28" s="30">
        <f t="shared" si="5"/>
        <v>0</v>
      </c>
      <c r="AR28" s="30">
        <f t="shared" si="16"/>
        <v>-290396</v>
      </c>
      <c r="AS28" s="30">
        <f t="shared" si="17"/>
        <v>0</v>
      </c>
      <c r="AT28" s="30"/>
      <c r="AU28" s="30">
        <f t="shared" si="18"/>
        <v>4121215</v>
      </c>
      <c r="AV28" s="30">
        <v>4121215</v>
      </c>
      <c r="AW28" s="30">
        <f t="shared" si="19"/>
        <v>0</v>
      </c>
      <c r="AX28" s="30">
        <v>4121216</v>
      </c>
      <c r="AY28" s="31">
        <f t="shared" si="93"/>
        <v>1</v>
      </c>
      <c r="AZ28" s="31">
        <f t="shared" si="94"/>
        <v>1</v>
      </c>
      <c r="BA28" s="30">
        <v>4121216</v>
      </c>
      <c r="BB28" s="30">
        <f t="shared" si="20"/>
        <v>1</v>
      </c>
      <c r="BC28" s="30">
        <f t="shared" si="21"/>
        <v>1</v>
      </c>
      <c r="BD28" s="30">
        <f t="shared" si="22"/>
        <v>0</v>
      </c>
      <c r="BE28" s="30">
        <v>4121215</v>
      </c>
      <c r="BF28" s="30">
        <v>4121215</v>
      </c>
      <c r="BG28" s="30">
        <v>4121215</v>
      </c>
      <c r="BH28" s="30">
        <f t="shared" si="23"/>
        <v>0</v>
      </c>
      <c r="BI28" s="30">
        <f t="shared" si="24"/>
        <v>0</v>
      </c>
      <c r="BJ28" s="30">
        <f t="shared" si="25"/>
        <v>-1</v>
      </c>
      <c r="BK28" s="8">
        <f t="shared" si="26"/>
        <v>0</v>
      </c>
      <c r="BL28" s="30"/>
      <c r="BM28" s="34">
        <f t="shared" si="27"/>
        <v>4121215</v>
      </c>
      <c r="BN28" s="45">
        <v>4121215</v>
      </c>
      <c r="BO28" s="32">
        <f t="shared" si="28"/>
        <v>0</v>
      </c>
      <c r="BP28" s="45">
        <v>4396215</v>
      </c>
      <c r="BQ28" s="48">
        <f t="shared" si="29"/>
        <v>275000</v>
      </c>
      <c r="BR28" s="48">
        <f t="shared" si="30"/>
        <v>275000</v>
      </c>
      <c r="BS28" s="45">
        <f>BP28</f>
        <v>4396215</v>
      </c>
      <c r="BT28" s="49">
        <f t="shared" si="31"/>
        <v>275000</v>
      </c>
      <c r="BU28" s="49">
        <f t="shared" si="32"/>
        <v>275000</v>
      </c>
      <c r="BV28" s="49">
        <f t="shared" si="33"/>
        <v>0</v>
      </c>
      <c r="BW28" s="45">
        <v>4121215</v>
      </c>
      <c r="BX28" s="48">
        <f t="shared" si="34"/>
        <v>0</v>
      </c>
      <c r="BY28" s="48">
        <f t="shared" si="35"/>
        <v>0</v>
      </c>
      <c r="BZ28" s="48">
        <f t="shared" si="36"/>
        <v>-275000</v>
      </c>
      <c r="CA28" s="45">
        <v>4121215</v>
      </c>
      <c r="CB28" s="8">
        <f t="shared" si="37"/>
        <v>0</v>
      </c>
      <c r="CC28" s="8">
        <f t="shared" si="38"/>
        <v>0</v>
      </c>
      <c r="CD28" s="8">
        <f t="shared" si="6"/>
        <v>-275000</v>
      </c>
      <c r="CE28" s="8">
        <f t="shared" si="39"/>
        <v>0</v>
      </c>
      <c r="CF28" s="45">
        <v>4396215</v>
      </c>
      <c r="CG28" s="8">
        <f t="shared" si="40"/>
        <v>275000</v>
      </c>
      <c r="CH28" s="8">
        <f t="shared" si="41"/>
        <v>275000</v>
      </c>
      <c r="CI28" s="8">
        <f t="shared" si="42"/>
        <v>0</v>
      </c>
      <c r="CJ28" s="8">
        <f t="shared" si="43"/>
        <v>275000</v>
      </c>
      <c r="CK28" s="45">
        <f>4396215</f>
        <v>4396215</v>
      </c>
      <c r="CL28" s="8">
        <f t="shared" si="7"/>
        <v>275000</v>
      </c>
      <c r="CM28" s="8">
        <f t="shared" si="44"/>
        <v>275000</v>
      </c>
      <c r="CN28" s="8">
        <f t="shared" si="45"/>
        <v>0</v>
      </c>
      <c r="CO28" s="45">
        <v>4321324</v>
      </c>
      <c r="CP28" s="45">
        <f t="shared" si="46"/>
        <v>200109</v>
      </c>
      <c r="CQ28" s="8">
        <f t="shared" si="47"/>
        <v>-74891</v>
      </c>
      <c r="CR28" s="45">
        <v>4421323</v>
      </c>
      <c r="CS28" s="32"/>
      <c r="CT28" s="45">
        <f t="shared" si="48"/>
        <v>4421323</v>
      </c>
      <c r="CU28" s="8">
        <f t="shared" si="49"/>
        <v>25108</v>
      </c>
      <c r="CV28" s="45">
        <f t="shared" si="50"/>
        <v>99999</v>
      </c>
      <c r="CW28" s="45">
        <f t="shared" si="51"/>
        <v>0</v>
      </c>
      <c r="CX28" s="45">
        <v>4121215</v>
      </c>
      <c r="CY28" s="8">
        <f t="shared" si="52"/>
        <v>-275000</v>
      </c>
      <c r="CZ28" s="45">
        <f t="shared" si="53"/>
        <v>-200109</v>
      </c>
      <c r="DA28" s="45">
        <f t="shared" si="54"/>
        <v>-300108</v>
      </c>
      <c r="DB28" s="45">
        <v>4121215</v>
      </c>
      <c r="DC28" s="8">
        <f t="shared" si="55"/>
        <v>-275000</v>
      </c>
      <c r="DD28" s="45">
        <f t="shared" si="56"/>
        <v>-200109</v>
      </c>
      <c r="DE28" s="45">
        <f t="shared" si="57"/>
        <v>-300108</v>
      </c>
      <c r="DF28" s="45">
        <f t="shared" si="58"/>
        <v>0</v>
      </c>
      <c r="DG28" s="45">
        <v>4421323</v>
      </c>
      <c r="DH28" s="47">
        <f t="shared" si="59"/>
        <v>25108</v>
      </c>
      <c r="DI28" s="45">
        <f t="shared" si="60"/>
        <v>99999</v>
      </c>
      <c r="DJ28" s="45">
        <f t="shared" si="61"/>
        <v>0</v>
      </c>
      <c r="DK28" s="45">
        <f t="shared" si="62"/>
        <v>300108</v>
      </c>
      <c r="DL28" s="45"/>
      <c r="DM28" s="45">
        <f t="shared" si="63"/>
        <v>4421323</v>
      </c>
      <c r="DN28" s="45">
        <v>4421323</v>
      </c>
      <c r="DO28" s="45">
        <f t="shared" si="64"/>
        <v>25108</v>
      </c>
      <c r="DP28" s="45"/>
      <c r="DQ28" s="45">
        <v>0</v>
      </c>
      <c r="DR28" s="45">
        <f t="shared" si="65"/>
        <v>4421323</v>
      </c>
      <c r="DS28" s="45">
        <f t="shared" si="66"/>
        <v>25108</v>
      </c>
      <c r="DT28" s="45"/>
      <c r="DU28" s="45">
        <f t="shared" si="67"/>
        <v>4421323</v>
      </c>
      <c r="DV28" s="45">
        <f t="shared" si="68"/>
        <v>25108</v>
      </c>
      <c r="DW28" s="45">
        <v>4421323</v>
      </c>
      <c r="DX28" s="45">
        <v>4396323</v>
      </c>
      <c r="DY28" s="9"/>
      <c r="DZ28" s="8">
        <f t="shared" si="69"/>
        <v>-25000</v>
      </c>
      <c r="EA28" s="47">
        <v>4671323</v>
      </c>
      <c r="EB28" s="8">
        <f t="shared" si="70"/>
        <v>250000</v>
      </c>
      <c r="EC28" s="8">
        <f t="shared" si="71"/>
        <v>275000</v>
      </c>
      <c r="ED28" s="73"/>
      <c r="EE28" s="44">
        <v>4671323</v>
      </c>
      <c r="EF28" s="30">
        <f t="shared" si="72"/>
        <v>250000</v>
      </c>
      <c r="EG28" s="30">
        <f t="shared" si="73"/>
        <v>275000</v>
      </c>
      <c r="EH28" s="30">
        <f t="shared" si="74"/>
        <v>0</v>
      </c>
      <c r="EI28" s="44">
        <v>4396323</v>
      </c>
      <c r="EJ28" s="30">
        <f t="shared" si="75"/>
        <v>-25000</v>
      </c>
      <c r="EK28" s="30">
        <f t="shared" si="76"/>
        <v>0</v>
      </c>
      <c r="EL28" s="30">
        <f t="shared" si="77"/>
        <v>-275000</v>
      </c>
      <c r="EM28" s="44">
        <v>4396323</v>
      </c>
      <c r="EN28" s="30">
        <f t="shared" si="95"/>
        <v>-25000</v>
      </c>
      <c r="EO28" s="30">
        <f t="shared" si="96"/>
        <v>0</v>
      </c>
      <c r="EP28" s="30">
        <f t="shared" si="97"/>
        <v>-275000</v>
      </c>
      <c r="EQ28" s="30">
        <f t="shared" si="78"/>
        <v>0</v>
      </c>
      <c r="ER28" s="44">
        <v>4671323</v>
      </c>
      <c r="ES28" s="30">
        <f t="shared" si="79"/>
        <v>250000</v>
      </c>
      <c r="ET28" s="30">
        <f t="shared" si="80"/>
        <v>275000</v>
      </c>
      <c r="EU28" s="30">
        <f t="shared" si="81"/>
        <v>0</v>
      </c>
      <c r="EV28" s="30">
        <f t="shared" si="82"/>
        <v>275000</v>
      </c>
      <c r="EW28" s="44">
        <v>4671323</v>
      </c>
      <c r="EX28" s="30">
        <f t="shared" si="83"/>
        <v>250000</v>
      </c>
      <c r="EY28" s="30">
        <f t="shared" si="84"/>
        <v>0</v>
      </c>
      <c r="EZ28" s="30">
        <f t="shared" si="8"/>
        <v>0</v>
      </c>
      <c r="FA28" s="44">
        <v>4671323</v>
      </c>
      <c r="FB28" s="30">
        <f t="shared" si="85"/>
        <v>250000</v>
      </c>
      <c r="FC28" s="30"/>
      <c r="FD28" s="30">
        <f t="shared" si="86"/>
        <v>4671323</v>
      </c>
      <c r="FE28" s="30"/>
      <c r="FF28" s="30"/>
      <c r="FG28" s="30">
        <f t="shared" si="87"/>
        <v>4671323</v>
      </c>
      <c r="FH28" s="31">
        <v>4421322</v>
      </c>
      <c r="FI28" s="30">
        <f t="shared" si="88"/>
        <v>-250001</v>
      </c>
      <c r="FJ28" s="44" t="s">
        <v>321</v>
      </c>
      <c r="FK28" s="44">
        <v>4671324</v>
      </c>
      <c r="FL28" s="44">
        <f t="shared" si="89"/>
        <v>1</v>
      </c>
      <c r="FM28" s="44">
        <f t="shared" si="90"/>
        <v>250002</v>
      </c>
      <c r="FN28" s="44" t="s">
        <v>330</v>
      </c>
      <c r="FO28" s="9"/>
    </row>
    <row r="29" spans="1:171" ht="12.75">
      <c r="A29" s="22" t="s">
        <v>2</v>
      </c>
      <c r="B29" s="23"/>
      <c r="C29" s="61" t="s">
        <v>146</v>
      </c>
      <c r="D29" s="25">
        <v>3725671328</v>
      </c>
      <c r="E29" s="26">
        <v>3948824061</v>
      </c>
      <c r="F29" s="26">
        <v>3536824063</v>
      </c>
      <c r="G29" s="26">
        <v>3869847585</v>
      </c>
      <c r="H29" s="26"/>
      <c r="I29" s="26">
        <f t="shared" si="0"/>
        <v>3869847585</v>
      </c>
      <c r="J29" s="33"/>
      <c r="K29" s="27"/>
      <c r="L29" s="27">
        <f t="shared" si="1"/>
        <v>0</v>
      </c>
      <c r="M29" s="28">
        <f t="shared" si="9"/>
        <v>3869847585</v>
      </c>
      <c r="N29" s="28">
        <v>4048324258</v>
      </c>
      <c r="O29" s="28">
        <v>3851193043</v>
      </c>
      <c r="P29" s="28">
        <v>3851193043</v>
      </c>
      <c r="Q29" s="28">
        <v>3878464421</v>
      </c>
      <c r="R29" s="28">
        <v>3851193043</v>
      </c>
      <c r="S29" s="28">
        <v>0</v>
      </c>
      <c r="T29" s="28">
        <f t="shared" si="91"/>
        <v>0</v>
      </c>
      <c r="U29" s="28">
        <f t="shared" si="92"/>
        <v>3851193043</v>
      </c>
      <c r="V29" s="28">
        <f t="shared" si="2"/>
        <v>-18654542</v>
      </c>
      <c r="W29" s="29">
        <v>3851193043</v>
      </c>
      <c r="X29" s="29"/>
      <c r="Y29" s="29">
        <f t="shared" si="10"/>
        <v>3851193043</v>
      </c>
      <c r="Z29" s="30">
        <v>3990519337</v>
      </c>
      <c r="AA29" s="30">
        <f t="shared" si="11"/>
        <v>139326294</v>
      </c>
      <c r="AB29" s="30">
        <v>3990812680</v>
      </c>
      <c r="AC29" s="30">
        <v>3990812680</v>
      </c>
      <c r="AD29" s="31">
        <v>3990812680</v>
      </c>
      <c r="AE29" s="30"/>
      <c r="AF29" s="30">
        <f>AC29-SUM(W29:X29)</f>
        <v>139619637</v>
      </c>
      <c r="AG29" s="30">
        <f>AC29-Z29</f>
        <v>293343</v>
      </c>
      <c r="AH29" s="31">
        <v>3990812680</v>
      </c>
      <c r="AI29" s="31">
        <v>3990812680</v>
      </c>
      <c r="AJ29" s="30">
        <f t="shared" si="98"/>
        <v>139619637</v>
      </c>
      <c r="AK29" s="30">
        <f t="shared" si="12"/>
        <v>293343</v>
      </c>
      <c r="AL29" s="30">
        <f t="shared" si="13"/>
        <v>0</v>
      </c>
      <c r="AM29" s="31">
        <f t="shared" si="14"/>
        <v>139619637</v>
      </c>
      <c r="AN29" s="31">
        <f t="shared" si="15"/>
        <v>293343</v>
      </c>
      <c r="AO29" s="31">
        <f t="shared" si="4"/>
        <v>0</v>
      </c>
      <c r="AP29" s="30">
        <v>3990812680</v>
      </c>
      <c r="AQ29" s="30">
        <f t="shared" si="5"/>
        <v>139619637</v>
      </c>
      <c r="AR29" s="30">
        <f t="shared" si="16"/>
        <v>293343</v>
      </c>
      <c r="AS29" s="30">
        <f t="shared" si="17"/>
        <v>139619637</v>
      </c>
      <c r="AT29" s="30"/>
      <c r="AU29" s="30">
        <f t="shared" si="18"/>
        <v>3990812680</v>
      </c>
      <c r="AV29" s="30">
        <v>4136391547</v>
      </c>
      <c r="AW29" s="30">
        <f t="shared" si="19"/>
        <v>145578867</v>
      </c>
      <c r="AX29" s="30">
        <v>4154611977</v>
      </c>
      <c r="AY29" s="31">
        <f t="shared" si="93"/>
        <v>163799297</v>
      </c>
      <c r="AZ29" s="31">
        <f t="shared" si="94"/>
        <v>18220430</v>
      </c>
      <c r="BA29" s="30">
        <v>4154611977</v>
      </c>
      <c r="BB29" s="30">
        <f t="shared" si="20"/>
        <v>163799297</v>
      </c>
      <c r="BC29" s="30">
        <f t="shared" si="21"/>
        <v>18220430</v>
      </c>
      <c r="BD29" s="30">
        <f t="shared" si="22"/>
        <v>0</v>
      </c>
      <c r="BE29" s="30">
        <v>4171078492</v>
      </c>
      <c r="BF29" s="30">
        <v>4171079892</v>
      </c>
      <c r="BG29" s="30">
        <v>4171079892</v>
      </c>
      <c r="BH29" s="30">
        <f t="shared" si="23"/>
        <v>180267212</v>
      </c>
      <c r="BI29" s="30">
        <f t="shared" si="24"/>
        <v>34688345</v>
      </c>
      <c r="BJ29" s="30">
        <f t="shared" si="25"/>
        <v>16467915</v>
      </c>
      <c r="BK29" s="8">
        <f t="shared" si="26"/>
        <v>1400</v>
      </c>
      <c r="BL29" s="30"/>
      <c r="BM29" s="34">
        <f t="shared" si="27"/>
        <v>4171079892</v>
      </c>
      <c r="BN29" s="45">
        <v>4397257332</v>
      </c>
      <c r="BO29" s="32">
        <f t="shared" si="28"/>
        <v>226177440</v>
      </c>
      <c r="BP29" s="45">
        <v>4280637005</v>
      </c>
      <c r="BQ29" s="48">
        <f t="shared" si="29"/>
        <v>109557113</v>
      </c>
      <c r="BR29" s="48">
        <f t="shared" si="30"/>
        <v>-116620327</v>
      </c>
      <c r="BS29" s="45">
        <v>4285945528</v>
      </c>
      <c r="BT29" s="49">
        <f t="shared" si="31"/>
        <v>114865636</v>
      </c>
      <c r="BU29" s="49">
        <f t="shared" si="32"/>
        <v>-111311804</v>
      </c>
      <c r="BV29" s="49">
        <f t="shared" si="33"/>
        <v>5308523</v>
      </c>
      <c r="BW29" s="45">
        <v>4301214591</v>
      </c>
      <c r="BX29" s="48">
        <f t="shared" si="34"/>
        <v>130134699</v>
      </c>
      <c r="BY29" s="48">
        <f t="shared" si="35"/>
        <v>-96042741</v>
      </c>
      <c r="BZ29" s="48">
        <f t="shared" si="36"/>
        <v>15269063</v>
      </c>
      <c r="CA29" s="45">
        <v>4301214591</v>
      </c>
      <c r="CB29" s="8">
        <f t="shared" si="37"/>
        <v>130134699</v>
      </c>
      <c r="CC29" s="8">
        <f t="shared" si="38"/>
        <v>-96042741</v>
      </c>
      <c r="CD29" s="8">
        <f t="shared" si="6"/>
        <v>15269063</v>
      </c>
      <c r="CE29" s="8">
        <f t="shared" si="39"/>
        <v>0</v>
      </c>
      <c r="CF29" s="45">
        <v>4301214591</v>
      </c>
      <c r="CG29" s="8">
        <f t="shared" si="40"/>
        <v>130134699</v>
      </c>
      <c r="CH29" s="8">
        <f t="shared" si="41"/>
        <v>-96042741</v>
      </c>
      <c r="CI29" s="8">
        <f t="shared" si="42"/>
        <v>15269063</v>
      </c>
      <c r="CJ29" s="8">
        <f t="shared" si="43"/>
        <v>0</v>
      </c>
      <c r="CK29" s="45">
        <v>4301214591</v>
      </c>
      <c r="CL29" s="8">
        <f t="shared" si="7"/>
        <v>130134699</v>
      </c>
      <c r="CM29" s="8">
        <f t="shared" si="44"/>
        <v>-96042741</v>
      </c>
      <c r="CN29" s="8">
        <f t="shared" si="45"/>
        <v>0</v>
      </c>
      <c r="CO29" s="45">
        <v>4400696186</v>
      </c>
      <c r="CP29" s="45">
        <f t="shared" si="46"/>
        <v>3438854</v>
      </c>
      <c r="CQ29" s="8">
        <f t="shared" si="47"/>
        <v>99481595</v>
      </c>
      <c r="CR29" s="45">
        <v>4400696186</v>
      </c>
      <c r="CS29" s="32"/>
      <c r="CT29" s="45">
        <f t="shared" si="48"/>
        <v>4400696186</v>
      </c>
      <c r="CU29" s="8">
        <f t="shared" si="49"/>
        <v>99481595</v>
      </c>
      <c r="CV29" s="45">
        <f t="shared" si="50"/>
        <v>0</v>
      </c>
      <c r="CW29" s="45">
        <f t="shared" si="51"/>
        <v>0</v>
      </c>
      <c r="CX29" s="45">
        <v>4400696186</v>
      </c>
      <c r="CY29" s="8">
        <f t="shared" si="52"/>
        <v>99481595</v>
      </c>
      <c r="CZ29" s="45">
        <f t="shared" si="53"/>
        <v>0</v>
      </c>
      <c r="DA29" s="45">
        <f t="shared" si="54"/>
        <v>0</v>
      </c>
      <c r="DB29" s="45">
        <v>4400696186</v>
      </c>
      <c r="DC29" s="8">
        <f t="shared" si="55"/>
        <v>99481595</v>
      </c>
      <c r="DD29" s="45">
        <f t="shared" si="56"/>
        <v>0</v>
      </c>
      <c r="DE29" s="45">
        <f t="shared" si="57"/>
        <v>0</v>
      </c>
      <c r="DF29" s="45">
        <f t="shared" si="58"/>
        <v>0</v>
      </c>
      <c r="DG29" s="45">
        <v>4400696186</v>
      </c>
      <c r="DH29" s="47">
        <f t="shared" si="59"/>
        <v>99481595</v>
      </c>
      <c r="DI29" s="45">
        <f t="shared" si="60"/>
        <v>0</v>
      </c>
      <c r="DJ29" s="45">
        <f t="shared" si="61"/>
        <v>0</v>
      </c>
      <c r="DK29" s="45">
        <f t="shared" si="62"/>
        <v>0</v>
      </c>
      <c r="DL29" s="45"/>
      <c r="DM29" s="45">
        <f t="shared" si="63"/>
        <v>4400696186</v>
      </c>
      <c r="DN29" s="45">
        <v>4400696186</v>
      </c>
      <c r="DO29" s="45">
        <f t="shared" si="64"/>
        <v>99481595</v>
      </c>
      <c r="DP29" s="45"/>
      <c r="DQ29" s="45">
        <v>0</v>
      </c>
      <c r="DR29" s="45">
        <f t="shared" si="65"/>
        <v>4400696186</v>
      </c>
      <c r="DS29" s="45">
        <f t="shared" si="66"/>
        <v>99481595</v>
      </c>
      <c r="DT29" s="45"/>
      <c r="DU29" s="45">
        <f t="shared" si="67"/>
        <v>4400696186</v>
      </c>
      <c r="DV29" s="45">
        <f t="shared" si="68"/>
        <v>99481595</v>
      </c>
      <c r="DW29" s="45">
        <v>4400696186</v>
      </c>
      <c r="DX29" s="45">
        <v>4505983532</v>
      </c>
      <c r="DY29" s="9"/>
      <c r="DZ29" s="8">
        <f t="shared" si="69"/>
        <v>105287346</v>
      </c>
      <c r="EA29" s="47">
        <v>4508861025</v>
      </c>
      <c r="EB29" s="8">
        <f t="shared" si="70"/>
        <v>108164839</v>
      </c>
      <c r="EC29" s="8">
        <f t="shared" si="71"/>
        <v>2877493</v>
      </c>
      <c r="ED29" s="73"/>
      <c r="EE29" s="44">
        <v>4508861025</v>
      </c>
      <c r="EF29" s="30">
        <f t="shared" si="72"/>
        <v>108164839</v>
      </c>
      <c r="EG29" s="30">
        <f t="shared" si="73"/>
        <v>2877493</v>
      </c>
      <c r="EH29" s="30">
        <f t="shared" si="74"/>
        <v>0</v>
      </c>
      <c r="EI29" s="44">
        <v>4511882199</v>
      </c>
      <c r="EJ29" s="30">
        <f t="shared" si="75"/>
        <v>111186013</v>
      </c>
      <c r="EK29" s="30">
        <f t="shared" si="76"/>
        <v>5898667</v>
      </c>
      <c r="EL29" s="30">
        <f t="shared" si="77"/>
        <v>3021174</v>
      </c>
      <c r="EM29" s="44">
        <v>4511882199</v>
      </c>
      <c r="EN29" s="30">
        <f t="shared" si="95"/>
        <v>111186013</v>
      </c>
      <c r="EO29" s="30">
        <f t="shared" si="96"/>
        <v>5898667</v>
      </c>
      <c r="EP29" s="30">
        <f t="shared" si="97"/>
        <v>3021174</v>
      </c>
      <c r="EQ29" s="30">
        <f t="shared" si="78"/>
        <v>0</v>
      </c>
      <c r="ER29" s="44">
        <v>4511882199</v>
      </c>
      <c r="ES29" s="30">
        <f t="shared" si="79"/>
        <v>111186013</v>
      </c>
      <c r="ET29" s="30">
        <f t="shared" si="80"/>
        <v>5898667</v>
      </c>
      <c r="EU29" s="30">
        <f t="shared" si="81"/>
        <v>3021174</v>
      </c>
      <c r="EV29" s="30">
        <f t="shared" si="82"/>
        <v>0</v>
      </c>
      <c r="EW29" s="44">
        <v>4511882199</v>
      </c>
      <c r="EX29" s="30">
        <f t="shared" si="83"/>
        <v>111186013</v>
      </c>
      <c r="EY29" s="30">
        <f t="shared" si="84"/>
        <v>0</v>
      </c>
      <c r="EZ29" s="30">
        <f t="shared" si="8"/>
        <v>0</v>
      </c>
      <c r="FA29" s="44">
        <v>4511882199</v>
      </c>
      <c r="FB29" s="30">
        <f t="shared" si="85"/>
        <v>111186013</v>
      </c>
      <c r="FC29" s="30"/>
      <c r="FD29" s="30">
        <f t="shared" si="86"/>
        <v>4511882199</v>
      </c>
      <c r="FE29" s="30"/>
      <c r="FF29" s="30"/>
      <c r="FG29" s="30">
        <f t="shared" si="87"/>
        <v>4511882199</v>
      </c>
      <c r="FH29" s="31">
        <v>4584008961</v>
      </c>
      <c r="FI29" s="30">
        <f t="shared" si="88"/>
        <v>72126762</v>
      </c>
      <c r="FJ29" s="121"/>
      <c r="FK29" s="30">
        <v>4607665795</v>
      </c>
      <c r="FL29" s="44">
        <f t="shared" si="89"/>
        <v>95783596</v>
      </c>
      <c r="FM29" s="44">
        <f t="shared" si="90"/>
        <v>23656834</v>
      </c>
      <c r="FN29" s="44"/>
      <c r="FO29" s="9"/>
    </row>
    <row r="30" spans="1:171" ht="12.75">
      <c r="A30" s="22" t="s">
        <v>5</v>
      </c>
      <c r="B30" s="23"/>
      <c r="C30" s="61" t="s">
        <v>181</v>
      </c>
      <c r="D30" s="25">
        <v>5500000</v>
      </c>
      <c r="E30" s="26">
        <v>5500000</v>
      </c>
      <c r="F30" s="26">
        <v>4312000</v>
      </c>
      <c r="G30" s="26">
        <v>2000000</v>
      </c>
      <c r="H30" s="27">
        <v>-2000000</v>
      </c>
      <c r="I30" s="26">
        <f t="shared" si="0"/>
        <v>0</v>
      </c>
      <c r="J30" s="33"/>
      <c r="K30" s="27"/>
      <c r="L30" s="27">
        <f t="shared" si="1"/>
        <v>0</v>
      </c>
      <c r="M30" s="28">
        <f t="shared" si="9"/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/>
      <c r="T30" s="28">
        <f t="shared" si="91"/>
        <v>0</v>
      </c>
      <c r="U30" s="28">
        <f t="shared" si="92"/>
        <v>0</v>
      </c>
      <c r="V30" s="28">
        <f t="shared" si="2"/>
        <v>0</v>
      </c>
      <c r="W30" s="29"/>
      <c r="X30" s="29"/>
      <c r="Y30" s="29">
        <f t="shared" si="10"/>
        <v>0</v>
      </c>
      <c r="Z30" s="30"/>
      <c r="AA30" s="30">
        <f t="shared" si="11"/>
        <v>0</v>
      </c>
      <c r="AB30" s="30"/>
      <c r="AC30" s="30"/>
      <c r="AD30" s="31"/>
      <c r="AE30" s="30"/>
      <c r="AF30" s="30">
        <f>AC30-W30+X30</f>
        <v>0</v>
      </c>
      <c r="AG30" s="30">
        <f>AC30-Z30</f>
        <v>0</v>
      </c>
      <c r="AH30" s="31"/>
      <c r="AI30" s="31"/>
      <c r="AJ30" s="30">
        <f t="shared" si="98"/>
        <v>0</v>
      </c>
      <c r="AK30" s="30">
        <f t="shared" si="12"/>
        <v>0</v>
      </c>
      <c r="AL30" s="30">
        <f t="shared" si="13"/>
        <v>0</v>
      </c>
      <c r="AM30" s="31">
        <f t="shared" si="14"/>
        <v>0</v>
      </c>
      <c r="AN30" s="31">
        <f t="shared" si="15"/>
        <v>0</v>
      </c>
      <c r="AO30" s="31">
        <f t="shared" si="4"/>
        <v>0</v>
      </c>
      <c r="AP30" s="30"/>
      <c r="AQ30" s="30">
        <f t="shared" si="5"/>
        <v>0</v>
      </c>
      <c r="AR30" s="30">
        <f t="shared" si="16"/>
        <v>0</v>
      </c>
      <c r="AS30" s="30">
        <f t="shared" si="17"/>
        <v>0</v>
      </c>
      <c r="AT30" s="30"/>
      <c r="AU30" s="30">
        <f t="shared" si="18"/>
        <v>0</v>
      </c>
      <c r="AV30" s="30"/>
      <c r="AW30" s="30">
        <f t="shared" si="19"/>
        <v>0</v>
      </c>
      <c r="AX30" s="30"/>
      <c r="AY30" s="31">
        <f t="shared" si="93"/>
        <v>0</v>
      </c>
      <c r="AZ30" s="31">
        <f t="shared" si="94"/>
        <v>0</v>
      </c>
      <c r="BA30" s="30"/>
      <c r="BB30" s="30">
        <f t="shared" si="20"/>
        <v>0</v>
      </c>
      <c r="BC30" s="30">
        <f t="shared" si="21"/>
        <v>0</v>
      </c>
      <c r="BD30" s="30">
        <f t="shared" si="22"/>
        <v>0</v>
      </c>
      <c r="BE30" s="34">
        <v>3500000</v>
      </c>
      <c r="BF30" s="34">
        <v>3500000</v>
      </c>
      <c r="BG30" s="34">
        <v>3500000</v>
      </c>
      <c r="BH30" s="30">
        <f>+BG30-AU30</f>
        <v>3500000</v>
      </c>
      <c r="BI30" s="30">
        <f>+BG30-AV30</f>
        <v>3500000</v>
      </c>
      <c r="BJ30" s="30">
        <f>+BG30-BA30</f>
        <v>3500000</v>
      </c>
      <c r="BK30" s="8">
        <f>+BG30-BE30</f>
        <v>0</v>
      </c>
      <c r="BL30" s="34">
        <v>2500000</v>
      </c>
      <c r="BM30" s="34">
        <f t="shared" si="27"/>
        <v>1000000</v>
      </c>
      <c r="BN30" s="45">
        <v>0</v>
      </c>
      <c r="BO30" s="32">
        <f t="shared" si="28"/>
        <v>-1000000</v>
      </c>
      <c r="BP30" s="45">
        <v>0</v>
      </c>
      <c r="BQ30" s="48">
        <f t="shared" si="29"/>
        <v>-1000000</v>
      </c>
      <c r="BR30" s="48">
        <f t="shared" si="30"/>
        <v>0</v>
      </c>
      <c r="BS30" s="45"/>
      <c r="BT30" s="49">
        <f t="shared" si="31"/>
        <v>-1000000</v>
      </c>
      <c r="BU30" s="49">
        <f t="shared" si="32"/>
        <v>0</v>
      </c>
      <c r="BV30" s="49">
        <f t="shared" si="33"/>
        <v>0</v>
      </c>
      <c r="BW30" s="45">
        <v>1000000</v>
      </c>
      <c r="BX30" s="48">
        <f t="shared" si="34"/>
        <v>0</v>
      </c>
      <c r="BY30" s="48">
        <f t="shared" si="35"/>
        <v>1000000</v>
      </c>
      <c r="BZ30" s="48">
        <f t="shared" si="36"/>
        <v>1000000</v>
      </c>
      <c r="CA30" s="45">
        <f>1000000+1000000</f>
        <v>2000000</v>
      </c>
      <c r="CB30" s="8">
        <f t="shared" si="37"/>
        <v>1000000</v>
      </c>
      <c r="CC30" s="8">
        <f t="shared" si="38"/>
        <v>2000000</v>
      </c>
      <c r="CD30" s="8">
        <f t="shared" si="6"/>
        <v>2000000</v>
      </c>
      <c r="CE30" s="8">
        <f t="shared" si="39"/>
        <v>1000000</v>
      </c>
      <c r="CF30" s="45">
        <v>2000000</v>
      </c>
      <c r="CG30" s="8">
        <f t="shared" si="40"/>
        <v>1000000</v>
      </c>
      <c r="CH30" s="8">
        <f t="shared" si="41"/>
        <v>2000000</v>
      </c>
      <c r="CI30" s="8">
        <f t="shared" si="42"/>
        <v>2000000</v>
      </c>
      <c r="CJ30" s="8">
        <f t="shared" si="43"/>
        <v>0</v>
      </c>
      <c r="CK30" s="45">
        <v>2000000</v>
      </c>
      <c r="CL30" s="8">
        <f t="shared" si="7"/>
        <v>1000000</v>
      </c>
      <c r="CM30" s="8">
        <f t="shared" si="44"/>
        <v>2000000</v>
      </c>
      <c r="CN30" s="8">
        <f t="shared" si="45"/>
        <v>0</v>
      </c>
      <c r="CO30" s="45">
        <v>0</v>
      </c>
      <c r="CP30" s="45">
        <f t="shared" si="46"/>
        <v>0</v>
      </c>
      <c r="CQ30" s="8">
        <f t="shared" si="47"/>
        <v>-2000000</v>
      </c>
      <c r="CR30" s="45">
        <v>1000000</v>
      </c>
      <c r="CS30" s="32">
        <v>786319</v>
      </c>
      <c r="CT30" s="45">
        <f t="shared" si="48"/>
        <v>1786319</v>
      </c>
      <c r="CU30" s="8">
        <f t="shared" si="49"/>
        <v>-213681</v>
      </c>
      <c r="CV30" s="45">
        <f t="shared" si="50"/>
        <v>1786319</v>
      </c>
      <c r="CW30" s="45">
        <f t="shared" si="51"/>
        <v>786319</v>
      </c>
      <c r="CX30" s="45">
        <v>2000000</v>
      </c>
      <c r="CY30" s="8">
        <f t="shared" si="52"/>
        <v>0</v>
      </c>
      <c r="CZ30" s="45">
        <f t="shared" si="53"/>
        <v>2000000</v>
      </c>
      <c r="DA30" s="45">
        <f t="shared" si="54"/>
        <v>213681</v>
      </c>
      <c r="DB30" s="45">
        <v>3350000</v>
      </c>
      <c r="DC30" s="8">
        <f t="shared" si="55"/>
        <v>1350000</v>
      </c>
      <c r="DD30" s="45">
        <f t="shared" si="56"/>
        <v>3350000</v>
      </c>
      <c r="DE30" s="45">
        <f t="shared" si="57"/>
        <v>1563681</v>
      </c>
      <c r="DF30" s="45">
        <f t="shared" si="58"/>
        <v>1350000</v>
      </c>
      <c r="DG30" s="45">
        <v>3383233</v>
      </c>
      <c r="DH30" s="47">
        <f t="shared" si="59"/>
        <v>1383233</v>
      </c>
      <c r="DI30" s="45">
        <f t="shared" si="60"/>
        <v>3383233</v>
      </c>
      <c r="DJ30" s="45">
        <f t="shared" si="61"/>
        <v>1596914</v>
      </c>
      <c r="DK30" s="45">
        <f t="shared" si="62"/>
        <v>33233</v>
      </c>
      <c r="DL30" s="45">
        <v>-1000000</v>
      </c>
      <c r="DM30" s="45">
        <f t="shared" si="63"/>
        <v>2383233</v>
      </c>
      <c r="DN30" s="45">
        <v>3383233</v>
      </c>
      <c r="DO30" s="45">
        <f t="shared" si="64"/>
        <v>1383233</v>
      </c>
      <c r="DP30" s="45"/>
      <c r="DQ30" s="45">
        <v>-2883233</v>
      </c>
      <c r="DR30" s="45">
        <f t="shared" si="65"/>
        <v>500000</v>
      </c>
      <c r="DS30" s="45">
        <f t="shared" si="66"/>
        <v>-1500000</v>
      </c>
      <c r="DT30" s="45"/>
      <c r="DU30" s="45">
        <f t="shared" si="67"/>
        <v>500000</v>
      </c>
      <c r="DV30" s="45">
        <f t="shared" si="68"/>
        <v>-1500000</v>
      </c>
      <c r="DW30" s="45">
        <v>500000</v>
      </c>
      <c r="DX30" s="45">
        <v>0</v>
      </c>
      <c r="DY30" s="9"/>
      <c r="DZ30" s="8">
        <f t="shared" si="69"/>
        <v>-500000</v>
      </c>
      <c r="EA30" s="47">
        <v>0</v>
      </c>
      <c r="EB30" s="8">
        <f t="shared" si="70"/>
        <v>-500000</v>
      </c>
      <c r="EC30" s="8">
        <f t="shared" si="71"/>
        <v>0</v>
      </c>
      <c r="ED30" s="73"/>
      <c r="EE30" s="44">
        <v>250000</v>
      </c>
      <c r="EF30" s="30">
        <f t="shared" si="72"/>
        <v>-250000</v>
      </c>
      <c r="EG30" s="30">
        <f t="shared" si="73"/>
        <v>250000</v>
      </c>
      <c r="EH30" s="30">
        <f t="shared" si="74"/>
        <v>250000</v>
      </c>
      <c r="EI30" s="44">
        <v>2000000</v>
      </c>
      <c r="EJ30" s="30">
        <f t="shared" si="75"/>
        <v>1500000</v>
      </c>
      <c r="EK30" s="30">
        <f t="shared" si="76"/>
        <v>2000000</v>
      </c>
      <c r="EL30" s="30">
        <f t="shared" si="77"/>
        <v>1750000</v>
      </c>
      <c r="EM30" s="44">
        <f>2000000+500000</f>
        <v>2500000</v>
      </c>
      <c r="EN30" s="30">
        <f t="shared" si="95"/>
        <v>2000000</v>
      </c>
      <c r="EO30" s="30">
        <f t="shared" si="96"/>
        <v>2500000</v>
      </c>
      <c r="EP30" s="30">
        <f t="shared" si="97"/>
        <v>2250000</v>
      </c>
      <c r="EQ30" s="30">
        <f t="shared" si="78"/>
        <v>500000</v>
      </c>
      <c r="ER30" s="44">
        <f>2000000+500000</f>
        <v>2500000</v>
      </c>
      <c r="ES30" s="30">
        <f t="shared" si="79"/>
        <v>2000000</v>
      </c>
      <c r="ET30" s="30">
        <f t="shared" si="80"/>
        <v>2500000</v>
      </c>
      <c r="EU30" s="30">
        <f t="shared" si="81"/>
        <v>2250000</v>
      </c>
      <c r="EV30" s="30">
        <f t="shared" si="82"/>
        <v>0</v>
      </c>
      <c r="EW30" s="44">
        <f>2000000+500000</f>
        <v>2500000</v>
      </c>
      <c r="EX30" s="30">
        <f t="shared" si="83"/>
        <v>2000000</v>
      </c>
      <c r="EY30" s="30">
        <f t="shared" si="84"/>
        <v>0</v>
      </c>
      <c r="EZ30" s="30">
        <f t="shared" si="8"/>
        <v>0</v>
      </c>
      <c r="FA30" s="44">
        <f>2000000+500000</f>
        <v>2500000</v>
      </c>
      <c r="FB30" s="30">
        <f t="shared" si="85"/>
        <v>2000000</v>
      </c>
      <c r="FC30" s="30">
        <v>630000</v>
      </c>
      <c r="FD30" s="30">
        <f t="shared" si="86"/>
        <v>3130000</v>
      </c>
      <c r="FE30" s="30"/>
      <c r="FF30" s="30"/>
      <c r="FG30" s="30">
        <f t="shared" si="87"/>
        <v>3130000</v>
      </c>
      <c r="FH30" s="31">
        <v>0</v>
      </c>
      <c r="FI30" s="30">
        <f t="shared" si="88"/>
        <v>-3130000</v>
      </c>
      <c r="FJ30" s="30"/>
      <c r="FK30" s="30">
        <v>10000000</v>
      </c>
      <c r="FL30" s="44">
        <f t="shared" si="89"/>
        <v>6870000</v>
      </c>
      <c r="FM30" s="44">
        <f t="shared" si="90"/>
        <v>10000000</v>
      </c>
      <c r="FN30" s="44" t="s">
        <v>331</v>
      </c>
      <c r="FO30" s="9"/>
    </row>
    <row r="31" spans="1:171" ht="12.75">
      <c r="A31" s="22" t="s">
        <v>6</v>
      </c>
      <c r="B31" s="23"/>
      <c r="C31" s="61" t="s">
        <v>161</v>
      </c>
      <c r="D31" s="25">
        <v>220000000</v>
      </c>
      <c r="E31" s="26">
        <v>230043700</v>
      </c>
      <c r="F31" s="26">
        <v>215337070</v>
      </c>
      <c r="G31" s="26">
        <f>140113160+200000</f>
        <v>140313160</v>
      </c>
      <c r="H31" s="27">
        <v>-200000</v>
      </c>
      <c r="I31" s="26">
        <f t="shared" si="0"/>
        <v>140113160</v>
      </c>
      <c r="J31" s="27">
        <v>-6994000</v>
      </c>
      <c r="K31" s="27"/>
      <c r="L31" s="27">
        <f t="shared" si="1"/>
        <v>-6994000</v>
      </c>
      <c r="M31" s="28">
        <f t="shared" si="9"/>
        <v>133119160</v>
      </c>
      <c r="N31" s="28">
        <v>135019170</v>
      </c>
      <c r="O31" s="28">
        <v>135019170</v>
      </c>
      <c r="P31" s="28">
        <v>135019170</v>
      </c>
      <c r="Q31" s="28">
        <v>133119160</v>
      </c>
      <c r="R31" s="28">
        <v>145673366</v>
      </c>
      <c r="S31" s="28">
        <v>8.6180000000000007E-2</v>
      </c>
      <c r="T31" s="28">
        <f t="shared" si="91"/>
        <v>-12554130.681880001</v>
      </c>
      <c r="U31" s="28">
        <f t="shared" si="92"/>
        <v>133119235.31812</v>
      </c>
      <c r="V31" s="28">
        <f t="shared" si="2"/>
        <v>75.318120002746582</v>
      </c>
      <c r="W31" s="29">
        <v>133119160</v>
      </c>
      <c r="X31" s="29"/>
      <c r="Y31" s="29">
        <f t="shared" si="10"/>
        <v>133119160</v>
      </c>
      <c r="Z31" s="30">
        <v>213119160</v>
      </c>
      <c r="AA31" s="30">
        <f t="shared" si="11"/>
        <v>80000000</v>
      </c>
      <c r="AB31" s="30">
        <v>213119160</v>
      </c>
      <c r="AC31" s="30">
        <v>213119160</v>
      </c>
      <c r="AD31" s="31">
        <v>183119160</v>
      </c>
      <c r="AE31" s="30"/>
      <c r="AF31" s="30">
        <f>AC31-SUM(W31:X31)</f>
        <v>80000000</v>
      </c>
      <c r="AG31" s="30"/>
      <c r="AH31" s="32">
        <v>194119160</v>
      </c>
      <c r="AI31" s="32">
        <v>213119160</v>
      </c>
      <c r="AJ31" s="30">
        <f t="shared" si="98"/>
        <v>50000000</v>
      </c>
      <c r="AK31" s="30">
        <f t="shared" si="12"/>
        <v>-30000000</v>
      </c>
      <c r="AL31" s="30">
        <f t="shared" si="13"/>
        <v>-30000000</v>
      </c>
      <c r="AM31" s="31">
        <f t="shared" si="14"/>
        <v>61000000</v>
      </c>
      <c r="AN31" s="31">
        <f t="shared" si="15"/>
        <v>-19000000</v>
      </c>
      <c r="AO31" s="31">
        <f t="shared" si="4"/>
        <v>-19000000</v>
      </c>
      <c r="AP31" s="30">
        <v>213119160</v>
      </c>
      <c r="AQ31" s="30">
        <f t="shared" si="5"/>
        <v>80000000</v>
      </c>
      <c r="AR31" s="30">
        <f t="shared" si="16"/>
        <v>0</v>
      </c>
      <c r="AS31" s="30">
        <f t="shared" si="17"/>
        <v>80000000</v>
      </c>
      <c r="AT31" s="30"/>
      <c r="AU31" s="30">
        <f t="shared" si="18"/>
        <v>213119160</v>
      </c>
      <c r="AV31" s="30">
        <v>213150377</v>
      </c>
      <c r="AW31" s="30">
        <f t="shared" si="19"/>
        <v>31217</v>
      </c>
      <c r="AX31" s="30">
        <v>221575000</v>
      </c>
      <c r="AY31" s="31">
        <f t="shared" si="93"/>
        <v>8455840</v>
      </c>
      <c r="AZ31" s="31">
        <f t="shared" si="94"/>
        <v>8424623</v>
      </c>
      <c r="BA31" s="30">
        <v>221575000</v>
      </c>
      <c r="BB31" s="30">
        <f t="shared" si="20"/>
        <v>8455840</v>
      </c>
      <c r="BC31" s="30">
        <f t="shared" si="21"/>
        <v>8424623</v>
      </c>
      <c r="BD31" s="30">
        <f t="shared" si="22"/>
        <v>0</v>
      </c>
      <c r="BE31" s="30">
        <v>242182288</v>
      </c>
      <c r="BF31" s="30">
        <v>241932288</v>
      </c>
      <c r="BG31" s="30">
        <v>241932288</v>
      </c>
      <c r="BH31" s="30">
        <f t="shared" si="23"/>
        <v>28813128</v>
      </c>
      <c r="BI31" s="30">
        <f t="shared" si="24"/>
        <v>28781911</v>
      </c>
      <c r="BJ31" s="30">
        <f t="shared" si="25"/>
        <v>20357288</v>
      </c>
      <c r="BK31" s="8">
        <f t="shared" si="26"/>
        <v>-250000</v>
      </c>
      <c r="BL31" s="30">
        <f>75000+11425000</f>
        <v>11500000</v>
      </c>
      <c r="BM31" s="34">
        <f>BG31-BL31+11500000</f>
        <v>241932288</v>
      </c>
      <c r="BN31" s="45">
        <v>230489223</v>
      </c>
      <c r="BO31" s="32">
        <f t="shared" si="28"/>
        <v>-11443065</v>
      </c>
      <c r="BP31" s="45">
        <v>235489224</v>
      </c>
      <c r="BQ31" s="48">
        <f t="shared" si="29"/>
        <v>-6443064</v>
      </c>
      <c r="BR31" s="48">
        <f t="shared" si="30"/>
        <v>5000001</v>
      </c>
      <c r="BS31" s="45">
        <v>238489224</v>
      </c>
      <c r="BT31" s="49">
        <f t="shared" si="31"/>
        <v>-3443064</v>
      </c>
      <c r="BU31" s="49">
        <f t="shared" si="32"/>
        <v>8000001</v>
      </c>
      <c r="BV31" s="49">
        <f t="shared" si="33"/>
        <v>3000000</v>
      </c>
      <c r="BW31" s="45">
        <v>252819241</v>
      </c>
      <c r="BX31" s="48">
        <f t="shared" si="34"/>
        <v>10886953</v>
      </c>
      <c r="BY31" s="48">
        <f t="shared" si="35"/>
        <v>22330018</v>
      </c>
      <c r="BZ31" s="48">
        <f t="shared" si="36"/>
        <v>14330017</v>
      </c>
      <c r="CA31" s="45">
        <v>252819241</v>
      </c>
      <c r="CB31" s="8">
        <f t="shared" si="37"/>
        <v>10886953</v>
      </c>
      <c r="CC31" s="8">
        <f t="shared" si="38"/>
        <v>22330018</v>
      </c>
      <c r="CD31" s="8">
        <f t="shared" si="6"/>
        <v>14330017</v>
      </c>
      <c r="CE31" s="8">
        <f t="shared" si="39"/>
        <v>0</v>
      </c>
      <c r="CF31" s="45">
        <v>252489224</v>
      </c>
      <c r="CG31" s="8">
        <f t="shared" si="40"/>
        <v>10556936</v>
      </c>
      <c r="CH31" s="8">
        <f t="shared" si="41"/>
        <v>22000001</v>
      </c>
      <c r="CI31" s="8">
        <f t="shared" si="42"/>
        <v>14000000</v>
      </c>
      <c r="CJ31" s="8">
        <f t="shared" si="43"/>
        <v>-330017</v>
      </c>
      <c r="CK31" s="45">
        <v>252489224</v>
      </c>
      <c r="CL31" s="8">
        <f t="shared" si="7"/>
        <v>10556936</v>
      </c>
      <c r="CM31" s="8">
        <f t="shared" si="44"/>
        <v>22000001</v>
      </c>
      <c r="CN31" s="8">
        <f t="shared" si="45"/>
        <v>0</v>
      </c>
      <c r="CO31" s="45">
        <v>252513276</v>
      </c>
      <c r="CP31" s="45">
        <f t="shared" si="46"/>
        <v>22024053</v>
      </c>
      <c r="CQ31" s="8">
        <f t="shared" si="47"/>
        <v>24052</v>
      </c>
      <c r="CR31" s="45">
        <v>257513275</v>
      </c>
      <c r="CS31" s="32"/>
      <c r="CT31" s="45">
        <f t="shared" si="48"/>
        <v>257513275</v>
      </c>
      <c r="CU31" s="8">
        <f t="shared" si="49"/>
        <v>5024051</v>
      </c>
      <c r="CV31" s="45">
        <f t="shared" si="50"/>
        <v>4999999</v>
      </c>
      <c r="CW31" s="45">
        <f t="shared" si="51"/>
        <v>0</v>
      </c>
      <c r="CX31" s="45">
        <v>260395342</v>
      </c>
      <c r="CY31" s="8">
        <f t="shared" si="52"/>
        <v>7906118</v>
      </c>
      <c r="CZ31" s="45">
        <f t="shared" si="53"/>
        <v>7882066</v>
      </c>
      <c r="DA31" s="45">
        <f t="shared" si="54"/>
        <v>2882067</v>
      </c>
      <c r="DB31" s="45">
        <v>260395342</v>
      </c>
      <c r="DC31" s="8">
        <f t="shared" si="55"/>
        <v>7906118</v>
      </c>
      <c r="DD31" s="45">
        <f t="shared" si="56"/>
        <v>7882066</v>
      </c>
      <c r="DE31" s="45">
        <f t="shared" si="57"/>
        <v>2882067</v>
      </c>
      <c r="DF31" s="45">
        <f t="shared" si="58"/>
        <v>0</v>
      </c>
      <c r="DG31" s="45">
        <v>257513275</v>
      </c>
      <c r="DH31" s="47">
        <f t="shared" si="59"/>
        <v>5024051</v>
      </c>
      <c r="DI31" s="45">
        <f t="shared" si="60"/>
        <v>4999999</v>
      </c>
      <c r="DJ31" s="45">
        <f t="shared" si="61"/>
        <v>0</v>
      </c>
      <c r="DK31" s="45">
        <f t="shared" si="62"/>
        <v>-2882067</v>
      </c>
      <c r="DL31" s="45"/>
      <c r="DM31" s="45">
        <f t="shared" si="63"/>
        <v>257513275</v>
      </c>
      <c r="DN31" s="45">
        <v>257513275</v>
      </c>
      <c r="DO31" s="45">
        <f t="shared" si="64"/>
        <v>5024051</v>
      </c>
      <c r="DP31" s="45"/>
      <c r="DQ31" s="45">
        <v>-3862699</v>
      </c>
      <c r="DR31" s="45">
        <f t="shared" si="65"/>
        <v>253650576</v>
      </c>
      <c r="DS31" s="45">
        <f t="shared" si="66"/>
        <v>1161352</v>
      </c>
      <c r="DT31" s="45">
        <v>-250000</v>
      </c>
      <c r="DU31" s="45">
        <f t="shared" si="67"/>
        <v>253400576</v>
      </c>
      <c r="DV31" s="45">
        <f t="shared" si="68"/>
        <v>911352</v>
      </c>
      <c r="DW31" s="45">
        <v>253400576</v>
      </c>
      <c r="DX31" s="45">
        <v>253400576</v>
      </c>
      <c r="DY31" s="9"/>
      <c r="DZ31" s="8">
        <f t="shared" si="69"/>
        <v>0</v>
      </c>
      <c r="EA31" s="47">
        <v>261651610</v>
      </c>
      <c r="EB31" s="8">
        <f t="shared" si="70"/>
        <v>8251034</v>
      </c>
      <c r="EC31" s="8">
        <f t="shared" si="71"/>
        <v>8251034</v>
      </c>
      <c r="ED31" s="73"/>
      <c r="EE31" s="44">
        <v>261651610</v>
      </c>
      <c r="EF31" s="30">
        <f t="shared" si="72"/>
        <v>8251034</v>
      </c>
      <c r="EG31" s="30">
        <f t="shared" si="73"/>
        <v>8251034</v>
      </c>
      <c r="EH31" s="30">
        <f t="shared" si="74"/>
        <v>0</v>
      </c>
      <c r="EI31" s="44">
        <v>271572425</v>
      </c>
      <c r="EJ31" s="30">
        <f t="shared" si="75"/>
        <v>18171849</v>
      </c>
      <c r="EK31" s="30">
        <f t="shared" si="76"/>
        <v>18171849</v>
      </c>
      <c r="EL31" s="30">
        <f t="shared" si="77"/>
        <v>9920815</v>
      </c>
      <c r="EM31" s="44">
        <f>271572425+150000</f>
        <v>271722425</v>
      </c>
      <c r="EN31" s="30">
        <f t="shared" si="95"/>
        <v>18321849</v>
      </c>
      <c r="EO31" s="30">
        <f t="shared" si="96"/>
        <v>18321849</v>
      </c>
      <c r="EP31" s="30">
        <f t="shared" si="97"/>
        <v>10070815</v>
      </c>
      <c r="EQ31" s="30">
        <f t="shared" si="78"/>
        <v>150000</v>
      </c>
      <c r="ER31" s="44">
        <f>271572425+150000</f>
        <v>271722425</v>
      </c>
      <c r="ES31" s="30">
        <f t="shared" si="79"/>
        <v>18321849</v>
      </c>
      <c r="ET31" s="30">
        <f t="shared" si="80"/>
        <v>18321849</v>
      </c>
      <c r="EU31" s="30">
        <f t="shared" si="81"/>
        <v>10070815</v>
      </c>
      <c r="EV31" s="30">
        <f t="shared" si="82"/>
        <v>0</v>
      </c>
      <c r="EW31" s="44">
        <f>271572425+150000</f>
        <v>271722425</v>
      </c>
      <c r="EX31" s="30">
        <f t="shared" si="83"/>
        <v>18321849</v>
      </c>
      <c r="EY31" s="30">
        <f t="shared" si="84"/>
        <v>0</v>
      </c>
      <c r="EZ31" s="30">
        <f t="shared" si="8"/>
        <v>0</v>
      </c>
      <c r="FA31" s="44">
        <f>271572425+150000</f>
        <v>271722425</v>
      </c>
      <c r="FB31" s="30">
        <f t="shared" si="85"/>
        <v>18321849</v>
      </c>
      <c r="FC31" s="30"/>
      <c r="FD31" s="30">
        <f t="shared" si="86"/>
        <v>271722425</v>
      </c>
      <c r="FE31" s="30">
        <f>271639859-271722425</f>
        <v>-82566</v>
      </c>
      <c r="FF31" s="30"/>
      <c r="FG31" s="30">
        <f t="shared" si="87"/>
        <v>271639859</v>
      </c>
      <c r="FH31" s="31">
        <v>271631997</v>
      </c>
      <c r="FI31" s="30">
        <f t="shared" si="88"/>
        <v>-7862</v>
      </c>
      <c r="FJ31" s="30"/>
      <c r="FK31" s="30">
        <v>276631180</v>
      </c>
      <c r="FL31" s="44">
        <f t="shared" si="89"/>
        <v>4991321</v>
      </c>
      <c r="FM31" s="44">
        <f t="shared" si="90"/>
        <v>4999183</v>
      </c>
      <c r="FN31" s="44" t="s">
        <v>333</v>
      </c>
      <c r="FO31" s="9"/>
    </row>
    <row r="32" spans="1:171" ht="25.5">
      <c r="A32" s="22" t="s">
        <v>35</v>
      </c>
      <c r="B32" s="23"/>
      <c r="C32" s="61" t="s">
        <v>184</v>
      </c>
      <c r="D32" s="25">
        <v>2974554</v>
      </c>
      <c r="E32" s="26">
        <v>2974554</v>
      </c>
      <c r="F32" s="26">
        <v>1572442</v>
      </c>
      <c r="G32" s="26">
        <v>1373226</v>
      </c>
      <c r="H32" s="26"/>
      <c r="I32" s="26">
        <f t="shared" si="0"/>
        <v>1373226</v>
      </c>
      <c r="J32" s="27">
        <v>-184143</v>
      </c>
      <c r="K32" s="27"/>
      <c r="L32" s="27">
        <f t="shared" si="1"/>
        <v>-184143</v>
      </c>
      <c r="M32" s="28">
        <f t="shared" si="9"/>
        <v>1189083</v>
      </c>
      <c r="N32" s="28">
        <v>1189083</v>
      </c>
      <c r="O32" s="28">
        <v>1072134</v>
      </c>
      <c r="P32" s="28">
        <v>1072134</v>
      </c>
      <c r="Q32" s="28">
        <v>989083</v>
      </c>
      <c r="R32" s="28">
        <v>1072134</v>
      </c>
      <c r="S32" s="28">
        <v>0.1241</v>
      </c>
      <c r="T32" s="28">
        <f t="shared" si="91"/>
        <v>-133051.82939999999</v>
      </c>
      <c r="U32" s="28">
        <f t="shared" si="92"/>
        <v>939082.17060000007</v>
      </c>
      <c r="V32" s="28">
        <f t="shared" si="2"/>
        <v>-250000.82939999993</v>
      </c>
      <c r="W32" s="29">
        <v>939083</v>
      </c>
      <c r="X32" s="29"/>
      <c r="Y32" s="29">
        <f t="shared" si="10"/>
        <v>939083</v>
      </c>
      <c r="Z32" s="30">
        <v>942704</v>
      </c>
      <c r="AA32" s="30">
        <f t="shared" si="11"/>
        <v>3621</v>
      </c>
      <c r="AB32" s="30">
        <v>939083</v>
      </c>
      <c r="AC32" s="30">
        <v>939083</v>
      </c>
      <c r="AD32" s="31">
        <v>939083</v>
      </c>
      <c r="AE32" s="30"/>
      <c r="AF32" s="30"/>
      <c r="AG32" s="30">
        <f>AC32-Z32</f>
        <v>-3621</v>
      </c>
      <c r="AH32" s="31">
        <v>939083</v>
      </c>
      <c r="AI32" s="31">
        <v>939083</v>
      </c>
      <c r="AJ32" s="30">
        <f t="shared" si="98"/>
        <v>0</v>
      </c>
      <c r="AK32" s="30">
        <f t="shared" si="12"/>
        <v>-3621</v>
      </c>
      <c r="AL32" s="30">
        <f t="shared" si="13"/>
        <v>0</v>
      </c>
      <c r="AM32" s="31">
        <f t="shared" si="14"/>
        <v>0</v>
      </c>
      <c r="AN32" s="31">
        <f t="shared" si="15"/>
        <v>-3621</v>
      </c>
      <c r="AO32" s="31">
        <f t="shared" si="4"/>
        <v>0</v>
      </c>
      <c r="AP32" s="30">
        <v>939083</v>
      </c>
      <c r="AQ32" s="30">
        <f t="shared" si="5"/>
        <v>0</v>
      </c>
      <c r="AR32" s="30">
        <f t="shared" si="16"/>
        <v>-3621</v>
      </c>
      <c r="AS32" s="30">
        <f t="shared" si="17"/>
        <v>0</v>
      </c>
      <c r="AT32" s="30"/>
      <c r="AU32" s="30">
        <f t="shared" si="18"/>
        <v>939083</v>
      </c>
      <c r="AV32" s="30">
        <v>1710118</v>
      </c>
      <c r="AW32" s="30">
        <f t="shared" si="19"/>
        <v>771035</v>
      </c>
      <c r="AX32" s="30">
        <v>949289</v>
      </c>
      <c r="AY32" s="31">
        <f t="shared" si="93"/>
        <v>10206</v>
      </c>
      <c r="AZ32" s="31">
        <f t="shared" si="94"/>
        <v>-760829</v>
      </c>
      <c r="BA32" s="30">
        <v>949289</v>
      </c>
      <c r="BB32" s="30">
        <f t="shared" si="20"/>
        <v>10206</v>
      </c>
      <c r="BC32" s="30">
        <f t="shared" si="21"/>
        <v>-760829</v>
      </c>
      <c r="BD32" s="30">
        <f t="shared" si="22"/>
        <v>0</v>
      </c>
      <c r="BE32" s="30">
        <v>959028</v>
      </c>
      <c r="BF32" s="30">
        <v>955641</v>
      </c>
      <c r="BG32" s="30">
        <v>955641</v>
      </c>
      <c r="BH32" s="30">
        <f t="shared" si="23"/>
        <v>16558</v>
      </c>
      <c r="BI32" s="30">
        <f t="shared" si="24"/>
        <v>-754477</v>
      </c>
      <c r="BJ32" s="30">
        <f t="shared" si="25"/>
        <v>6352</v>
      </c>
      <c r="BK32" s="8">
        <f t="shared" si="26"/>
        <v>-3387</v>
      </c>
      <c r="BL32" s="30"/>
      <c r="BM32" s="34">
        <f t="shared" si="27"/>
        <v>955641</v>
      </c>
      <c r="BN32" s="45">
        <v>2979388</v>
      </c>
      <c r="BO32" s="32">
        <f t="shared" si="28"/>
        <v>2023747</v>
      </c>
      <c r="BP32" s="45">
        <v>974150</v>
      </c>
      <c r="BQ32" s="48">
        <f t="shared" si="29"/>
        <v>18509</v>
      </c>
      <c r="BR32" s="48">
        <f t="shared" si="30"/>
        <v>-2005238</v>
      </c>
      <c r="BS32" s="45">
        <f>BP32</f>
        <v>974150</v>
      </c>
      <c r="BT32" s="49">
        <f t="shared" si="31"/>
        <v>18509</v>
      </c>
      <c r="BU32" s="49">
        <f t="shared" si="32"/>
        <v>-2005238</v>
      </c>
      <c r="BV32" s="49">
        <f t="shared" si="33"/>
        <v>0</v>
      </c>
      <c r="BW32" s="45">
        <v>974150</v>
      </c>
      <c r="BX32" s="48">
        <f t="shared" si="34"/>
        <v>18509</v>
      </c>
      <c r="BY32" s="48">
        <f t="shared" si="35"/>
        <v>-2005238</v>
      </c>
      <c r="BZ32" s="48">
        <f t="shared" si="36"/>
        <v>0</v>
      </c>
      <c r="CA32" s="45">
        <v>974150</v>
      </c>
      <c r="CB32" s="8">
        <f t="shared" si="37"/>
        <v>18509</v>
      </c>
      <c r="CC32" s="8">
        <f t="shared" si="38"/>
        <v>-2005238</v>
      </c>
      <c r="CD32" s="8">
        <f t="shared" si="6"/>
        <v>0</v>
      </c>
      <c r="CE32" s="8">
        <f t="shared" si="39"/>
        <v>0</v>
      </c>
      <c r="CF32" s="45">
        <v>974150</v>
      </c>
      <c r="CG32" s="8">
        <f t="shared" si="40"/>
        <v>18509</v>
      </c>
      <c r="CH32" s="8">
        <f t="shared" si="41"/>
        <v>-2005238</v>
      </c>
      <c r="CI32" s="8">
        <f t="shared" si="42"/>
        <v>0</v>
      </c>
      <c r="CJ32" s="8">
        <f t="shared" si="43"/>
        <v>0</v>
      </c>
      <c r="CK32" s="45">
        <v>974150</v>
      </c>
      <c r="CL32" s="8">
        <f t="shared" si="7"/>
        <v>18509</v>
      </c>
      <c r="CM32" s="8">
        <f t="shared" si="44"/>
        <v>-2005238</v>
      </c>
      <c r="CN32" s="8">
        <f t="shared" si="45"/>
        <v>0</v>
      </c>
      <c r="CO32" s="45">
        <v>985749</v>
      </c>
      <c r="CP32" s="45">
        <f t="shared" si="46"/>
        <v>-1993639</v>
      </c>
      <c r="CQ32" s="8">
        <f t="shared" si="47"/>
        <v>11599</v>
      </c>
      <c r="CR32" s="45">
        <v>979650</v>
      </c>
      <c r="CS32" s="32"/>
      <c r="CT32" s="45">
        <f t="shared" si="48"/>
        <v>979650</v>
      </c>
      <c r="CU32" s="8">
        <f t="shared" si="49"/>
        <v>5500</v>
      </c>
      <c r="CV32" s="45">
        <f t="shared" si="50"/>
        <v>-6099</v>
      </c>
      <c r="CW32" s="45">
        <f t="shared" si="51"/>
        <v>0</v>
      </c>
      <c r="CX32" s="45">
        <v>979651</v>
      </c>
      <c r="CY32" s="8">
        <f t="shared" si="52"/>
        <v>5501</v>
      </c>
      <c r="CZ32" s="45">
        <f t="shared" si="53"/>
        <v>-6098</v>
      </c>
      <c r="DA32" s="45">
        <f t="shared" si="54"/>
        <v>1</v>
      </c>
      <c r="DB32" s="45">
        <v>979651</v>
      </c>
      <c r="DC32" s="8">
        <f t="shared" si="55"/>
        <v>5501</v>
      </c>
      <c r="DD32" s="45">
        <f t="shared" si="56"/>
        <v>-6098</v>
      </c>
      <c r="DE32" s="45">
        <f t="shared" si="57"/>
        <v>1</v>
      </c>
      <c r="DF32" s="45">
        <f t="shared" si="58"/>
        <v>0</v>
      </c>
      <c r="DG32" s="45">
        <v>979650</v>
      </c>
      <c r="DH32" s="47">
        <f t="shared" si="59"/>
        <v>5500</v>
      </c>
      <c r="DI32" s="45">
        <f t="shared" si="60"/>
        <v>-6099</v>
      </c>
      <c r="DJ32" s="45">
        <f t="shared" si="61"/>
        <v>0</v>
      </c>
      <c r="DK32" s="45">
        <f t="shared" si="62"/>
        <v>-1</v>
      </c>
      <c r="DL32" s="45"/>
      <c r="DM32" s="45">
        <f t="shared" si="63"/>
        <v>979650</v>
      </c>
      <c r="DN32" s="45">
        <v>979650</v>
      </c>
      <c r="DO32" s="45">
        <f t="shared" si="64"/>
        <v>5500</v>
      </c>
      <c r="DP32" s="45"/>
      <c r="DQ32" s="45">
        <v>0</v>
      </c>
      <c r="DR32" s="45">
        <f t="shared" si="65"/>
        <v>979650</v>
      </c>
      <c r="DS32" s="45">
        <f t="shared" si="66"/>
        <v>5500</v>
      </c>
      <c r="DT32" s="45"/>
      <c r="DU32" s="45">
        <f t="shared" si="67"/>
        <v>979650</v>
      </c>
      <c r="DV32" s="45">
        <f t="shared" si="68"/>
        <v>5500</v>
      </c>
      <c r="DW32" s="45">
        <v>979650</v>
      </c>
      <c r="DX32" s="45">
        <v>0</v>
      </c>
      <c r="DY32" s="9"/>
      <c r="DZ32" s="8">
        <f t="shared" si="69"/>
        <v>-979650</v>
      </c>
      <c r="EA32" s="47">
        <v>979650</v>
      </c>
      <c r="EB32" s="8">
        <f t="shared" si="70"/>
        <v>0</v>
      </c>
      <c r="EC32" s="8">
        <f t="shared" si="71"/>
        <v>979650</v>
      </c>
      <c r="ED32" s="71" t="s">
        <v>268</v>
      </c>
      <c r="EE32" s="44">
        <v>979650</v>
      </c>
      <c r="EF32" s="30">
        <f t="shared" si="72"/>
        <v>0</v>
      </c>
      <c r="EG32" s="30">
        <f t="shared" si="73"/>
        <v>979650</v>
      </c>
      <c r="EH32" s="30">
        <f t="shared" si="74"/>
        <v>0</v>
      </c>
      <c r="EI32" s="44">
        <v>978747</v>
      </c>
      <c r="EJ32" s="30">
        <f t="shared" si="75"/>
        <v>-903</v>
      </c>
      <c r="EK32" s="30">
        <f t="shared" si="76"/>
        <v>978747</v>
      </c>
      <c r="EL32" s="30">
        <f t="shared" si="77"/>
        <v>-903</v>
      </c>
      <c r="EM32" s="44">
        <v>978747</v>
      </c>
      <c r="EN32" s="30">
        <f t="shared" si="95"/>
        <v>-903</v>
      </c>
      <c r="EO32" s="30">
        <f t="shared" si="96"/>
        <v>978747</v>
      </c>
      <c r="EP32" s="30">
        <f t="shared" si="97"/>
        <v>-903</v>
      </c>
      <c r="EQ32" s="30">
        <f t="shared" si="78"/>
        <v>0</v>
      </c>
      <c r="ER32" s="44">
        <v>978747</v>
      </c>
      <c r="ES32" s="30">
        <f t="shared" si="79"/>
        <v>-903</v>
      </c>
      <c r="ET32" s="30">
        <f t="shared" si="80"/>
        <v>978747</v>
      </c>
      <c r="EU32" s="30">
        <f t="shared" si="81"/>
        <v>-903</v>
      </c>
      <c r="EV32" s="30">
        <f t="shared" si="82"/>
        <v>0</v>
      </c>
      <c r="EW32" s="44">
        <v>978747</v>
      </c>
      <c r="EX32" s="30">
        <f t="shared" si="83"/>
        <v>-903</v>
      </c>
      <c r="EY32" s="30">
        <f t="shared" si="84"/>
        <v>0</v>
      </c>
      <c r="EZ32" s="30">
        <f t="shared" si="8"/>
        <v>0</v>
      </c>
      <c r="FA32" s="44">
        <v>978747</v>
      </c>
      <c r="FB32" s="30">
        <f t="shared" si="85"/>
        <v>-903</v>
      </c>
      <c r="FC32" s="30"/>
      <c r="FD32" s="30">
        <f t="shared" si="86"/>
        <v>978747</v>
      </c>
      <c r="FE32" s="30"/>
      <c r="FF32" s="30"/>
      <c r="FG32" s="30">
        <f t="shared" si="87"/>
        <v>978747</v>
      </c>
      <c r="FH32" s="31">
        <v>891245</v>
      </c>
      <c r="FI32" s="30">
        <f t="shared" si="88"/>
        <v>-87502</v>
      </c>
      <c r="FJ32" s="30"/>
      <c r="FK32" s="30">
        <v>890322</v>
      </c>
      <c r="FL32" s="44">
        <f t="shared" si="89"/>
        <v>-88425</v>
      </c>
      <c r="FM32" s="44">
        <f t="shared" si="90"/>
        <v>-923</v>
      </c>
      <c r="FN32" s="44"/>
      <c r="FO32" s="9"/>
    </row>
    <row r="33" spans="1:171" ht="12.75">
      <c r="A33" s="22" t="s">
        <v>71</v>
      </c>
      <c r="B33" s="23"/>
      <c r="C33" s="60" t="s">
        <v>279</v>
      </c>
      <c r="D33" s="25"/>
      <c r="E33" s="26"/>
      <c r="F33" s="26"/>
      <c r="G33" s="26"/>
      <c r="H33" s="26"/>
      <c r="I33" s="26"/>
      <c r="J33" s="27"/>
      <c r="K33" s="27"/>
      <c r="L33" s="27"/>
      <c r="M33" s="28">
        <v>0</v>
      </c>
      <c r="N33" s="28">
        <v>0</v>
      </c>
      <c r="O33" s="28">
        <v>1700000</v>
      </c>
      <c r="P33" s="28">
        <v>1700000</v>
      </c>
      <c r="Q33" s="28">
        <v>1700000</v>
      </c>
      <c r="R33" s="28">
        <v>1700000</v>
      </c>
      <c r="S33" s="28">
        <v>0.23529</v>
      </c>
      <c r="T33" s="28">
        <f t="shared" si="91"/>
        <v>-399993</v>
      </c>
      <c r="U33" s="28">
        <f t="shared" si="92"/>
        <v>1300007</v>
      </c>
      <c r="V33" s="28">
        <f t="shared" si="2"/>
        <v>1300007</v>
      </c>
      <c r="W33" s="29">
        <v>1300000</v>
      </c>
      <c r="X33" s="29"/>
      <c r="Y33" s="29">
        <f t="shared" si="10"/>
        <v>1300000</v>
      </c>
      <c r="Z33" s="30">
        <v>0</v>
      </c>
      <c r="AA33" s="30">
        <f t="shared" si="11"/>
        <v>-1300000</v>
      </c>
      <c r="AB33" s="30">
        <v>1300000</v>
      </c>
      <c r="AC33" s="30">
        <v>1300000</v>
      </c>
      <c r="AD33" s="31">
        <v>1300000</v>
      </c>
      <c r="AE33" s="30"/>
      <c r="AF33" s="30"/>
      <c r="AG33" s="30">
        <f>AC33-Z33</f>
        <v>1300000</v>
      </c>
      <c r="AH33" s="31">
        <v>1300000</v>
      </c>
      <c r="AI33" s="31">
        <v>1300000</v>
      </c>
      <c r="AJ33" s="30">
        <f t="shared" si="98"/>
        <v>0</v>
      </c>
      <c r="AK33" s="30">
        <f t="shared" si="12"/>
        <v>1300000</v>
      </c>
      <c r="AL33" s="30">
        <f t="shared" si="13"/>
        <v>0</v>
      </c>
      <c r="AM33" s="31">
        <f t="shared" si="14"/>
        <v>0</v>
      </c>
      <c r="AN33" s="31">
        <f t="shared" si="15"/>
        <v>1300000</v>
      </c>
      <c r="AO33" s="31">
        <f t="shared" si="4"/>
        <v>0</v>
      </c>
      <c r="AP33" s="30">
        <v>1300000</v>
      </c>
      <c r="AQ33" s="30">
        <f t="shared" si="5"/>
        <v>0</v>
      </c>
      <c r="AR33" s="30">
        <f t="shared" si="16"/>
        <v>1300000</v>
      </c>
      <c r="AS33" s="30">
        <f t="shared" si="17"/>
        <v>0</v>
      </c>
      <c r="AT33" s="30"/>
      <c r="AU33" s="30">
        <f t="shared" si="18"/>
        <v>1300000</v>
      </c>
      <c r="AV33" s="30">
        <v>0</v>
      </c>
      <c r="AW33" s="30">
        <f t="shared" si="19"/>
        <v>-1300000</v>
      </c>
      <c r="AX33" s="30">
        <v>0</v>
      </c>
      <c r="AY33" s="31">
        <f t="shared" si="93"/>
        <v>-1300000</v>
      </c>
      <c r="AZ33" s="31">
        <f t="shared" si="94"/>
        <v>0</v>
      </c>
      <c r="BA33" s="30">
        <v>1300000</v>
      </c>
      <c r="BB33" s="30">
        <f t="shared" si="20"/>
        <v>0</v>
      </c>
      <c r="BC33" s="30">
        <f t="shared" si="21"/>
        <v>1300000</v>
      </c>
      <c r="BD33" s="30">
        <f t="shared" si="22"/>
        <v>1300000</v>
      </c>
      <c r="BE33" s="30">
        <v>1300000</v>
      </c>
      <c r="BF33" s="30">
        <v>1300000</v>
      </c>
      <c r="BG33" s="30">
        <v>1300000</v>
      </c>
      <c r="BH33" s="30">
        <f t="shared" si="23"/>
        <v>0</v>
      </c>
      <c r="BI33" s="30">
        <f t="shared" si="24"/>
        <v>1300000</v>
      </c>
      <c r="BJ33" s="30">
        <f t="shared" si="25"/>
        <v>0</v>
      </c>
      <c r="BK33" s="8">
        <f t="shared" si="26"/>
        <v>0</v>
      </c>
      <c r="BL33" s="30"/>
      <c r="BM33" s="34">
        <f t="shared" si="27"/>
        <v>1300000</v>
      </c>
      <c r="BN33" s="45">
        <v>0</v>
      </c>
      <c r="BO33" s="32">
        <f t="shared" si="28"/>
        <v>-1300000</v>
      </c>
      <c r="BP33" s="45">
        <v>0</v>
      </c>
      <c r="BQ33" s="48">
        <f t="shared" si="29"/>
        <v>-1300000</v>
      </c>
      <c r="BR33" s="48">
        <f t="shared" si="30"/>
        <v>0</v>
      </c>
      <c r="BS33" s="45">
        <v>400000</v>
      </c>
      <c r="BT33" s="49">
        <f t="shared" si="31"/>
        <v>-900000</v>
      </c>
      <c r="BU33" s="49">
        <f t="shared" si="32"/>
        <v>400000</v>
      </c>
      <c r="BV33" s="49">
        <f t="shared" si="33"/>
        <v>400000</v>
      </c>
      <c r="BW33" s="45">
        <v>900000</v>
      </c>
      <c r="BX33" s="48">
        <f t="shared" si="34"/>
        <v>-400000</v>
      </c>
      <c r="BY33" s="48">
        <f t="shared" si="35"/>
        <v>900000</v>
      </c>
      <c r="BZ33" s="48">
        <f t="shared" si="36"/>
        <v>500000</v>
      </c>
      <c r="CA33" s="45">
        <f>900000+400000</f>
        <v>1300000</v>
      </c>
      <c r="CB33" s="8">
        <f t="shared" si="37"/>
        <v>0</v>
      </c>
      <c r="CC33" s="8">
        <f t="shared" si="38"/>
        <v>1300000</v>
      </c>
      <c r="CD33" s="8">
        <f t="shared" si="6"/>
        <v>900000</v>
      </c>
      <c r="CE33" s="8">
        <f t="shared" si="39"/>
        <v>400000</v>
      </c>
      <c r="CF33" s="45">
        <v>1300000</v>
      </c>
      <c r="CG33" s="8">
        <f t="shared" si="40"/>
        <v>0</v>
      </c>
      <c r="CH33" s="8">
        <f t="shared" si="41"/>
        <v>1300000</v>
      </c>
      <c r="CI33" s="8">
        <f t="shared" si="42"/>
        <v>900000</v>
      </c>
      <c r="CJ33" s="8">
        <f t="shared" si="43"/>
        <v>0</v>
      </c>
      <c r="CK33" s="45">
        <v>1300000</v>
      </c>
      <c r="CL33" s="8">
        <f t="shared" si="7"/>
        <v>0</v>
      </c>
      <c r="CM33" s="8">
        <f t="shared" si="44"/>
        <v>1300000</v>
      </c>
      <c r="CN33" s="8">
        <f t="shared" si="45"/>
        <v>0</v>
      </c>
      <c r="CO33" s="45">
        <v>0</v>
      </c>
      <c r="CP33" s="45">
        <f t="shared" si="46"/>
        <v>0</v>
      </c>
      <c r="CQ33" s="8">
        <f t="shared" si="47"/>
        <v>-1300000</v>
      </c>
      <c r="CR33" s="45">
        <v>0</v>
      </c>
      <c r="CS33" s="32">
        <v>400000</v>
      </c>
      <c r="CT33" s="45">
        <f t="shared" si="48"/>
        <v>400000</v>
      </c>
      <c r="CU33" s="8">
        <f t="shared" si="49"/>
        <v>-900000</v>
      </c>
      <c r="CV33" s="45">
        <f t="shared" si="50"/>
        <v>400000</v>
      </c>
      <c r="CW33" s="45">
        <f t="shared" si="51"/>
        <v>400000</v>
      </c>
      <c r="CX33" s="45">
        <v>1300000</v>
      </c>
      <c r="CY33" s="8">
        <f t="shared" si="52"/>
        <v>0</v>
      </c>
      <c r="CZ33" s="45">
        <f t="shared" si="53"/>
        <v>1300000</v>
      </c>
      <c r="DA33" s="45">
        <f t="shared" si="54"/>
        <v>900000</v>
      </c>
      <c r="DB33" s="45">
        <v>1300000</v>
      </c>
      <c r="DC33" s="8">
        <f t="shared" si="55"/>
        <v>0</v>
      </c>
      <c r="DD33" s="45">
        <f t="shared" si="56"/>
        <v>1300000</v>
      </c>
      <c r="DE33" s="45">
        <f t="shared" si="57"/>
        <v>900000</v>
      </c>
      <c r="DF33" s="45">
        <f t="shared" si="58"/>
        <v>0</v>
      </c>
      <c r="DG33" s="45">
        <v>1300000</v>
      </c>
      <c r="DH33" s="47">
        <f t="shared" si="59"/>
        <v>0</v>
      </c>
      <c r="DI33" s="45">
        <f t="shared" si="60"/>
        <v>1300000</v>
      </c>
      <c r="DJ33" s="45">
        <f t="shared" si="61"/>
        <v>900000</v>
      </c>
      <c r="DK33" s="45">
        <f t="shared" si="62"/>
        <v>0</v>
      </c>
      <c r="DL33" s="45"/>
      <c r="DM33" s="45">
        <f t="shared" si="63"/>
        <v>1300000</v>
      </c>
      <c r="DN33" s="45">
        <v>1300000</v>
      </c>
      <c r="DO33" s="45">
        <f t="shared" si="64"/>
        <v>0</v>
      </c>
      <c r="DP33" s="45"/>
      <c r="DQ33" s="45">
        <v>-1300000</v>
      </c>
      <c r="DR33" s="45">
        <f t="shared" si="65"/>
        <v>0</v>
      </c>
      <c r="DS33" s="45">
        <f t="shared" si="66"/>
        <v>-1300000</v>
      </c>
      <c r="DT33" s="45"/>
      <c r="DU33" s="45">
        <f t="shared" si="67"/>
        <v>0</v>
      </c>
      <c r="DV33" s="45">
        <f t="shared" si="68"/>
        <v>-1300000</v>
      </c>
      <c r="DW33" s="45">
        <v>0</v>
      </c>
      <c r="DX33" s="45">
        <v>0</v>
      </c>
      <c r="DY33" s="9"/>
      <c r="DZ33" s="8">
        <f t="shared" si="69"/>
        <v>0</v>
      </c>
      <c r="EA33" s="47">
        <v>0</v>
      </c>
      <c r="EB33" s="8">
        <f t="shared" si="70"/>
        <v>0</v>
      </c>
      <c r="EC33" s="8">
        <f t="shared" si="71"/>
        <v>0</v>
      </c>
      <c r="ED33" s="73"/>
      <c r="EE33" s="44">
        <v>400000</v>
      </c>
      <c r="EF33" s="30">
        <f t="shared" si="72"/>
        <v>400000</v>
      </c>
      <c r="EG33" s="30">
        <f t="shared" si="73"/>
        <v>400000</v>
      </c>
      <c r="EH33" s="30">
        <f t="shared" si="74"/>
        <v>400000</v>
      </c>
      <c r="EI33" s="44">
        <v>1300000</v>
      </c>
      <c r="EJ33" s="30">
        <f t="shared" si="75"/>
        <v>1300000</v>
      </c>
      <c r="EK33" s="30">
        <f t="shared" si="76"/>
        <v>1300000</v>
      </c>
      <c r="EL33" s="30">
        <f t="shared" si="77"/>
        <v>900000</v>
      </c>
      <c r="EM33" s="44">
        <v>1300000</v>
      </c>
      <c r="EN33" s="30">
        <f t="shared" si="95"/>
        <v>1300000</v>
      </c>
      <c r="EO33" s="30">
        <f t="shared" si="96"/>
        <v>1300000</v>
      </c>
      <c r="EP33" s="30">
        <f t="shared" si="97"/>
        <v>900000</v>
      </c>
      <c r="EQ33" s="30">
        <f t="shared" si="78"/>
        <v>0</v>
      </c>
      <c r="ER33" s="44">
        <v>1300000</v>
      </c>
      <c r="ES33" s="30">
        <f t="shared" si="79"/>
        <v>1300000</v>
      </c>
      <c r="ET33" s="30">
        <f t="shared" si="80"/>
        <v>1300000</v>
      </c>
      <c r="EU33" s="30">
        <f t="shared" si="81"/>
        <v>900000</v>
      </c>
      <c r="EV33" s="30">
        <f t="shared" si="82"/>
        <v>0</v>
      </c>
      <c r="EW33" s="44">
        <v>1300000</v>
      </c>
      <c r="EX33" s="30">
        <f t="shared" si="83"/>
        <v>1300000</v>
      </c>
      <c r="EY33" s="30">
        <f t="shared" si="84"/>
        <v>0</v>
      </c>
      <c r="EZ33" s="30">
        <f t="shared" si="8"/>
        <v>0</v>
      </c>
      <c r="FA33" s="44">
        <v>1300000</v>
      </c>
      <c r="FB33" s="30">
        <f t="shared" si="85"/>
        <v>1300000</v>
      </c>
      <c r="FC33" s="30"/>
      <c r="FD33" s="30">
        <f t="shared" si="86"/>
        <v>1300000</v>
      </c>
      <c r="FE33" s="30"/>
      <c r="FF33" s="30"/>
      <c r="FG33" s="30">
        <f t="shared" si="87"/>
        <v>1300000</v>
      </c>
      <c r="FH33" s="31">
        <v>0</v>
      </c>
      <c r="FI33" s="30">
        <f t="shared" si="88"/>
        <v>-1300000</v>
      </c>
      <c r="FJ33" s="30"/>
      <c r="FK33" s="30">
        <v>0</v>
      </c>
      <c r="FL33" s="44">
        <f t="shared" si="89"/>
        <v>-1300000</v>
      </c>
      <c r="FM33" s="44">
        <f t="shared" si="90"/>
        <v>0</v>
      </c>
      <c r="FN33" s="44"/>
      <c r="FO33" s="9"/>
    </row>
    <row r="34" spans="1:171" ht="25.5">
      <c r="A34" s="46" t="s">
        <v>258</v>
      </c>
      <c r="B34" s="23"/>
      <c r="C34" s="61" t="s">
        <v>259</v>
      </c>
      <c r="D34" s="25"/>
      <c r="E34" s="26"/>
      <c r="F34" s="26"/>
      <c r="G34" s="26"/>
      <c r="H34" s="26"/>
      <c r="I34" s="26"/>
      <c r="J34" s="27"/>
      <c r="K34" s="27"/>
      <c r="L34" s="27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9"/>
      <c r="X34" s="29"/>
      <c r="Y34" s="29"/>
      <c r="Z34" s="30"/>
      <c r="AA34" s="30"/>
      <c r="AB34" s="30"/>
      <c r="AC34" s="30"/>
      <c r="AD34" s="31"/>
      <c r="AE34" s="30"/>
      <c r="AF34" s="30"/>
      <c r="AG34" s="30"/>
      <c r="AH34" s="31"/>
      <c r="AI34" s="31"/>
      <c r="AJ34" s="30"/>
      <c r="AK34" s="30"/>
      <c r="AL34" s="30"/>
      <c r="AM34" s="31"/>
      <c r="AN34" s="31"/>
      <c r="AO34" s="31"/>
      <c r="AP34" s="30"/>
      <c r="AQ34" s="30"/>
      <c r="AR34" s="30"/>
      <c r="AS34" s="30"/>
      <c r="AT34" s="30"/>
      <c r="AU34" s="30"/>
      <c r="AV34" s="30"/>
      <c r="AW34" s="30"/>
      <c r="AX34" s="30"/>
      <c r="AY34" s="31"/>
      <c r="AZ34" s="31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8"/>
      <c r="BL34" s="30"/>
      <c r="BM34" s="34"/>
      <c r="BN34" s="45"/>
      <c r="BO34" s="32"/>
      <c r="BP34" s="45"/>
      <c r="BQ34" s="48"/>
      <c r="BR34" s="48"/>
      <c r="BS34" s="45"/>
      <c r="BT34" s="49"/>
      <c r="BU34" s="49"/>
      <c r="BV34" s="49"/>
      <c r="BW34" s="45"/>
      <c r="BX34" s="48"/>
      <c r="BY34" s="48"/>
      <c r="BZ34" s="48"/>
      <c r="CA34" s="45"/>
      <c r="CB34" s="8"/>
      <c r="CC34" s="8"/>
      <c r="CD34" s="8"/>
      <c r="CE34" s="8"/>
      <c r="CF34" s="45"/>
      <c r="CG34" s="8"/>
      <c r="CH34" s="8"/>
      <c r="CI34" s="8"/>
      <c r="CJ34" s="8"/>
      <c r="CK34" s="45"/>
      <c r="CL34" s="8"/>
      <c r="CM34" s="8"/>
      <c r="CN34" s="8"/>
      <c r="CO34" s="45"/>
      <c r="CP34" s="45"/>
      <c r="CQ34" s="8"/>
      <c r="CR34" s="45"/>
      <c r="CS34" s="32"/>
      <c r="CT34" s="45"/>
      <c r="CU34" s="8"/>
      <c r="CV34" s="45"/>
      <c r="CW34" s="45"/>
      <c r="CX34" s="45"/>
      <c r="CY34" s="8"/>
      <c r="CZ34" s="45"/>
      <c r="DA34" s="45"/>
      <c r="DB34" s="45"/>
      <c r="DC34" s="8"/>
      <c r="DD34" s="45"/>
      <c r="DE34" s="45"/>
      <c r="DF34" s="45"/>
      <c r="DG34" s="45"/>
      <c r="DH34" s="47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>
        <v>500000</v>
      </c>
      <c r="DY34" s="9"/>
      <c r="DZ34" s="8">
        <f t="shared" si="69"/>
        <v>500000</v>
      </c>
      <c r="EA34" s="47">
        <v>0</v>
      </c>
      <c r="EB34" s="8">
        <f t="shared" si="70"/>
        <v>0</v>
      </c>
      <c r="EC34" s="8">
        <f t="shared" si="71"/>
        <v>-500000</v>
      </c>
      <c r="ED34" s="73"/>
      <c r="EE34" s="44">
        <v>0</v>
      </c>
      <c r="EF34" s="30">
        <f t="shared" si="72"/>
        <v>0</v>
      </c>
      <c r="EG34" s="30">
        <f t="shared" si="73"/>
        <v>-500000</v>
      </c>
      <c r="EH34" s="30">
        <f t="shared" si="74"/>
        <v>0</v>
      </c>
      <c r="EI34" s="44">
        <v>0</v>
      </c>
      <c r="EJ34" s="30">
        <f t="shared" si="75"/>
        <v>0</v>
      </c>
      <c r="EK34" s="30">
        <f t="shared" si="76"/>
        <v>-500000</v>
      </c>
      <c r="EL34" s="30">
        <f t="shared" si="77"/>
        <v>0</v>
      </c>
      <c r="EM34" s="44">
        <v>0</v>
      </c>
      <c r="EN34" s="30">
        <f t="shared" si="95"/>
        <v>0</v>
      </c>
      <c r="EO34" s="30">
        <f t="shared" si="96"/>
        <v>-500000</v>
      </c>
      <c r="EP34" s="30">
        <f t="shared" si="97"/>
        <v>0</v>
      </c>
      <c r="EQ34" s="30">
        <f t="shared" si="78"/>
        <v>0</v>
      </c>
      <c r="ER34" s="44">
        <v>0</v>
      </c>
      <c r="ES34" s="30">
        <f t="shared" si="79"/>
        <v>0</v>
      </c>
      <c r="ET34" s="30">
        <f t="shared" si="80"/>
        <v>-500000</v>
      </c>
      <c r="EU34" s="30">
        <f t="shared" si="81"/>
        <v>0</v>
      </c>
      <c r="EV34" s="30">
        <f t="shared" si="82"/>
        <v>0</v>
      </c>
      <c r="EW34" s="44">
        <v>0</v>
      </c>
      <c r="EX34" s="30">
        <f t="shared" si="83"/>
        <v>0</v>
      </c>
      <c r="EY34" s="30">
        <f t="shared" si="84"/>
        <v>0</v>
      </c>
      <c r="EZ34" s="30">
        <f t="shared" si="8"/>
        <v>0</v>
      </c>
      <c r="FA34" s="44">
        <v>0</v>
      </c>
      <c r="FB34" s="30">
        <f t="shared" si="85"/>
        <v>0</v>
      </c>
      <c r="FC34" s="30"/>
      <c r="FD34" s="30">
        <f t="shared" si="86"/>
        <v>0</v>
      </c>
      <c r="FE34" s="30"/>
      <c r="FF34" s="30"/>
      <c r="FG34" s="30">
        <f t="shared" si="87"/>
        <v>0</v>
      </c>
      <c r="FH34" s="31">
        <v>0</v>
      </c>
      <c r="FI34" s="30">
        <f t="shared" si="88"/>
        <v>0</v>
      </c>
      <c r="FJ34" s="30"/>
      <c r="FK34" s="30">
        <v>0</v>
      </c>
      <c r="FL34" s="44">
        <f t="shared" si="89"/>
        <v>0</v>
      </c>
      <c r="FM34" s="44">
        <f t="shared" si="90"/>
        <v>0</v>
      </c>
      <c r="FN34" s="44"/>
      <c r="FO34" s="9"/>
    </row>
    <row r="35" spans="1:171" ht="12.75">
      <c r="A35" s="46" t="s">
        <v>261</v>
      </c>
      <c r="B35" s="23"/>
      <c r="C35" s="61" t="s">
        <v>260</v>
      </c>
      <c r="D35" s="25"/>
      <c r="E35" s="26"/>
      <c r="F35" s="26"/>
      <c r="G35" s="26"/>
      <c r="H35" s="26"/>
      <c r="I35" s="26"/>
      <c r="J35" s="27"/>
      <c r="K35" s="27"/>
      <c r="L35" s="27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  <c r="X35" s="29"/>
      <c r="Y35" s="29"/>
      <c r="Z35" s="30"/>
      <c r="AA35" s="30"/>
      <c r="AB35" s="30"/>
      <c r="AC35" s="30"/>
      <c r="AD35" s="31"/>
      <c r="AE35" s="30"/>
      <c r="AF35" s="30"/>
      <c r="AG35" s="30"/>
      <c r="AH35" s="31"/>
      <c r="AI35" s="31"/>
      <c r="AJ35" s="30"/>
      <c r="AK35" s="30"/>
      <c r="AL35" s="30"/>
      <c r="AM35" s="31"/>
      <c r="AN35" s="31"/>
      <c r="AO35" s="31"/>
      <c r="AP35" s="30"/>
      <c r="AQ35" s="30"/>
      <c r="AR35" s="30"/>
      <c r="AS35" s="30"/>
      <c r="AT35" s="30"/>
      <c r="AU35" s="30"/>
      <c r="AV35" s="30"/>
      <c r="AW35" s="30"/>
      <c r="AX35" s="30"/>
      <c r="AY35" s="31"/>
      <c r="AZ35" s="31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8"/>
      <c r="BL35" s="30"/>
      <c r="BM35" s="34"/>
      <c r="BN35" s="45"/>
      <c r="BO35" s="32"/>
      <c r="BP35" s="45"/>
      <c r="BQ35" s="48"/>
      <c r="BR35" s="48"/>
      <c r="BS35" s="45"/>
      <c r="BT35" s="49"/>
      <c r="BU35" s="49"/>
      <c r="BV35" s="49"/>
      <c r="BW35" s="45"/>
      <c r="BX35" s="48"/>
      <c r="BY35" s="48"/>
      <c r="BZ35" s="48"/>
      <c r="CA35" s="45"/>
      <c r="CB35" s="8"/>
      <c r="CC35" s="8"/>
      <c r="CD35" s="8"/>
      <c r="CE35" s="8"/>
      <c r="CF35" s="45"/>
      <c r="CG35" s="8"/>
      <c r="CH35" s="8"/>
      <c r="CI35" s="8"/>
      <c r="CJ35" s="8"/>
      <c r="CK35" s="45"/>
      <c r="CL35" s="8"/>
      <c r="CM35" s="8"/>
      <c r="CN35" s="8"/>
      <c r="CO35" s="45"/>
      <c r="CP35" s="45"/>
      <c r="CQ35" s="8"/>
      <c r="CR35" s="45"/>
      <c r="CS35" s="32"/>
      <c r="CT35" s="45"/>
      <c r="CU35" s="8"/>
      <c r="CV35" s="45"/>
      <c r="CW35" s="45"/>
      <c r="CX35" s="45"/>
      <c r="CY35" s="8"/>
      <c r="CZ35" s="45"/>
      <c r="DA35" s="45"/>
      <c r="DB35" s="45"/>
      <c r="DC35" s="8"/>
      <c r="DD35" s="45"/>
      <c r="DE35" s="45"/>
      <c r="DF35" s="45"/>
      <c r="DG35" s="45"/>
      <c r="DH35" s="47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>
        <v>200000</v>
      </c>
      <c r="DY35" s="9"/>
      <c r="DZ35" s="8">
        <f t="shared" si="69"/>
        <v>200000</v>
      </c>
      <c r="EA35" s="47">
        <v>0</v>
      </c>
      <c r="EB35" s="8">
        <f t="shared" si="70"/>
        <v>0</v>
      </c>
      <c r="EC35" s="8">
        <f t="shared" si="71"/>
        <v>-200000</v>
      </c>
      <c r="ED35" s="73"/>
      <c r="EE35" s="44">
        <v>0</v>
      </c>
      <c r="EF35" s="30">
        <f t="shared" si="72"/>
        <v>0</v>
      </c>
      <c r="EG35" s="30">
        <f t="shared" si="73"/>
        <v>-200000</v>
      </c>
      <c r="EH35" s="30">
        <f t="shared" si="74"/>
        <v>0</v>
      </c>
      <c r="EI35" s="44">
        <v>0</v>
      </c>
      <c r="EJ35" s="30">
        <f t="shared" si="75"/>
        <v>0</v>
      </c>
      <c r="EK35" s="30">
        <f t="shared" si="76"/>
        <v>-200000</v>
      </c>
      <c r="EL35" s="30">
        <f t="shared" si="77"/>
        <v>0</v>
      </c>
      <c r="EM35" s="44">
        <v>0</v>
      </c>
      <c r="EN35" s="30">
        <f t="shared" si="95"/>
        <v>0</v>
      </c>
      <c r="EO35" s="30">
        <f t="shared" si="96"/>
        <v>-200000</v>
      </c>
      <c r="EP35" s="30">
        <f t="shared" si="97"/>
        <v>0</v>
      </c>
      <c r="EQ35" s="30">
        <f t="shared" si="78"/>
        <v>0</v>
      </c>
      <c r="ER35" s="44">
        <v>0</v>
      </c>
      <c r="ES35" s="30">
        <f t="shared" si="79"/>
        <v>0</v>
      </c>
      <c r="ET35" s="30">
        <f t="shared" si="80"/>
        <v>-200000</v>
      </c>
      <c r="EU35" s="30">
        <f t="shared" si="81"/>
        <v>0</v>
      </c>
      <c r="EV35" s="30">
        <f t="shared" si="82"/>
        <v>0</v>
      </c>
      <c r="EW35" s="44">
        <v>0</v>
      </c>
      <c r="EX35" s="30">
        <f t="shared" si="83"/>
        <v>0</v>
      </c>
      <c r="EY35" s="30">
        <f t="shared" si="84"/>
        <v>0</v>
      </c>
      <c r="EZ35" s="30">
        <f t="shared" si="8"/>
        <v>0</v>
      </c>
      <c r="FA35" s="44">
        <v>0</v>
      </c>
      <c r="FB35" s="30">
        <f t="shared" si="85"/>
        <v>0</v>
      </c>
      <c r="FC35" s="30"/>
      <c r="FD35" s="30">
        <f t="shared" si="86"/>
        <v>0</v>
      </c>
      <c r="FE35" s="30"/>
      <c r="FF35" s="30"/>
      <c r="FG35" s="30">
        <f t="shared" si="87"/>
        <v>0</v>
      </c>
      <c r="FH35" s="31">
        <v>0</v>
      </c>
      <c r="FI35" s="30">
        <f t="shared" si="88"/>
        <v>0</v>
      </c>
      <c r="FJ35" s="30"/>
      <c r="FK35" s="30">
        <v>0</v>
      </c>
      <c r="FL35" s="44">
        <f t="shared" si="89"/>
        <v>0</v>
      </c>
      <c r="FM35" s="44">
        <f t="shared" si="90"/>
        <v>0</v>
      </c>
      <c r="FN35" s="44"/>
      <c r="FO35" s="9"/>
    </row>
    <row r="36" spans="1:171" ht="12.75">
      <c r="A36" s="22" t="s">
        <v>155</v>
      </c>
      <c r="B36" s="23"/>
      <c r="C36" s="61" t="s">
        <v>157</v>
      </c>
      <c r="D36" s="25"/>
      <c r="E36" s="26"/>
      <c r="F36" s="26"/>
      <c r="G36" s="26"/>
      <c r="H36" s="26"/>
      <c r="I36" s="26"/>
      <c r="J36" s="33"/>
      <c r="K36" s="27"/>
      <c r="L36" s="27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9"/>
      <c r="X36" s="29"/>
      <c r="Y36" s="29">
        <f t="shared" si="10"/>
        <v>0</v>
      </c>
      <c r="Z36" s="30"/>
      <c r="AA36" s="30"/>
      <c r="AB36" s="30"/>
      <c r="AC36" s="30"/>
      <c r="AD36" s="31"/>
      <c r="AE36" s="30"/>
      <c r="AF36" s="30"/>
      <c r="AG36" s="30"/>
      <c r="AH36" s="31"/>
      <c r="AI36" s="31"/>
      <c r="AJ36" s="30"/>
      <c r="AK36" s="30"/>
      <c r="AL36" s="30"/>
      <c r="AM36" s="31"/>
      <c r="AN36" s="31"/>
      <c r="AO36" s="31"/>
      <c r="AP36" s="30"/>
      <c r="AQ36" s="30"/>
      <c r="AR36" s="30"/>
      <c r="AS36" s="30"/>
      <c r="AT36" s="30"/>
      <c r="AU36" s="30">
        <f t="shared" si="18"/>
        <v>0</v>
      </c>
      <c r="AV36" s="30"/>
      <c r="AW36" s="30"/>
      <c r="AX36" s="30">
        <v>250000</v>
      </c>
      <c r="AY36" s="31">
        <f t="shared" si="93"/>
        <v>250000</v>
      </c>
      <c r="AZ36" s="31">
        <f t="shared" si="94"/>
        <v>250000</v>
      </c>
      <c r="BA36" s="30">
        <v>250000</v>
      </c>
      <c r="BB36" s="30">
        <f t="shared" si="20"/>
        <v>250000</v>
      </c>
      <c r="BC36" s="30">
        <f t="shared" si="21"/>
        <v>250000</v>
      </c>
      <c r="BD36" s="30">
        <f t="shared" si="22"/>
        <v>0</v>
      </c>
      <c r="BE36" s="30"/>
      <c r="BF36" s="30">
        <v>250000</v>
      </c>
      <c r="BG36" s="30">
        <v>250000</v>
      </c>
      <c r="BH36" s="30">
        <f t="shared" si="23"/>
        <v>250000</v>
      </c>
      <c r="BI36" s="30">
        <f t="shared" si="24"/>
        <v>250000</v>
      </c>
      <c r="BJ36" s="30">
        <f t="shared" si="25"/>
        <v>0</v>
      </c>
      <c r="BK36" s="8">
        <f t="shared" si="26"/>
        <v>250000</v>
      </c>
      <c r="BL36" s="30"/>
      <c r="BM36" s="34">
        <f t="shared" si="27"/>
        <v>250000</v>
      </c>
      <c r="BN36" s="45">
        <v>250000</v>
      </c>
      <c r="BO36" s="32">
        <f t="shared" si="28"/>
        <v>0</v>
      </c>
      <c r="BP36" s="45">
        <v>250000</v>
      </c>
      <c r="BQ36" s="48">
        <f t="shared" si="29"/>
        <v>0</v>
      </c>
      <c r="BR36" s="48">
        <f t="shared" si="30"/>
        <v>0</v>
      </c>
      <c r="BS36" s="45">
        <f>BP36</f>
        <v>250000</v>
      </c>
      <c r="BT36" s="49">
        <f t="shared" si="31"/>
        <v>0</v>
      </c>
      <c r="BU36" s="49">
        <f t="shared" si="32"/>
        <v>0</v>
      </c>
      <c r="BV36" s="49">
        <f t="shared" si="33"/>
        <v>0</v>
      </c>
      <c r="BW36" s="45">
        <v>0</v>
      </c>
      <c r="BX36" s="48">
        <f t="shared" si="34"/>
        <v>-250000</v>
      </c>
      <c r="BY36" s="48">
        <f t="shared" si="35"/>
        <v>-250000</v>
      </c>
      <c r="BZ36" s="48">
        <f t="shared" si="36"/>
        <v>-250000</v>
      </c>
      <c r="CA36" s="45">
        <v>0</v>
      </c>
      <c r="CB36" s="8">
        <f t="shared" si="37"/>
        <v>-250000</v>
      </c>
      <c r="CC36" s="8">
        <f t="shared" si="38"/>
        <v>-250000</v>
      </c>
      <c r="CD36" s="8">
        <f t="shared" si="6"/>
        <v>-250000</v>
      </c>
      <c r="CE36" s="8">
        <f t="shared" si="39"/>
        <v>0</v>
      </c>
      <c r="CF36" s="45">
        <v>250000</v>
      </c>
      <c r="CG36" s="8">
        <f t="shared" si="40"/>
        <v>0</v>
      </c>
      <c r="CH36" s="8">
        <f t="shared" si="41"/>
        <v>0</v>
      </c>
      <c r="CI36" s="8">
        <f t="shared" si="42"/>
        <v>0</v>
      </c>
      <c r="CJ36" s="8">
        <f t="shared" si="43"/>
        <v>250000</v>
      </c>
      <c r="CK36" s="45">
        <v>250000</v>
      </c>
      <c r="CL36" s="8">
        <f t="shared" si="7"/>
        <v>0</v>
      </c>
      <c r="CM36" s="8">
        <f t="shared" si="44"/>
        <v>0</v>
      </c>
      <c r="CN36" s="8">
        <f t="shared" si="45"/>
        <v>0</v>
      </c>
      <c r="CO36" s="45">
        <f>CK36</f>
        <v>250000</v>
      </c>
      <c r="CP36" s="45">
        <f t="shared" si="46"/>
        <v>0</v>
      </c>
      <c r="CQ36" s="8">
        <f t="shared" si="47"/>
        <v>0</v>
      </c>
      <c r="CR36" s="45">
        <v>250000</v>
      </c>
      <c r="CS36" s="32"/>
      <c r="CT36" s="45">
        <f t="shared" si="48"/>
        <v>250000</v>
      </c>
      <c r="CU36" s="8">
        <f t="shared" si="49"/>
        <v>0</v>
      </c>
      <c r="CV36" s="45">
        <f t="shared" si="50"/>
        <v>0</v>
      </c>
      <c r="CW36" s="45">
        <f t="shared" si="51"/>
        <v>0</v>
      </c>
      <c r="CX36" s="45">
        <v>0</v>
      </c>
      <c r="CY36" s="8">
        <f t="shared" si="52"/>
        <v>-250000</v>
      </c>
      <c r="CZ36" s="45">
        <f t="shared" si="53"/>
        <v>-250000</v>
      </c>
      <c r="DA36" s="45">
        <f t="shared" si="54"/>
        <v>-250000</v>
      </c>
      <c r="DB36" s="45">
        <v>250000</v>
      </c>
      <c r="DC36" s="8">
        <f t="shared" si="55"/>
        <v>0</v>
      </c>
      <c r="DD36" s="45">
        <f t="shared" si="56"/>
        <v>0</v>
      </c>
      <c r="DE36" s="45">
        <f t="shared" si="57"/>
        <v>0</v>
      </c>
      <c r="DF36" s="45">
        <f t="shared" si="58"/>
        <v>250000</v>
      </c>
      <c r="DG36" s="45">
        <v>250000</v>
      </c>
      <c r="DH36" s="47">
        <f t="shared" si="59"/>
        <v>0</v>
      </c>
      <c r="DI36" s="45">
        <f t="shared" si="60"/>
        <v>0</v>
      </c>
      <c r="DJ36" s="45">
        <f t="shared" si="61"/>
        <v>0</v>
      </c>
      <c r="DK36" s="45">
        <f t="shared" si="62"/>
        <v>0</v>
      </c>
      <c r="DL36" s="45"/>
      <c r="DM36" s="45">
        <f t="shared" si="63"/>
        <v>250000</v>
      </c>
      <c r="DN36" s="45">
        <v>250000</v>
      </c>
      <c r="DO36" s="45">
        <f t="shared" si="64"/>
        <v>0</v>
      </c>
      <c r="DP36" s="45"/>
      <c r="DQ36" s="45">
        <v>-3750</v>
      </c>
      <c r="DR36" s="45">
        <f t="shared" si="65"/>
        <v>246250</v>
      </c>
      <c r="DS36" s="45">
        <f t="shared" si="66"/>
        <v>-3750</v>
      </c>
      <c r="DT36" s="45"/>
      <c r="DU36" s="45">
        <f t="shared" si="67"/>
        <v>246250</v>
      </c>
      <c r="DV36" s="45">
        <f t="shared" si="68"/>
        <v>-3750</v>
      </c>
      <c r="DW36" s="45">
        <v>246250</v>
      </c>
      <c r="DX36" s="45">
        <v>0</v>
      </c>
      <c r="DY36" s="9"/>
      <c r="DZ36" s="8">
        <f t="shared" si="69"/>
        <v>-246250</v>
      </c>
      <c r="EA36" s="47"/>
      <c r="EB36" s="8">
        <f t="shared" si="70"/>
        <v>-246250</v>
      </c>
      <c r="EC36" s="8">
        <f t="shared" si="71"/>
        <v>0</v>
      </c>
      <c r="ED36" s="73"/>
      <c r="EE36" s="44">
        <v>0</v>
      </c>
      <c r="EF36" s="30">
        <f t="shared" si="72"/>
        <v>-246250</v>
      </c>
      <c r="EG36" s="30">
        <f t="shared" si="73"/>
        <v>0</v>
      </c>
      <c r="EH36" s="30">
        <f t="shared" si="74"/>
        <v>0</v>
      </c>
      <c r="EI36" s="44">
        <v>222000</v>
      </c>
      <c r="EJ36" s="30">
        <f t="shared" si="75"/>
        <v>-24250</v>
      </c>
      <c r="EK36" s="30">
        <f t="shared" si="76"/>
        <v>222000</v>
      </c>
      <c r="EL36" s="30">
        <f t="shared" si="77"/>
        <v>222000</v>
      </c>
      <c r="EM36" s="44">
        <v>222000</v>
      </c>
      <c r="EN36" s="30">
        <f t="shared" si="95"/>
        <v>-24250</v>
      </c>
      <c r="EO36" s="30">
        <f t="shared" si="96"/>
        <v>222000</v>
      </c>
      <c r="EP36" s="30">
        <f t="shared" si="97"/>
        <v>222000</v>
      </c>
      <c r="EQ36" s="30">
        <f t="shared" si="78"/>
        <v>0</v>
      </c>
      <c r="ER36" s="44">
        <v>0</v>
      </c>
      <c r="ES36" s="30">
        <f t="shared" si="79"/>
        <v>-246250</v>
      </c>
      <c r="ET36" s="30">
        <f t="shared" si="80"/>
        <v>0</v>
      </c>
      <c r="EU36" s="30">
        <f t="shared" si="81"/>
        <v>0</v>
      </c>
      <c r="EV36" s="30">
        <f t="shared" si="82"/>
        <v>-222000</v>
      </c>
      <c r="EW36" s="44">
        <v>0</v>
      </c>
      <c r="EX36" s="30">
        <f t="shared" si="83"/>
        <v>-246250</v>
      </c>
      <c r="EY36" s="30">
        <f t="shared" si="84"/>
        <v>0</v>
      </c>
      <c r="EZ36" s="30">
        <f t="shared" si="8"/>
        <v>0</v>
      </c>
      <c r="FA36" s="44">
        <v>0</v>
      </c>
      <c r="FB36" s="30">
        <f t="shared" si="85"/>
        <v>-246250</v>
      </c>
      <c r="FC36" s="30"/>
      <c r="FD36" s="30">
        <f t="shared" si="86"/>
        <v>0</v>
      </c>
      <c r="FE36" s="30"/>
      <c r="FF36" s="30"/>
      <c r="FG36" s="30">
        <f t="shared" si="87"/>
        <v>0</v>
      </c>
      <c r="FH36" s="31">
        <v>0</v>
      </c>
      <c r="FI36" s="30">
        <f t="shared" si="88"/>
        <v>0</v>
      </c>
      <c r="FJ36" s="30"/>
      <c r="FK36" s="30">
        <v>0</v>
      </c>
      <c r="FL36" s="44">
        <f t="shared" si="89"/>
        <v>0</v>
      </c>
      <c r="FM36" s="44">
        <f t="shared" si="90"/>
        <v>0</v>
      </c>
      <c r="FN36" s="44"/>
      <c r="FO36" s="9"/>
    </row>
    <row r="37" spans="1:171" ht="25.5">
      <c r="A37" s="24" t="s">
        <v>7</v>
      </c>
      <c r="B37" s="24"/>
      <c r="C37" s="60" t="s">
        <v>254</v>
      </c>
      <c r="D37" s="25">
        <v>73790525</v>
      </c>
      <c r="E37" s="26">
        <v>79751579</v>
      </c>
      <c r="F37" s="26">
        <v>76536610</v>
      </c>
      <c r="G37" s="26">
        <v>79751579</v>
      </c>
      <c r="H37" s="26"/>
      <c r="I37" s="26">
        <f t="shared" si="0"/>
        <v>79751579</v>
      </c>
      <c r="J37" s="27">
        <v>-5174307</v>
      </c>
      <c r="K37" s="27"/>
      <c r="L37" s="27">
        <f t="shared" si="1"/>
        <v>-5174307</v>
      </c>
      <c r="M37" s="28">
        <f t="shared" si="9"/>
        <v>74577272</v>
      </c>
      <c r="N37" s="28">
        <v>74577272</v>
      </c>
      <c r="O37" s="28">
        <v>74082992</v>
      </c>
      <c r="P37" s="28">
        <v>71554914</v>
      </c>
      <c r="Q37" s="28">
        <v>71554914</v>
      </c>
      <c r="R37" s="28">
        <v>71554914</v>
      </c>
      <c r="S37" s="28">
        <v>0</v>
      </c>
      <c r="T37" s="28">
        <f t="shared" si="91"/>
        <v>0</v>
      </c>
      <c r="U37" s="28">
        <f t="shared" si="92"/>
        <v>71554914</v>
      </c>
      <c r="V37" s="28">
        <f t="shared" si="2"/>
        <v>-3022358</v>
      </c>
      <c r="W37" s="29">
        <v>71554914</v>
      </c>
      <c r="X37" s="29"/>
      <c r="Y37" s="29">
        <f t="shared" si="10"/>
        <v>71554914</v>
      </c>
      <c r="Z37" s="30">
        <v>71554914</v>
      </c>
      <c r="AA37" s="30">
        <f t="shared" si="11"/>
        <v>0</v>
      </c>
      <c r="AB37" s="30">
        <v>73215427</v>
      </c>
      <c r="AC37" s="30">
        <v>73215427</v>
      </c>
      <c r="AD37" s="31">
        <v>71554914</v>
      </c>
      <c r="AE37" s="30"/>
      <c r="AF37" s="30">
        <f>AC37-SUM(W37:X37)</f>
        <v>1660513</v>
      </c>
      <c r="AG37" s="30">
        <f>AC37-Z37</f>
        <v>1660513</v>
      </c>
      <c r="AH37" s="31">
        <v>71554914</v>
      </c>
      <c r="AI37" s="31">
        <v>71554914</v>
      </c>
      <c r="AJ37" s="30">
        <f t="shared" si="98"/>
        <v>0</v>
      </c>
      <c r="AK37" s="30">
        <f t="shared" si="12"/>
        <v>0</v>
      </c>
      <c r="AL37" s="30">
        <f t="shared" si="13"/>
        <v>-1660513</v>
      </c>
      <c r="AM37" s="31">
        <f t="shared" si="14"/>
        <v>0</v>
      </c>
      <c r="AN37" s="31">
        <f t="shared" si="15"/>
        <v>0</v>
      </c>
      <c r="AO37" s="31">
        <f t="shared" si="4"/>
        <v>-1660513</v>
      </c>
      <c r="AP37" s="30">
        <v>71554914</v>
      </c>
      <c r="AQ37" s="30">
        <f t="shared" si="5"/>
        <v>0</v>
      </c>
      <c r="AR37" s="30">
        <f t="shared" si="16"/>
        <v>0</v>
      </c>
      <c r="AS37" s="30">
        <f t="shared" si="17"/>
        <v>0</v>
      </c>
      <c r="AT37" s="30"/>
      <c r="AU37" s="30">
        <f t="shared" si="18"/>
        <v>71554914</v>
      </c>
      <c r="AV37" s="30">
        <v>71454914</v>
      </c>
      <c r="AW37" s="30">
        <f t="shared" si="19"/>
        <v>-100000</v>
      </c>
      <c r="AX37" s="30">
        <v>71554914</v>
      </c>
      <c r="AY37" s="31">
        <f t="shared" si="93"/>
        <v>0</v>
      </c>
      <c r="AZ37" s="31">
        <f t="shared" si="94"/>
        <v>100000</v>
      </c>
      <c r="BA37" s="30">
        <v>71554914</v>
      </c>
      <c r="BB37" s="30">
        <f t="shared" si="20"/>
        <v>0</v>
      </c>
      <c r="BC37" s="30">
        <f t="shared" si="21"/>
        <v>100000</v>
      </c>
      <c r="BD37" s="30">
        <f t="shared" si="22"/>
        <v>0</v>
      </c>
      <c r="BE37" s="30">
        <v>71454914</v>
      </c>
      <c r="BF37" s="30">
        <v>71454914</v>
      </c>
      <c r="BG37" s="30">
        <v>71454914</v>
      </c>
      <c r="BH37" s="30">
        <f t="shared" si="23"/>
        <v>-100000</v>
      </c>
      <c r="BI37" s="30">
        <f t="shared" si="24"/>
        <v>0</v>
      </c>
      <c r="BJ37" s="30">
        <f t="shared" si="25"/>
        <v>-100000</v>
      </c>
      <c r="BK37" s="8">
        <f t="shared" si="26"/>
        <v>0</v>
      </c>
      <c r="BL37" s="30">
        <v>1000000</v>
      </c>
      <c r="BM37" s="34">
        <f>BG37-BL37+8000000</f>
        <v>78454914</v>
      </c>
      <c r="BN37" s="45">
        <v>80270928</v>
      </c>
      <c r="BO37" s="32">
        <f t="shared" si="28"/>
        <v>1816014</v>
      </c>
      <c r="BP37" s="45">
        <v>70454914</v>
      </c>
      <c r="BQ37" s="48">
        <f t="shared" si="29"/>
        <v>-8000000</v>
      </c>
      <c r="BR37" s="48">
        <f t="shared" si="30"/>
        <v>-9816014</v>
      </c>
      <c r="BS37" s="45">
        <f t="shared" ref="BS37:BS43" si="100">BP37</f>
        <v>70454914</v>
      </c>
      <c r="BT37" s="49">
        <f t="shared" si="31"/>
        <v>-8000000</v>
      </c>
      <c r="BU37" s="49">
        <f t="shared" si="32"/>
        <v>-9816014</v>
      </c>
      <c r="BV37" s="49">
        <f t="shared" si="33"/>
        <v>0</v>
      </c>
      <c r="BW37" s="45">
        <v>76354914</v>
      </c>
      <c r="BX37" s="48">
        <f t="shared" si="34"/>
        <v>-2100000</v>
      </c>
      <c r="BY37" s="48">
        <f t="shared" si="35"/>
        <v>-3916014</v>
      </c>
      <c r="BZ37" s="48">
        <f t="shared" si="36"/>
        <v>5900000</v>
      </c>
      <c r="CA37" s="45">
        <v>76354914</v>
      </c>
      <c r="CB37" s="8">
        <f t="shared" si="37"/>
        <v>-2100000</v>
      </c>
      <c r="CC37" s="8">
        <f t="shared" si="38"/>
        <v>-3916014</v>
      </c>
      <c r="CD37" s="8">
        <f t="shared" si="6"/>
        <v>5900000</v>
      </c>
      <c r="CE37" s="8">
        <f t="shared" si="39"/>
        <v>0</v>
      </c>
      <c r="CF37" s="45">
        <v>75000000</v>
      </c>
      <c r="CG37" s="8">
        <f t="shared" si="40"/>
        <v>-3454914</v>
      </c>
      <c r="CH37" s="8">
        <f t="shared" si="41"/>
        <v>-5270928</v>
      </c>
      <c r="CI37" s="8">
        <f t="shared" si="42"/>
        <v>4545086</v>
      </c>
      <c r="CJ37" s="8">
        <f t="shared" si="43"/>
        <v>-1354914</v>
      </c>
      <c r="CK37" s="45">
        <f>75000000+27595074</f>
        <v>102595074</v>
      </c>
      <c r="CL37" s="8">
        <f t="shared" si="7"/>
        <v>24140160</v>
      </c>
      <c r="CM37" s="8">
        <f t="shared" si="44"/>
        <v>22324146</v>
      </c>
      <c r="CN37" s="8">
        <f t="shared" si="45"/>
        <v>27595074</v>
      </c>
      <c r="CO37" s="45">
        <f>CK37</f>
        <v>102595074</v>
      </c>
      <c r="CP37" s="45">
        <f t="shared" si="46"/>
        <v>22324146</v>
      </c>
      <c r="CQ37" s="8">
        <f t="shared" si="47"/>
        <v>0</v>
      </c>
      <c r="CR37" s="45">
        <v>80000000</v>
      </c>
      <c r="CS37" s="32"/>
      <c r="CT37" s="45">
        <f t="shared" si="48"/>
        <v>80000000</v>
      </c>
      <c r="CU37" s="8">
        <f t="shared" si="49"/>
        <v>-22595074</v>
      </c>
      <c r="CV37" s="45">
        <f t="shared" si="50"/>
        <v>-22595074</v>
      </c>
      <c r="CW37" s="45">
        <f t="shared" si="51"/>
        <v>0</v>
      </c>
      <c r="CX37" s="45">
        <v>80000000</v>
      </c>
      <c r="CY37" s="8">
        <f t="shared" si="52"/>
        <v>-22595074</v>
      </c>
      <c r="CZ37" s="45">
        <f t="shared" si="53"/>
        <v>-22595074</v>
      </c>
      <c r="DA37" s="45">
        <f t="shared" si="54"/>
        <v>0</v>
      </c>
      <c r="DB37" s="45">
        <v>80000000</v>
      </c>
      <c r="DC37" s="8">
        <f t="shared" si="55"/>
        <v>-22595074</v>
      </c>
      <c r="DD37" s="45">
        <f t="shared" si="56"/>
        <v>-22595074</v>
      </c>
      <c r="DE37" s="45">
        <f t="shared" si="57"/>
        <v>0</v>
      </c>
      <c r="DF37" s="45">
        <f t="shared" si="58"/>
        <v>0</v>
      </c>
      <c r="DG37" s="45">
        <v>80000000</v>
      </c>
      <c r="DH37" s="47">
        <f t="shared" si="59"/>
        <v>-22595074</v>
      </c>
      <c r="DI37" s="45">
        <f t="shared" si="60"/>
        <v>-22595074</v>
      </c>
      <c r="DJ37" s="45">
        <f t="shared" si="61"/>
        <v>0</v>
      </c>
      <c r="DK37" s="45">
        <f t="shared" si="62"/>
        <v>0</v>
      </c>
      <c r="DL37" s="45"/>
      <c r="DM37" s="45">
        <f t="shared" si="63"/>
        <v>80000000</v>
      </c>
      <c r="DN37" s="45">
        <v>80000000</v>
      </c>
      <c r="DO37" s="45">
        <f t="shared" si="64"/>
        <v>-22595074</v>
      </c>
      <c r="DP37" s="45"/>
      <c r="DQ37" s="45">
        <v>-1200000</v>
      </c>
      <c r="DR37" s="45">
        <f t="shared" si="65"/>
        <v>78800000</v>
      </c>
      <c r="DS37" s="45">
        <f t="shared" si="66"/>
        <v>-23795074</v>
      </c>
      <c r="DT37" s="45">
        <v>-1940000</v>
      </c>
      <c r="DU37" s="45">
        <f t="shared" si="67"/>
        <v>76860000</v>
      </c>
      <c r="DV37" s="45">
        <f t="shared" si="68"/>
        <v>-25735074</v>
      </c>
      <c r="DW37" s="45">
        <v>76860000</v>
      </c>
      <c r="DX37" s="45">
        <v>76860000</v>
      </c>
      <c r="DY37" s="9"/>
      <c r="DZ37" s="8">
        <f t="shared" si="69"/>
        <v>0</v>
      </c>
      <c r="EA37" s="47">
        <v>76860000</v>
      </c>
      <c r="EB37" s="8">
        <f t="shared" si="70"/>
        <v>0</v>
      </c>
      <c r="EC37" s="8">
        <f t="shared" si="71"/>
        <v>0</v>
      </c>
      <c r="ED37" s="73"/>
      <c r="EE37" s="44">
        <v>76860000</v>
      </c>
      <c r="EF37" s="30">
        <f t="shared" si="72"/>
        <v>0</v>
      </c>
      <c r="EG37" s="30">
        <f t="shared" si="73"/>
        <v>0</v>
      </c>
      <c r="EH37" s="30">
        <f t="shared" si="74"/>
        <v>0</v>
      </c>
      <c r="EI37" s="44">
        <v>80000000</v>
      </c>
      <c r="EJ37" s="30">
        <f t="shared" si="75"/>
        <v>3140000</v>
      </c>
      <c r="EK37" s="30">
        <f t="shared" si="76"/>
        <v>3140000</v>
      </c>
      <c r="EL37" s="30">
        <f t="shared" si="77"/>
        <v>3140000</v>
      </c>
      <c r="EM37" s="44">
        <f>80000000+4500000</f>
        <v>84500000</v>
      </c>
      <c r="EN37" s="30">
        <f t="shared" si="95"/>
        <v>7640000</v>
      </c>
      <c r="EO37" s="30">
        <f t="shared" si="96"/>
        <v>7640000</v>
      </c>
      <c r="EP37" s="30">
        <f t="shared" si="97"/>
        <v>7640000</v>
      </c>
      <c r="EQ37" s="30">
        <f t="shared" si="78"/>
        <v>4500000</v>
      </c>
      <c r="ER37" s="44">
        <v>80500000</v>
      </c>
      <c r="ES37" s="30">
        <f t="shared" si="79"/>
        <v>3640000</v>
      </c>
      <c r="ET37" s="30">
        <f t="shared" si="80"/>
        <v>3640000</v>
      </c>
      <c r="EU37" s="30">
        <f t="shared" si="81"/>
        <v>3640000</v>
      </c>
      <c r="EV37" s="30">
        <f t="shared" si="82"/>
        <v>-4000000</v>
      </c>
      <c r="EW37" s="44">
        <v>80500000</v>
      </c>
      <c r="EX37" s="30">
        <f t="shared" si="83"/>
        <v>3640000</v>
      </c>
      <c r="EY37" s="30">
        <f t="shared" si="84"/>
        <v>0</v>
      </c>
      <c r="EZ37" s="30">
        <f t="shared" si="8"/>
        <v>0</v>
      </c>
      <c r="FA37" s="44">
        <v>80500000</v>
      </c>
      <c r="FB37" s="30">
        <f t="shared" si="85"/>
        <v>3640000</v>
      </c>
      <c r="FC37" s="30"/>
      <c r="FD37" s="30">
        <f t="shared" si="86"/>
        <v>80500000</v>
      </c>
      <c r="FE37" s="30"/>
      <c r="FF37" s="30"/>
      <c r="FG37" s="30">
        <f t="shared" si="87"/>
        <v>80500000</v>
      </c>
      <c r="FH37" s="31">
        <v>100975474</v>
      </c>
      <c r="FI37" s="30">
        <f t="shared" si="88"/>
        <v>20475474</v>
      </c>
      <c r="FJ37" s="30"/>
      <c r="FK37" s="30">
        <v>85500000</v>
      </c>
      <c r="FL37" s="44">
        <f t="shared" si="89"/>
        <v>5000000</v>
      </c>
      <c r="FM37" s="44">
        <f t="shared" si="90"/>
        <v>-15475474</v>
      </c>
      <c r="FN37" s="44" t="s">
        <v>332</v>
      </c>
      <c r="FO37" s="9"/>
    </row>
    <row r="38" spans="1:171" ht="12.75">
      <c r="A38" s="24" t="s">
        <v>180</v>
      </c>
      <c r="B38" s="24"/>
      <c r="C38" s="60" t="s">
        <v>213</v>
      </c>
      <c r="D38" s="25"/>
      <c r="E38" s="26"/>
      <c r="F38" s="26"/>
      <c r="G38" s="26"/>
      <c r="H38" s="26"/>
      <c r="I38" s="26"/>
      <c r="J38" s="27"/>
      <c r="K38" s="27"/>
      <c r="L38" s="27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9"/>
      <c r="X38" s="29"/>
      <c r="Y38" s="29"/>
      <c r="Z38" s="30"/>
      <c r="AA38" s="30"/>
      <c r="AB38" s="30"/>
      <c r="AC38" s="30"/>
      <c r="AD38" s="31"/>
      <c r="AE38" s="30"/>
      <c r="AF38" s="30"/>
      <c r="AG38" s="30"/>
      <c r="AH38" s="31"/>
      <c r="AI38" s="31"/>
      <c r="AJ38" s="30"/>
      <c r="AK38" s="30"/>
      <c r="AL38" s="30"/>
      <c r="AM38" s="31"/>
      <c r="AN38" s="31"/>
      <c r="AO38" s="31"/>
      <c r="AP38" s="30"/>
      <c r="AQ38" s="30"/>
      <c r="AR38" s="30"/>
      <c r="AS38" s="30"/>
      <c r="AT38" s="30"/>
      <c r="AU38" s="30"/>
      <c r="AV38" s="30"/>
      <c r="AW38" s="30"/>
      <c r="AX38" s="30"/>
      <c r="AY38" s="31"/>
      <c r="AZ38" s="31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8"/>
      <c r="BL38" s="30"/>
      <c r="BM38" s="34"/>
      <c r="BN38" s="45">
        <v>1465000</v>
      </c>
      <c r="BO38" s="32">
        <f t="shared" si="28"/>
        <v>1465000</v>
      </c>
      <c r="BP38" s="45">
        <v>0</v>
      </c>
      <c r="BQ38" s="48">
        <f t="shared" si="29"/>
        <v>0</v>
      </c>
      <c r="BR38" s="48">
        <f t="shared" si="30"/>
        <v>-1465000</v>
      </c>
      <c r="BS38" s="45">
        <f t="shared" si="100"/>
        <v>0</v>
      </c>
      <c r="BT38" s="49">
        <f t="shared" si="31"/>
        <v>0</v>
      </c>
      <c r="BU38" s="49">
        <f t="shared" si="32"/>
        <v>-1465000</v>
      </c>
      <c r="BV38" s="49">
        <f t="shared" si="33"/>
        <v>0</v>
      </c>
      <c r="BW38" s="45">
        <v>0</v>
      </c>
      <c r="BX38" s="48">
        <f t="shared" si="34"/>
        <v>0</v>
      </c>
      <c r="BY38" s="48">
        <f t="shared" si="35"/>
        <v>-1465000</v>
      </c>
      <c r="BZ38" s="48">
        <f t="shared" si="36"/>
        <v>0</v>
      </c>
      <c r="CA38" s="45">
        <v>1000000</v>
      </c>
      <c r="CB38" s="8">
        <f t="shared" si="37"/>
        <v>1000000</v>
      </c>
      <c r="CC38" s="8">
        <f t="shared" si="38"/>
        <v>-465000</v>
      </c>
      <c r="CD38" s="8">
        <f t="shared" si="6"/>
        <v>1000000</v>
      </c>
      <c r="CE38" s="8">
        <f t="shared" si="39"/>
        <v>1000000</v>
      </c>
      <c r="CF38" s="45">
        <v>1000000</v>
      </c>
      <c r="CG38" s="8">
        <f t="shared" si="40"/>
        <v>1000000</v>
      </c>
      <c r="CH38" s="8">
        <f t="shared" si="41"/>
        <v>-465000</v>
      </c>
      <c r="CI38" s="8">
        <f t="shared" si="42"/>
        <v>1000000</v>
      </c>
      <c r="CJ38" s="8">
        <f t="shared" si="43"/>
        <v>0</v>
      </c>
      <c r="CK38" s="45">
        <v>1000000</v>
      </c>
      <c r="CL38" s="8">
        <f t="shared" si="7"/>
        <v>1000000</v>
      </c>
      <c r="CM38" s="8">
        <f t="shared" si="44"/>
        <v>-465000</v>
      </c>
      <c r="CN38" s="8">
        <f t="shared" si="45"/>
        <v>0</v>
      </c>
      <c r="CO38" s="45">
        <v>4604123</v>
      </c>
      <c r="CP38" s="45">
        <f t="shared" si="46"/>
        <v>3139123</v>
      </c>
      <c r="CQ38" s="8">
        <f t="shared" si="47"/>
        <v>3604123</v>
      </c>
      <c r="CR38" s="45">
        <v>0</v>
      </c>
      <c r="CS38" s="32"/>
      <c r="CT38" s="45">
        <f t="shared" si="48"/>
        <v>0</v>
      </c>
      <c r="CU38" s="8">
        <f t="shared" si="49"/>
        <v>-1000000</v>
      </c>
      <c r="CV38" s="45">
        <f t="shared" si="50"/>
        <v>-4604123</v>
      </c>
      <c r="CW38" s="45">
        <f t="shared" si="51"/>
        <v>0</v>
      </c>
      <c r="CX38" s="45">
        <v>1000000</v>
      </c>
      <c r="CY38" s="8">
        <f t="shared" si="52"/>
        <v>0</v>
      </c>
      <c r="CZ38" s="45">
        <f t="shared" si="53"/>
        <v>-3604123</v>
      </c>
      <c r="DA38" s="45">
        <f t="shared" si="54"/>
        <v>1000000</v>
      </c>
      <c r="DB38" s="45">
        <v>1000000</v>
      </c>
      <c r="DC38" s="8">
        <f t="shared" si="55"/>
        <v>0</v>
      </c>
      <c r="DD38" s="45">
        <f t="shared" si="56"/>
        <v>-3604123</v>
      </c>
      <c r="DE38" s="45">
        <f t="shared" si="57"/>
        <v>1000000</v>
      </c>
      <c r="DF38" s="45">
        <f t="shared" si="58"/>
        <v>0</v>
      </c>
      <c r="DG38" s="45">
        <v>1000000</v>
      </c>
      <c r="DH38" s="47">
        <f t="shared" si="59"/>
        <v>0</v>
      </c>
      <c r="DI38" s="45">
        <f t="shared" si="60"/>
        <v>-3604123</v>
      </c>
      <c r="DJ38" s="45">
        <f t="shared" si="61"/>
        <v>1000000</v>
      </c>
      <c r="DK38" s="45">
        <f t="shared" si="62"/>
        <v>0</v>
      </c>
      <c r="DL38" s="45"/>
      <c r="DM38" s="45">
        <f t="shared" si="63"/>
        <v>1000000</v>
      </c>
      <c r="DN38" s="45">
        <v>1000000</v>
      </c>
      <c r="DO38" s="45">
        <f t="shared" si="64"/>
        <v>0</v>
      </c>
      <c r="DP38" s="45"/>
      <c r="DQ38" s="45">
        <v>-18375</v>
      </c>
      <c r="DR38" s="45">
        <f t="shared" si="65"/>
        <v>981625</v>
      </c>
      <c r="DS38" s="45">
        <f t="shared" si="66"/>
        <v>-18375</v>
      </c>
      <c r="DT38" s="45">
        <v>-250000</v>
      </c>
      <c r="DU38" s="45">
        <f t="shared" si="67"/>
        <v>731625</v>
      </c>
      <c r="DV38" s="45">
        <f t="shared" si="68"/>
        <v>-268375</v>
      </c>
      <c r="DW38" s="45">
        <v>731625</v>
      </c>
      <c r="DX38" s="45">
        <v>0</v>
      </c>
      <c r="DY38" s="9"/>
      <c r="DZ38" s="8">
        <f t="shared" si="69"/>
        <v>-731625</v>
      </c>
      <c r="EA38" s="47">
        <v>0</v>
      </c>
      <c r="EB38" s="8">
        <f t="shared" si="70"/>
        <v>-731625</v>
      </c>
      <c r="EC38" s="8">
        <f t="shared" si="71"/>
        <v>0</v>
      </c>
      <c r="ED38" s="71" t="s">
        <v>268</v>
      </c>
      <c r="EE38" s="44">
        <v>0</v>
      </c>
      <c r="EF38" s="30">
        <f t="shared" si="72"/>
        <v>-731625</v>
      </c>
      <c r="EG38" s="30">
        <f t="shared" si="73"/>
        <v>0</v>
      </c>
      <c r="EH38" s="30">
        <f t="shared" si="74"/>
        <v>0</v>
      </c>
      <c r="EI38" s="44">
        <v>736898</v>
      </c>
      <c r="EJ38" s="30">
        <f t="shared" si="75"/>
        <v>5273</v>
      </c>
      <c r="EK38" s="30">
        <f t="shared" si="76"/>
        <v>736898</v>
      </c>
      <c r="EL38" s="30">
        <f t="shared" si="77"/>
        <v>736898</v>
      </c>
      <c r="EM38" s="44">
        <v>736898</v>
      </c>
      <c r="EN38" s="30">
        <f t="shared" si="95"/>
        <v>5273</v>
      </c>
      <c r="EO38" s="30">
        <f t="shared" si="96"/>
        <v>736898</v>
      </c>
      <c r="EP38" s="30">
        <f t="shared" si="97"/>
        <v>736898</v>
      </c>
      <c r="EQ38" s="30">
        <f t="shared" si="78"/>
        <v>0</v>
      </c>
      <c r="ER38" s="44">
        <v>736898</v>
      </c>
      <c r="ES38" s="30">
        <f t="shared" si="79"/>
        <v>5273</v>
      </c>
      <c r="ET38" s="30">
        <f t="shared" si="80"/>
        <v>736898</v>
      </c>
      <c r="EU38" s="30">
        <f t="shared" si="81"/>
        <v>736898</v>
      </c>
      <c r="EV38" s="30">
        <f t="shared" si="82"/>
        <v>0</v>
      </c>
      <c r="EW38" s="44">
        <v>736898</v>
      </c>
      <c r="EX38" s="30">
        <f t="shared" si="83"/>
        <v>5273</v>
      </c>
      <c r="EY38" s="30">
        <f t="shared" si="84"/>
        <v>0</v>
      </c>
      <c r="EZ38" s="30">
        <f t="shared" si="8"/>
        <v>0</v>
      </c>
      <c r="FA38" s="44">
        <v>736898</v>
      </c>
      <c r="FB38" s="30">
        <f t="shared" si="85"/>
        <v>5273</v>
      </c>
      <c r="FC38" s="30"/>
      <c r="FD38" s="30">
        <f t="shared" si="86"/>
        <v>736898</v>
      </c>
      <c r="FE38" s="30"/>
      <c r="FF38" s="30">
        <v>-440000</v>
      </c>
      <c r="FG38" s="30">
        <f t="shared" si="87"/>
        <v>296898</v>
      </c>
      <c r="FH38" s="31">
        <v>0</v>
      </c>
      <c r="FI38" s="30">
        <f t="shared" si="88"/>
        <v>-296898</v>
      </c>
      <c r="FJ38" s="30"/>
      <c r="FK38" s="30">
        <v>0</v>
      </c>
      <c r="FL38" s="44">
        <f t="shared" si="89"/>
        <v>-296898</v>
      </c>
      <c r="FM38" s="44">
        <f t="shared" si="90"/>
        <v>0</v>
      </c>
      <c r="FN38" s="44"/>
      <c r="FO38" s="9"/>
    </row>
    <row r="39" spans="1:171" ht="12.75">
      <c r="A39" s="22" t="s">
        <v>22</v>
      </c>
      <c r="B39" s="23"/>
      <c r="C39" s="61" t="s">
        <v>185</v>
      </c>
      <c r="D39" s="25">
        <v>5515000</v>
      </c>
      <c r="E39" s="26">
        <v>5448093</v>
      </c>
      <c r="F39" s="26">
        <v>5239173</v>
      </c>
      <c r="G39" s="26">
        <v>657526</v>
      </c>
      <c r="H39" s="27"/>
      <c r="I39" s="26">
        <f t="shared" si="0"/>
        <v>657526</v>
      </c>
      <c r="J39" s="27">
        <v>-68362</v>
      </c>
      <c r="K39" s="27"/>
      <c r="L39" s="27">
        <f t="shared" si="1"/>
        <v>-68362</v>
      </c>
      <c r="M39" s="28">
        <f t="shared" si="9"/>
        <v>589164</v>
      </c>
      <c r="N39" s="28">
        <v>925806</v>
      </c>
      <c r="O39" s="28">
        <v>894719</v>
      </c>
      <c r="P39" s="28">
        <v>894719</v>
      </c>
      <c r="Q39" s="28">
        <v>813352</v>
      </c>
      <c r="R39" s="28">
        <v>894550</v>
      </c>
      <c r="S39" s="28">
        <v>0</v>
      </c>
      <c r="T39" s="28">
        <f t="shared" si="91"/>
        <v>0</v>
      </c>
      <c r="U39" s="28">
        <f t="shared" si="92"/>
        <v>894550</v>
      </c>
      <c r="V39" s="28">
        <f t="shared" si="2"/>
        <v>305386</v>
      </c>
      <c r="W39" s="29">
        <v>894550</v>
      </c>
      <c r="X39" s="29"/>
      <c r="Y39" s="29">
        <f t="shared" si="10"/>
        <v>894550</v>
      </c>
      <c r="Z39" s="30">
        <v>894550</v>
      </c>
      <c r="AA39" s="30">
        <f t="shared" si="11"/>
        <v>0</v>
      </c>
      <c r="AB39" s="30">
        <v>861405</v>
      </c>
      <c r="AC39" s="30">
        <v>861405</v>
      </c>
      <c r="AD39" s="31">
        <v>876659</v>
      </c>
      <c r="AE39" s="30"/>
      <c r="AF39" s="30">
        <f>AC39-SUM(W39:X39)</f>
        <v>-33145</v>
      </c>
      <c r="AG39" s="30">
        <f>AC39-Z39</f>
        <v>-33145</v>
      </c>
      <c r="AH39" s="31">
        <v>876659</v>
      </c>
      <c r="AI39" s="31">
        <v>861405</v>
      </c>
      <c r="AJ39" s="30">
        <f t="shared" si="98"/>
        <v>-17891</v>
      </c>
      <c r="AK39" s="30">
        <f t="shared" si="12"/>
        <v>-17891</v>
      </c>
      <c r="AL39" s="30">
        <f t="shared" si="13"/>
        <v>15254</v>
      </c>
      <c r="AM39" s="31">
        <f t="shared" si="14"/>
        <v>-17891</v>
      </c>
      <c r="AN39" s="31">
        <f t="shared" si="15"/>
        <v>-17891</v>
      </c>
      <c r="AO39" s="31">
        <f t="shared" si="4"/>
        <v>15254</v>
      </c>
      <c r="AP39" s="30">
        <v>861405</v>
      </c>
      <c r="AQ39" s="30">
        <f t="shared" si="5"/>
        <v>-33145</v>
      </c>
      <c r="AR39" s="30">
        <f t="shared" si="16"/>
        <v>-33145</v>
      </c>
      <c r="AS39" s="30">
        <f t="shared" si="17"/>
        <v>-33145</v>
      </c>
      <c r="AT39" s="30"/>
      <c r="AU39" s="30">
        <f t="shared" si="18"/>
        <v>861405</v>
      </c>
      <c r="AV39" s="30">
        <v>898474</v>
      </c>
      <c r="AW39" s="30">
        <f t="shared" si="19"/>
        <v>37069</v>
      </c>
      <c r="AX39" s="30">
        <v>872383</v>
      </c>
      <c r="AY39" s="31">
        <f t="shared" si="93"/>
        <v>10978</v>
      </c>
      <c r="AZ39" s="31">
        <f t="shared" si="94"/>
        <v>-26091</v>
      </c>
      <c r="BA39" s="30">
        <v>872383</v>
      </c>
      <c r="BB39" s="30">
        <f t="shared" si="20"/>
        <v>10978</v>
      </c>
      <c r="BC39" s="30">
        <f t="shared" si="21"/>
        <v>-26091</v>
      </c>
      <c r="BD39" s="30">
        <f t="shared" si="22"/>
        <v>0</v>
      </c>
      <c r="BE39" s="30">
        <v>901178</v>
      </c>
      <c r="BF39" s="30">
        <v>887543</v>
      </c>
      <c r="BG39" s="30">
        <v>887543</v>
      </c>
      <c r="BH39" s="30">
        <f t="shared" si="23"/>
        <v>26138</v>
      </c>
      <c r="BI39" s="30">
        <f t="shared" si="24"/>
        <v>-10931</v>
      </c>
      <c r="BJ39" s="30">
        <f t="shared" si="25"/>
        <v>15160</v>
      </c>
      <c r="BK39" s="8">
        <f t="shared" si="26"/>
        <v>-13635</v>
      </c>
      <c r="BL39" s="30">
        <v>25000</v>
      </c>
      <c r="BM39" s="34">
        <f t="shared" si="27"/>
        <v>862543</v>
      </c>
      <c r="BN39" s="45">
        <v>795441</v>
      </c>
      <c r="BO39" s="32">
        <f t="shared" si="28"/>
        <v>-67102</v>
      </c>
      <c r="BP39" s="45">
        <v>795548</v>
      </c>
      <c r="BQ39" s="48">
        <f t="shared" si="29"/>
        <v>-66995</v>
      </c>
      <c r="BR39" s="48">
        <f t="shared" si="30"/>
        <v>107</v>
      </c>
      <c r="BS39" s="45">
        <f t="shared" si="100"/>
        <v>795548</v>
      </c>
      <c r="BT39" s="49">
        <f t="shared" si="31"/>
        <v>-66995</v>
      </c>
      <c r="BU39" s="49">
        <f t="shared" si="32"/>
        <v>107</v>
      </c>
      <c r="BV39" s="49">
        <f t="shared" si="33"/>
        <v>0</v>
      </c>
      <c r="BW39" s="45">
        <v>795548</v>
      </c>
      <c r="BX39" s="48">
        <f t="shared" si="34"/>
        <v>-66995</v>
      </c>
      <c r="BY39" s="48">
        <f t="shared" si="35"/>
        <v>107</v>
      </c>
      <c r="BZ39" s="48">
        <f t="shared" si="36"/>
        <v>0</v>
      </c>
      <c r="CA39" s="45">
        <v>795548</v>
      </c>
      <c r="CB39" s="8">
        <f t="shared" si="37"/>
        <v>-66995</v>
      </c>
      <c r="CC39" s="8">
        <f t="shared" si="38"/>
        <v>107</v>
      </c>
      <c r="CD39" s="8">
        <f t="shared" si="6"/>
        <v>0</v>
      </c>
      <c r="CE39" s="8">
        <f t="shared" si="39"/>
        <v>0</v>
      </c>
      <c r="CF39" s="45">
        <v>795548</v>
      </c>
      <c r="CG39" s="8">
        <f t="shared" si="40"/>
        <v>-66995</v>
      </c>
      <c r="CH39" s="8">
        <f t="shared" si="41"/>
        <v>107</v>
      </c>
      <c r="CI39" s="8">
        <f t="shared" si="42"/>
        <v>0</v>
      </c>
      <c r="CJ39" s="8">
        <f t="shared" si="43"/>
        <v>0</v>
      </c>
      <c r="CK39" s="45">
        <v>795548</v>
      </c>
      <c r="CL39" s="8">
        <f t="shared" si="7"/>
        <v>-66995</v>
      </c>
      <c r="CM39" s="8">
        <f t="shared" si="44"/>
        <v>107</v>
      </c>
      <c r="CN39" s="8">
        <f t="shared" si="45"/>
        <v>0</v>
      </c>
      <c r="CO39" s="45">
        <v>0</v>
      </c>
      <c r="CP39" s="45">
        <f t="shared" si="46"/>
        <v>-795441</v>
      </c>
      <c r="CQ39" s="8">
        <f t="shared" si="47"/>
        <v>-795548</v>
      </c>
      <c r="CR39" s="45">
        <v>0</v>
      </c>
      <c r="CS39" s="32"/>
      <c r="CT39" s="45">
        <f t="shared" si="48"/>
        <v>0</v>
      </c>
      <c r="CU39" s="8">
        <f t="shared" si="49"/>
        <v>-795548</v>
      </c>
      <c r="CV39" s="45">
        <f t="shared" si="50"/>
        <v>0</v>
      </c>
      <c r="CW39" s="45">
        <f t="shared" si="51"/>
        <v>0</v>
      </c>
      <c r="CX39" s="45">
        <v>795548</v>
      </c>
      <c r="CY39" s="8">
        <f t="shared" si="52"/>
        <v>0</v>
      </c>
      <c r="CZ39" s="45">
        <f t="shared" si="53"/>
        <v>795548</v>
      </c>
      <c r="DA39" s="45">
        <f t="shared" si="54"/>
        <v>795548</v>
      </c>
      <c r="DB39" s="45">
        <v>795548</v>
      </c>
      <c r="DC39" s="8">
        <f t="shared" si="55"/>
        <v>0</v>
      </c>
      <c r="DD39" s="45">
        <f t="shared" si="56"/>
        <v>795548</v>
      </c>
      <c r="DE39" s="45">
        <f t="shared" si="57"/>
        <v>795548</v>
      </c>
      <c r="DF39" s="45">
        <f t="shared" si="58"/>
        <v>0</v>
      </c>
      <c r="DG39" s="45">
        <v>795548</v>
      </c>
      <c r="DH39" s="47">
        <f t="shared" si="59"/>
        <v>0</v>
      </c>
      <c r="DI39" s="45">
        <f t="shared" si="60"/>
        <v>795548</v>
      </c>
      <c r="DJ39" s="45">
        <f t="shared" si="61"/>
        <v>795548</v>
      </c>
      <c r="DK39" s="45">
        <f t="shared" si="62"/>
        <v>0</v>
      </c>
      <c r="DL39" s="45"/>
      <c r="DM39" s="45">
        <f t="shared" si="63"/>
        <v>795548</v>
      </c>
      <c r="DN39" s="45">
        <v>795548</v>
      </c>
      <c r="DO39" s="45">
        <f t="shared" si="64"/>
        <v>0</v>
      </c>
      <c r="DP39" s="45"/>
      <c r="DQ39" s="45">
        <v>0</v>
      </c>
      <c r="DR39" s="45">
        <f t="shared" si="65"/>
        <v>795548</v>
      </c>
      <c r="DS39" s="45">
        <f t="shared" si="66"/>
        <v>0</v>
      </c>
      <c r="DT39" s="45">
        <v>-23866</v>
      </c>
      <c r="DU39" s="45">
        <f t="shared" si="67"/>
        <v>771682</v>
      </c>
      <c r="DV39" s="45">
        <f t="shared" si="68"/>
        <v>-23866</v>
      </c>
      <c r="DW39" s="45">
        <v>771682</v>
      </c>
      <c r="DX39" s="45">
        <v>771681</v>
      </c>
      <c r="DY39" s="9"/>
      <c r="DZ39" s="8">
        <f t="shared" si="69"/>
        <v>-1</v>
      </c>
      <c r="EA39" s="47">
        <v>771681</v>
      </c>
      <c r="EB39" s="8">
        <f t="shared" si="70"/>
        <v>-1</v>
      </c>
      <c r="EC39" s="8">
        <f t="shared" si="71"/>
        <v>0</v>
      </c>
      <c r="ED39" s="73"/>
      <c r="EE39" s="44">
        <v>771681</v>
      </c>
      <c r="EF39" s="30">
        <f t="shared" si="72"/>
        <v>-1</v>
      </c>
      <c r="EG39" s="30">
        <f t="shared" si="73"/>
        <v>0</v>
      </c>
      <c r="EH39" s="30">
        <f t="shared" si="74"/>
        <v>0</v>
      </c>
      <c r="EI39" s="44">
        <v>0</v>
      </c>
      <c r="EJ39" s="30">
        <f t="shared" si="75"/>
        <v>-771682</v>
      </c>
      <c r="EK39" s="30">
        <f t="shared" si="76"/>
        <v>-771681</v>
      </c>
      <c r="EL39" s="30">
        <f t="shared" si="77"/>
        <v>-771681</v>
      </c>
      <c r="EM39" s="44">
        <v>0</v>
      </c>
      <c r="EN39" s="30">
        <f t="shared" si="95"/>
        <v>-771682</v>
      </c>
      <c r="EO39" s="30">
        <f t="shared" si="96"/>
        <v>-771681</v>
      </c>
      <c r="EP39" s="30">
        <f t="shared" si="97"/>
        <v>-771681</v>
      </c>
      <c r="EQ39" s="30">
        <f t="shared" si="78"/>
        <v>0</v>
      </c>
      <c r="ER39" s="44">
        <v>771681</v>
      </c>
      <c r="ES39" s="30">
        <f t="shared" si="79"/>
        <v>-1</v>
      </c>
      <c r="ET39" s="30">
        <f t="shared" si="80"/>
        <v>0</v>
      </c>
      <c r="EU39" s="30">
        <f t="shared" si="81"/>
        <v>0</v>
      </c>
      <c r="EV39" s="30">
        <f t="shared" si="82"/>
        <v>771681</v>
      </c>
      <c r="EW39" s="44">
        <v>771681</v>
      </c>
      <c r="EX39" s="30">
        <f t="shared" si="83"/>
        <v>-1</v>
      </c>
      <c r="EY39" s="30">
        <f t="shared" si="84"/>
        <v>0</v>
      </c>
      <c r="EZ39" s="30">
        <f t="shared" si="8"/>
        <v>0</v>
      </c>
      <c r="FA39" s="44">
        <v>771681</v>
      </c>
      <c r="FB39" s="30">
        <f t="shared" si="85"/>
        <v>-1</v>
      </c>
      <c r="FC39" s="30"/>
      <c r="FD39" s="30">
        <f t="shared" si="86"/>
        <v>771681</v>
      </c>
      <c r="FE39" s="30"/>
      <c r="FF39" s="30"/>
      <c r="FG39" s="30">
        <f t="shared" si="87"/>
        <v>771681</v>
      </c>
      <c r="FH39" s="31">
        <v>770481</v>
      </c>
      <c r="FI39" s="30">
        <f t="shared" si="88"/>
        <v>-1200</v>
      </c>
      <c r="FJ39" s="30"/>
      <c r="FK39" s="30">
        <v>770481</v>
      </c>
      <c r="FL39" s="44">
        <f t="shared" si="89"/>
        <v>-1200</v>
      </c>
      <c r="FM39" s="44">
        <f t="shared" si="90"/>
        <v>0</v>
      </c>
      <c r="FN39" s="44"/>
      <c r="FO39" s="9"/>
    </row>
    <row r="40" spans="1:171" ht="12.75">
      <c r="A40" s="22" t="s">
        <v>8</v>
      </c>
      <c r="B40" s="23"/>
      <c r="C40" s="61" t="s">
        <v>162</v>
      </c>
      <c r="D40" s="25">
        <v>27749039</v>
      </c>
      <c r="E40" s="26">
        <v>29310695</v>
      </c>
      <c r="F40" s="26">
        <v>28124478</v>
      </c>
      <c r="G40" s="26">
        <v>25290411</v>
      </c>
      <c r="H40" s="27"/>
      <c r="I40" s="26">
        <f t="shared" si="0"/>
        <v>25290411</v>
      </c>
      <c r="J40" s="27">
        <v>-22557</v>
      </c>
      <c r="K40" s="27"/>
      <c r="L40" s="27">
        <f t="shared" si="1"/>
        <v>-22557</v>
      </c>
      <c r="M40" s="28">
        <f t="shared" si="9"/>
        <v>25267854</v>
      </c>
      <c r="N40" s="28">
        <v>25267854</v>
      </c>
      <c r="O40" s="28">
        <v>25162278</v>
      </c>
      <c r="P40" s="28">
        <v>25162278</v>
      </c>
      <c r="Q40" s="28">
        <v>24862278</v>
      </c>
      <c r="R40" s="28">
        <v>25162278</v>
      </c>
      <c r="S40" s="28">
        <v>3.1789999999999999E-2</v>
      </c>
      <c r="T40" s="28">
        <f t="shared" si="91"/>
        <v>-799908.81761999999</v>
      </c>
      <c r="U40" s="28">
        <f t="shared" si="92"/>
        <v>24362369.182379998</v>
      </c>
      <c r="V40" s="28">
        <f t="shared" si="2"/>
        <v>-905484.81762000173</v>
      </c>
      <c r="W40" s="29">
        <v>24362278</v>
      </c>
      <c r="X40" s="29"/>
      <c r="Y40" s="29">
        <f t="shared" si="10"/>
        <v>24362278</v>
      </c>
      <c r="Z40" s="30">
        <v>24362278</v>
      </c>
      <c r="AA40" s="30">
        <f t="shared" si="11"/>
        <v>0</v>
      </c>
      <c r="AB40" s="30">
        <v>24362278</v>
      </c>
      <c r="AC40" s="30">
        <v>24362278</v>
      </c>
      <c r="AD40" s="31">
        <v>24362278</v>
      </c>
      <c r="AE40" s="30"/>
      <c r="AF40" s="30"/>
      <c r="AG40" s="30"/>
      <c r="AH40" s="31">
        <v>24362278</v>
      </c>
      <c r="AI40" s="31">
        <v>24362278</v>
      </c>
      <c r="AJ40" s="30">
        <f t="shared" si="98"/>
        <v>0</v>
      </c>
      <c r="AK40" s="30">
        <f t="shared" si="12"/>
        <v>0</v>
      </c>
      <c r="AL40" s="30">
        <f t="shared" si="13"/>
        <v>0</v>
      </c>
      <c r="AM40" s="31">
        <f t="shared" si="14"/>
        <v>0</v>
      </c>
      <c r="AN40" s="31">
        <f t="shared" si="15"/>
        <v>0</v>
      </c>
      <c r="AO40" s="31">
        <f t="shared" si="4"/>
        <v>0</v>
      </c>
      <c r="AP40" s="30">
        <v>24362278</v>
      </c>
      <c r="AQ40" s="30">
        <f t="shared" si="5"/>
        <v>0</v>
      </c>
      <c r="AR40" s="30">
        <f t="shared" si="16"/>
        <v>0</v>
      </c>
      <c r="AS40" s="30">
        <f t="shared" si="17"/>
        <v>0</v>
      </c>
      <c r="AT40" s="30"/>
      <c r="AU40" s="30">
        <f t="shared" si="18"/>
        <v>24362278</v>
      </c>
      <c r="AV40" s="30">
        <v>24403482</v>
      </c>
      <c r="AW40" s="30">
        <f t="shared" si="19"/>
        <v>41204</v>
      </c>
      <c r="AX40" s="30">
        <v>24371335</v>
      </c>
      <c r="AY40" s="31">
        <f t="shared" si="93"/>
        <v>9057</v>
      </c>
      <c r="AZ40" s="31">
        <f t="shared" si="94"/>
        <v>-32147</v>
      </c>
      <c r="BA40" s="30">
        <v>24371335</v>
      </c>
      <c r="BB40" s="30">
        <f t="shared" si="20"/>
        <v>9057</v>
      </c>
      <c r="BC40" s="30">
        <f t="shared" si="21"/>
        <v>-32147</v>
      </c>
      <c r="BD40" s="30">
        <f t="shared" si="22"/>
        <v>0</v>
      </c>
      <c r="BE40" s="30">
        <v>23903482</v>
      </c>
      <c r="BF40" s="30">
        <v>24385395</v>
      </c>
      <c r="BG40" s="30">
        <v>24385395</v>
      </c>
      <c r="BH40" s="30">
        <f t="shared" si="23"/>
        <v>23117</v>
      </c>
      <c r="BI40" s="30">
        <f t="shared" si="24"/>
        <v>-18087</v>
      </c>
      <c r="BJ40" s="30">
        <f t="shared" si="25"/>
        <v>14060</v>
      </c>
      <c r="BK40" s="8">
        <f t="shared" si="26"/>
        <v>481913</v>
      </c>
      <c r="BL40" s="30">
        <f>25000+104847</f>
        <v>129847</v>
      </c>
      <c r="BM40" s="34">
        <f t="shared" si="27"/>
        <v>24255548</v>
      </c>
      <c r="BN40" s="45">
        <v>24276033</v>
      </c>
      <c r="BO40" s="32">
        <f t="shared" si="28"/>
        <v>20485</v>
      </c>
      <c r="BP40" s="45">
        <v>23974543</v>
      </c>
      <c r="BQ40" s="48">
        <f t="shared" si="29"/>
        <v>-281005</v>
      </c>
      <c r="BR40" s="48">
        <f t="shared" si="30"/>
        <v>-301490</v>
      </c>
      <c r="BS40" s="45">
        <f t="shared" si="100"/>
        <v>23974543</v>
      </c>
      <c r="BT40" s="49">
        <f t="shared" si="31"/>
        <v>-281005</v>
      </c>
      <c r="BU40" s="49">
        <f t="shared" si="32"/>
        <v>-301490</v>
      </c>
      <c r="BV40" s="49">
        <f t="shared" si="33"/>
        <v>0</v>
      </c>
      <c r="BW40" s="45">
        <v>24248033</v>
      </c>
      <c r="BX40" s="48">
        <f t="shared" si="34"/>
        <v>-7515</v>
      </c>
      <c r="BY40" s="48">
        <f t="shared" si="35"/>
        <v>-28000</v>
      </c>
      <c r="BZ40" s="48">
        <f t="shared" si="36"/>
        <v>273490</v>
      </c>
      <c r="CA40" s="45">
        <v>24248033</v>
      </c>
      <c r="CB40" s="8">
        <f t="shared" si="37"/>
        <v>-7515</v>
      </c>
      <c r="CC40" s="8">
        <f t="shared" si="38"/>
        <v>-28000</v>
      </c>
      <c r="CD40" s="8">
        <f t="shared" si="6"/>
        <v>273490</v>
      </c>
      <c r="CE40" s="8">
        <f t="shared" si="39"/>
        <v>0</v>
      </c>
      <c r="CF40" s="45">
        <v>23974543</v>
      </c>
      <c r="CG40" s="8">
        <f t="shared" si="40"/>
        <v>-281005</v>
      </c>
      <c r="CH40" s="8">
        <f t="shared" si="41"/>
        <v>-301490</v>
      </c>
      <c r="CI40" s="8">
        <f t="shared" si="42"/>
        <v>0</v>
      </c>
      <c r="CJ40" s="8">
        <f t="shared" si="43"/>
        <v>-273490</v>
      </c>
      <c r="CK40" s="45">
        <v>23974543</v>
      </c>
      <c r="CL40" s="8">
        <f t="shared" si="7"/>
        <v>-281005</v>
      </c>
      <c r="CM40" s="8">
        <f t="shared" si="44"/>
        <v>-301490</v>
      </c>
      <c r="CN40" s="8">
        <f t="shared" si="45"/>
        <v>0</v>
      </c>
      <c r="CO40" s="45">
        <v>29026034</v>
      </c>
      <c r="CP40" s="45">
        <f t="shared" si="46"/>
        <v>4750001</v>
      </c>
      <c r="CQ40" s="8">
        <f t="shared" si="47"/>
        <v>5051491</v>
      </c>
      <c r="CR40" s="45">
        <v>28906725</v>
      </c>
      <c r="CS40" s="32"/>
      <c r="CT40" s="45">
        <f t="shared" si="48"/>
        <v>28906725</v>
      </c>
      <c r="CU40" s="8">
        <f t="shared" si="49"/>
        <v>4932182</v>
      </c>
      <c r="CV40" s="45">
        <f t="shared" si="50"/>
        <v>-119309</v>
      </c>
      <c r="CW40" s="45">
        <f t="shared" si="51"/>
        <v>0</v>
      </c>
      <c r="CX40" s="45">
        <v>28980158</v>
      </c>
      <c r="CY40" s="8">
        <f t="shared" si="52"/>
        <v>5005615</v>
      </c>
      <c r="CZ40" s="45">
        <f t="shared" si="53"/>
        <v>-45876</v>
      </c>
      <c r="DA40" s="45">
        <f t="shared" si="54"/>
        <v>73433</v>
      </c>
      <c r="DB40" s="45">
        <v>28980158</v>
      </c>
      <c r="DC40" s="8">
        <f t="shared" si="55"/>
        <v>5005615</v>
      </c>
      <c r="DD40" s="45">
        <f t="shared" si="56"/>
        <v>-45876</v>
      </c>
      <c r="DE40" s="45">
        <f t="shared" si="57"/>
        <v>73433</v>
      </c>
      <c r="DF40" s="45">
        <f t="shared" si="58"/>
        <v>0</v>
      </c>
      <c r="DG40" s="45">
        <v>28906725</v>
      </c>
      <c r="DH40" s="47">
        <f t="shared" si="59"/>
        <v>4932182</v>
      </c>
      <c r="DI40" s="45">
        <f t="shared" si="60"/>
        <v>-119309</v>
      </c>
      <c r="DJ40" s="45">
        <f t="shared" si="61"/>
        <v>0</v>
      </c>
      <c r="DK40" s="45">
        <f t="shared" si="62"/>
        <v>-73433</v>
      </c>
      <c r="DL40" s="45"/>
      <c r="DM40" s="45">
        <f t="shared" si="63"/>
        <v>28906725</v>
      </c>
      <c r="DN40" s="45">
        <v>28906725</v>
      </c>
      <c r="DO40" s="45">
        <f t="shared" si="64"/>
        <v>4932182</v>
      </c>
      <c r="DP40" s="45"/>
      <c r="DQ40" s="45">
        <v>0</v>
      </c>
      <c r="DR40" s="45">
        <f t="shared" si="65"/>
        <v>28906725</v>
      </c>
      <c r="DS40" s="45">
        <f t="shared" si="66"/>
        <v>4932182</v>
      </c>
      <c r="DT40" s="45"/>
      <c r="DU40" s="45">
        <f t="shared" si="67"/>
        <v>28906725</v>
      </c>
      <c r="DV40" s="45">
        <f t="shared" si="68"/>
        <v>4932182</v>
      </c>
      <c r="DW40" s="45">
        <v>28906725</v>
      </c>
      <c r="DX40" s="45">
        <v>28906725</v>
      </c>
      <c r="DY40" s="9"/>
      <c r="DZ40" s="8">
        <f t="shared" si="69"/>
        <v>0</v>
      </c>
      <c r="EA40" s="47">
        <v>23920227</v>
      </c>
      <c r="EB40" s="8">
        <f t="shared" si="70"/>
        <v>-4986498</v>
      </c>
      <c r="EC40" s="8">
        <f t="shared" si="71"/>
        <v>-4986498</v>
      </c>
      <c r="ED40" s="73"/>
      <c r="EE40" s="44">
        <v>23920227</v>
      </c>
      <c r="EF40" s="30">
        <f t="shared" si="72"/>
        <v>-4986498</v>
      </c>
      <c r="EG40" s="30">
        <f t="shared" si="73"/>
        <v>-4986498</v>
      </c>
      <c r="EH40" s="30">
        <f t="shared" si="74"/>
        <v>0</v>
      </c>
      <c r="EI40" s="44">
        <v>28473125</v>
      </c>
      <c r="EJ40" s="30">
        <f t="shared" si="75"/>
        <v>-433600</v>
      </c>
      <c r="EK40" s="30">
        <f t="shared" si="76"/>
        <v>-433600</v>
      </c>
      <c r="EL40" s="30">
        <f t="shared" si="77"/>
        <v>4552898</v>
      </c>
      <c r="EM40" s="44">
        <v>28473125</v>
      </c>
      <c r="EN40" s="30">
        <f t="shared" si="95"/>
        <v>-433600</v>
      </c>
      <c r="EO40" s="30">
        <f t="shared" si="96"/>
        <v>-433600</v>
      </c>
      <c r="EP40" s="30">
        <f t="shared" si="97"/>
        <v>4552898</v>
      </c>
      <c r="EQ40" s="30">
        <f t="shared" si="78"/>
        <v>0</v>
      </c>
      <c r="ER40" s="44">
        <v>23920227</v>
      </c>
      <c r="ES40" s="30">
        <f t="shared" si="79"/>
        <v>-4986498</v>
      </c>
      <c r="ET40" s="30">
        <f t="shared" si="80"/>
        <v>-4986498</v>
      </c>
      <c r="EU40" s="30">
        <f t="shared" si="81"/>
        <v>0</v>
      </c>
      <c r="EV40" s="30">
        <f t="shared" si="82"/>
        <v>-4552898</v>
      </c>
      <c r="EW40" s="44">
        <v>23920227</v>
      </c>
      <c r="EX40" s="30">
        <f t="shared" si="83"/>
        <v>-4986498</v>
      </c>
      <c r="EY40" s="30">
        <f t="shared" si="84"/>
        <v>0</v>
      </c>
      <c r="EZ40" s="30">
        <f t="shared" si="8"/>
        <v>0</v>
      </c>
      <c r="FA40" s="44">
        <v>23920227</v>
      </c>
      <c r="FB40" s="30">
        <f t="shared" si="85"/>
        <v>-4986498</v>
      </c>
      <c r="FC40" s="30">
        <v>1800000</v>
      </c>
      <c r="FD40" s="30">
        <f t="shared" si="86"/>
        <v>25720227</v>
      </c>
      <c r="FE40" s="30"/>
      <c r="FF40" s="30"/>
      <c r="FG40" s="30">
        <f>FD40+FF40+FE40</f>
        <v>25720227</v>
      </c>
      <c r="FH40" s="31">
        <v>29500000</v>
      </c>
      <c r="FI40" s="30">
        <f t="shared" si="88"/>
        <v>3779773</v>
      </c>
      <c r="FJ40" s="30"/>
      <c r="FK40" s="30">
        <v>25720227</v>
      </c>
      <c r="FL40" s="44">
        <f t="shared" si="89"/>
        <v>0</v>
      </c>
      <c r="FM40" s="44">
        <f t="shared" si="90"/>
        <v>-3779773</v>
      </c>
      <c r="FN40" s="44"/>
      <c r="FO40" s="9"/>
    </row>
    <row r="41" spans="1:171" ht="12.75">
      <c r="A41" s="22" t="s">
        <v>9</v>
      </c>
      <c r="B41" s="23"/>
      <c r="C41" s="61" t="s">
        <v>138</v>
      </c>
      <c r="D41" s="25">
        <v>13215863</v>
      </c>
      <c r="E41" s="26">
        <v>13391393</v>
      </c>
      <c r="F41" s="26">
        <v>12562938</v>
      </c>
      <c r="G41" s="26">
        <v>9294804</v>
      </c>
      <c r="H41" s="27"/>
      <c r="I41" s="26">
        <f t="shared" si="0"/>
        <v>9294804</v>
      </c>
      <c r="J41" s="27"/>
      <c r="K41" s="27"/>
      <c r="L41" s="27">
        <f t="shared" si="1"/>
        <v>0</v>
      </c>
      <c r="M41" s="28">
        <f t="shared" si="9"/>
        <v>9294804</v>
      </c>
      <c r="N41" s="28">
        <v>9294804</v>
      </c>
      <c r="O41" s="28">
        <v>9294804</v>
      </c>
      <c r="P41" s="28">
        <v>9294804</v>
      </c>
      <c r="Q41" s="28">
        <v>9294804</v>
      </c>
      <c r="R41" s="28">
        <v>9294804</v>
      </c>
      <c r="S41" s="28">
        <v>2.1520000000000001E-2</v>
      </c>
      <c r="T41" s="28">
        <f t="shared" si="91"/>
        <v>-200024.18208</v>
      </c>
      <c r="U41" s="28">
        <f t="shared" si="92"/>
        <v>9094779.8179199994</v>
      </c>
      <c r="V41" s="28">
        <f t="shared" si="2"/>
        <v>-200024.18208000064</v>
      </c>
      <c r="W41" s="29">
        <v>9094804</v>
      </c>
      <c r="X41" s="29"/>
      <c r="Y41" s="29">
        <f t="shared" si="10"/>
        <v>9094804</v>
      </c>
      <c r="Z41" s="30">
        <v>9655545</v>
      </c>
      <c r="AA41" s="30">
        <f t="shared" si="11"/>
        <v>560741</v>
      </c>
      <c r="AB41" s="30">
        <v>9094805</v>
      </c>
      <c r="AC41" s="30">
        <v>9575175</v>
      </c>
      <c r="AD41" s="31">
        <v>8344804</v>
      </c>
      <c r="AE41" s="30">
        <f t="shared" ref="AE41:AE55" si="101">AC41-AB41</f>
        <v>480370</v>
      </c>
      <c r="AF41" s="30">
        <f>AC41-W41+X41</f>
        <v>480371</v>
      </c>
      <c r="AG41" s="30">
        <f>AC41-Z41</f>
        <v>-80370</v>
      </c>
      <c r="AH41" s="31">
        <v>8344804</v>
      </c>
      <c r="AI41" s="31">
        <v>9575175</v>
      </c>
      <c r="AJ41" s="30">
        <f t="shared" si="98"/>
        <v>-750000</v>
      </c>
      <c r="AK41" s="30">
        <f t="shared" si="12"/>
        <v>-1310741</v>
      </c>
      <c r="AL41" s="30">
        <f t="shared" si="13"/>
        <v>-1230371</v>
      </c>
      <c r="AM41" s="31">
        <f t="shared" si="14"/>
        <v>-750000</v>
      </c>
      <c r="AN41" s="31">
        <f t="shared" si="15"/>
        <v>-1310741</v>
      </c>
      <c r="AO41" s="31">
        <f t="shared" si="4"/>
        <v>-1230371</v>
      </c>
      <c r="AP41" s="30">
        <v>9575175</v>
      </c>
      <c r="AQ41" s="30">
        <f t="shared" si="5"/>
        <v>480371</v>
      </c>
      <c r="AR41" s="30">
        <f t="shared" si="16"/>
        <v>-80370</v>
      </c>
      <c r="AS41" s="30">
        <f t="shared" si="17"/>
        <v>480371</v>
      </c>
      <c r="AT41" s="30"/>
      <c r="AU41" s="30">
        <f t="shared" si="18"/>
        <v>9575175</v>
      </c>
      <c r="AV41" s="30">
        <v>9575175</v>
      </c>
      <c r="AW41" s="30">
        <f t="shared" si="19"/>
        <v>0</v>
      </c>
      <c r="AX41" s="30">
        <v>9094804</v>
      </c>
      <c r="AY41" s="31">
        <f t="shared" si="93"/>
        <v>-480371</v>
      </c>
      <c r="AZ41" s="31">
        <f t="shared" si="94"/>
        <v>-480371</v>
      </c>
      <c r="BA41" s="30">
        <v>9575175</v>
      </c>
      <c r="BB41" s="30">
        <f t="shared" si="20"/>
        <v>0</v>
      </c>
      <c r="BC41" s="30">
        <f t="shared" si="21"/>
        <v>0</v>
      </c>
      <c r="BD41" s="30">
        <f t="shared" si="22"/>
        <v>480371</v>
      </c>
      <c r="BE41" s="30">
        <v>9094804</v>
      </c>
      <c r="BF41" s="30">
        <v>9575175</v>
      </c>
      <c r="BG41" s="30">
        <v>9575175</v>
      </c>
      <c r="BH41" s="30">
        <f t="shared" si="23"/>
        <v>0</v>
      </c>
      <c r="BI41" s="30">
        <f t="shared" si="24"/>
        <v>0</v>
      </c>
      <c r="BJ41" s="30">
        <f t="shared" si="25"/>
        <v>0</v>
      </c>
      <c r="BK41" s="8">
        <f t="shared" si="26"/>
        <v>480371</v>
      </c>
      <c r="BL41" s="30"/>
      <c r="BM41" s="34">
        <f t="shared" si="27"/>
        <v>9575175</v>
      </c>
      <c r="BN41" s="45">
        <v>9575175</v>
      </c>
      <c r="BO41" s="32">
        <f t="shared" si="28"/>
        <v>0</v>
      </c>
      <c r="BP41" s="45">
        <v>9094804</v>
      </c>
      <c r="BQ41" s="48">
        <f t="shared" si="29"/>
        <v>-480371</v>
      </c>
      <c r="BR41" s="48">
        <f t="shared" si="30"/>
        <v>-480371</v>
      </c>
      <c r="BS41" s="45">
        <f t="shared" si="100"/>
        <v>9094804</v>
      </c>
      <c r="BT41" s="49">
        <f t="shared" si="31"/>
        <v>-480371</v>
      </c>
      <c r="BU41" s="49">
        <f t="shared" si="32"/>
        <v>-480371</v>
      </c>
      <c r="BV41" s="49">
        <f t="shared" si="33"/>
        <v>0</v>
      </c>
      <c r="BW41" s="45">
        <v>9094804</v>
      </c>
      <c r="BX41" s="48">
        <f t="shared" si="34"/>
        <v>-480371</v>
      </c>
      <c r="BY41" s="48">
        <f t="shared" si="35"/>
        <v>-480371</v>
      </c>
      <c r="BZ41" s="48">
        <f t="shared" si="36"/>
        <v>0</v>
      </c>
      <c r="CA41" s="45">
        <v>9094804</v>
      </c>
      <c r="CB41" s="8">
        <f t="shared" si="37"/>
        <v>-480371</v>
      </c>
      <c r="CC41" s="8">
        <f t="shared" si="38"/>
        <v>-480371</v>
      </c>
      <c r="CD41" s="8">
        <f t="shared" si="6"/>
        <v>0</v>
      </c>
      <c r="CE41" s="8">
        <f t="shared" si="39"/>
        <v>0</v>
      </c>
      <c r="CF41" s="45">
        <v>9094804</v>
      </c>
      <c r="CG41" s="8">
        <f t="shared" si="40"/>
        <v>-480371</v>
      </c>
      <c r="CH41" s="8">
        <f t="shared" si="41"/>
        <v>-480371</v>
      </c>
      <c r="CI41" s="8">
        <f t="shared" si="42"/>
        <v>0</v>
      </c>
      <c r="CJ41" s="8">
        <f t="shared" si="43"/>
        <v>0</v>
      </c>
      <c r="CK41" s="45">
        <v>9094804</v>
      </c>
      <c r="CL41" s="8">
        <f t="shared" si="7"/>
        <v>-480371</v>
      </c>
      <c r="CM41" s="8">
        <f t="shared" si="44"/>
        <v>-480371</v>
      </c>
      <c r="CN41" s="8">
        <f t="shared" si="45"/>
        <v>0</v>
      </c>
      <c r="CO41" s="45">
        <f>8894804-3100000</f>
        <v>5794804</v>
      </c>
      <c r="CP41" s="45">
        <f t="shared" si="46"/>
        <v>-3780371</v>
      </c>
      <c r="CQ41" s="8">
        <f t="shared" si="47"/>
        <v>-3300000</v>
      </c>
      <c r="CR41" s="45">
        <v>5994804</v>
      </c>
      <c r="CS41" s="32"/>
      <c r="CT41" s="45">
        <f t="shared" si="48"/>
        <v>5994804</v>
      </c>
      <c r="CU41" s="8">
        <f t="shared" si="49"/>
        <v>-3100000</v>
      </c>
      <c r="CV41" s="45">
        <f t="shared" si="50"/>
        <v>200000</v>
      </c>
      <c r="CW41" s="45">
        <f t="shared" si="51"/>
        <v>0</v>
      </c>
      <c r="CX41" s="45">
        <v>5794804</v>
      </c>
      <c r="CY41" s="8">
        <f t="shared" si="52"/>
        <v>-3300000</v>
      </c>
      <c r="CZ41" s="45">
        <f t="shared" si="53"/>
        <v>0</v>
      </c>
      <c r="DA41" s="45">
        <f t="shared" si="54"/>
        <v>-200000</v>
      </c>
      <c r="DB41" s="45">
        <v>5794804</v>
      </c>
      <c r="DC41" s="8">
        <f t="shared" si="55"/>
        <v>-3300000</v>
      </c>
      <c r="DD41" s="45">
        <f t="shared" si="56"/>
        <v>0</v>
      </c>
      <c r="DE41" s="45">
        <f t="shared" si="57"/>
        <v>-200000</v>
      </c>
      <c r="DF41" s="45">
        <f t="shared" si="58"/>
        <v>0</v>
      </c>
      <c r="DG41" s="45">
        <v>5994804</v>
      </c>
      <c r="DH41" s="47">
        <f t="shared" si="59"/>
        <v>-3100000</v>
      </c>
      <c r="DI41" s="45">
        <f t="shared" si="60"/>
        <v>200000</v>
      </c>
      <c r="DJ41" s="45">
        <f t="shared" si="61"/>
        <v>0</v>
      </c>
      <c r="DK41" s="45">
        <f t="shared" si="62"/>
        <v>200000</v>
      </c>
      <c r="DL41" s="45"/>
      <c r="DM41" s="45">
        <f t="shared" si="63"/>
        <v>5994804</v>
      </c>
      <c r="DN41" s="45">
        <v>5994804</v>
      </c>
      <c r="DO41" s="45">
        <f t="shared" si="64"/>
        <v>-3100000</v>
      </c>
      <c r="DP41" s="45"/>
      <c r="DQ41" s="45">
        <v>-132000</v>
      </c>
      <c r="DR41" s="45">
        <f t="shared" si="65"/>
        <v>5862804</v>
      </c>
      <c r="DS41" s="45">
        <f t="shared" si="66"/>
        <v>-3232000</v>
      </c>
      <c r="DT41" s="45">
        <v>-1700000</v>
      </c>
      <c r="DU41" s="45">
        <f t="shared" si="67"/>
        <v>4162804</v>
      </c>
      <c r="DV41" s="45">
        <f t="shared" si="68"/>
        <v>-4932000</v>
      </c>
      <c r="DW41" s="45">
        <v>4162804</v>
      </c>
      <c r="DX41" s="45">
        <v>0</v>
      </c>
      <c r="DY41" s="9"/>
      <c r="DZ41" s="8">
        <f t="shared" si="69"/>
        <v>-4162804</v>
      </c>
      <c r="EA41" s="47">
        <v>4094804</v>
      </c>
      <c r="EB41" s="8">
        <f t="shared" si="70"/>
        <v>-68000</v>
      </c>
      <c r="EC41" s="8">
        <f t="shared" si="71"/>
        <v>4094804</v>
      </c>
      <c r="ED41" s="71" t="s">
        <v>268</v>
      </c>
      <c r="EE41" s="44">
        <v>4094804</v>
      </c>
      <c r="EF41" s="30">
        <f t="shared" si="72"/>
        <v>-68000</v>
      </c>
      <c r="EG41" s="30">
        <f t="shared" si="73"/>
        <v>4094804</v>
      </c>
      <c r="EH41" s="30">
        <f t="shared" si="74"/>
        <v>0</v>
      </c>
      <c r="EI41" s="44">
        <v>4094804</v>
      </c>
      <c r="EJ41" s="30">
        <f t="shared" si="75"/>
        <v>-68000</v>
      </c>
      <c r="EK41" s="30">
        <f t="shared" si="76"/>
        <v>4094804</v>
      </c>
      <c r="EL41" s="30">
        <f t="shared" si="77"/>
        <v>0</v>
      </c>
      <c r="EM41" s="44">
        <v>4094804</v>
      </c>
      <c r="EN41" s="30">
        <f t="shared" si="95"/>
        <v>-68000</v>
      </c>
      <c r="EO41" s="30">
        <f t="shared" si="96"/>
        <v>4094804</v>
      </c>
      <c r="EP41" s="30">
        <f t="shared" si="97"/>
        <v>0</v>
      </c>
      <c r="EQ41" s="30">
        <f t="shared" si="78"/>
        <v>0</v>
      </c>
      <c r="ER41" s="44">
        <v>4294804</v>
      </c>
      <c r="ES41" s="30">
        <f t="shared" si="79"/>
        <v>132000</v>
      </c>
      <c r="ET41" s="30">
        <f t="shared" si="80"/>
        <v>4294804</v>
      </c>
      <c r="EU41" s="30">
        <f t="shared" si="81"/>
        <v>200000</v>
      </c>
      <c r="EV41" s="30">
        <f t="shared" si="82"/>
        <v>200000</v>
      </c>
      <c r="EW41" s="44">
        <v>4294804</v>
      </c>
      <c r="EX41" s="30">
        <f t="shared" si="83"/>
        <v>132000</v>
      </c>
      <c r="EY41" s="30">
        <f t="shared" si="84"/>
        <v>0</v>
      </c>
      <c r="EZ41" s="30">
        <f t="shared" si="8"/>
        <v>0</v>
      </c>
      <c r="FA41" s="44">
        <v>4294804</v>
      </c>
      <c r="FB41" s="30">
        <f t="shared" si="85"/>
        <v>132000</v>
      </c>
      <c r="FC41" s="30"/>
      <c r="FD41" s="30">
        <f t="shared" si="86"/>
        <v>4294804</v>
      </c>
      <c r="FE41" s="30"/>
      <c r="FF41" s="30"/>
      <c r="FG41" s="30">
        <f t="shared" si="87"/>
        <v>4294804</v>
      </c>
      <c r="FH41" s="31">
        <v>0</v>
      </c>
      <c r="FI41" s="30">
        <f t="shared" si="88"/>
        <v>-4294804</v>
      </c>
      <c r="FJ41" s="30"/>
      <c r="FK41" s="30">
        <v>0</v>
      </c>
      <c r="FL41" s="44">
        <f t="shared" si="89"/>
        <v>-4294804</v>
      </c>
      <c r="FM41" s="44">
        <f t="shared" si="90"/>
        <v>0</v>
      </c>
      <c r="FN41" s="44"/>
      <c r="FO41" s="9"/>
    </row>
    <row r="42" spans="1:171" ht="12.75">
      <c r="A42" s="46" t="s">
        <v>245</v>
      </c>
      <c r="B42" s="23"/>
      <c r="C42" s="60" t="s">
        <v>246</v>
      </c>
      <c r="D42" s="25"/>
      <c r="E42" s="26"/>
      <c r="F42" s="26"/>
      <c r="G42" s="26"/>
      <c r="H42" s="27"/>
      <c r="I42" s="26"/>
      <c r="J42" s="27"/>
      <c r="K42" s="27"/>
      <c r="L42" s="27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9"/>
      <c r="X42" s="29"/>
      <c r="Y42" s="29"/>
      <c r="Z42" s="30"/>
      <c r="AA42" s="30"/>
      <c r="AB42" s="30"/>
      <c r="AC42" s="30"/>
      <c r="AD42" s="31"/>
      <c r="AE42" s="30"/>
      <c r="AF42" s="30"/>
      <c r="AG42" s="30"/>
      <c r="AH42" s="31"/>
      <c r="AI42" s="31"/>
      <c r="AJ42" s="30"/>
      <c r="AK42" s="30"/>
      <c r="AL42" s="30"/>
      <c r="AM42" s="31"/>
      <c r="AN42" s="31"/>
      <c r="AO42" s="31"/>
      <c r="AP42" s="30"/>
      <c r="AQ42" s="30"/>
      <c r="AR42" s="30"/>
      <c r="AS42" s="30"/>
      <c r="AT42" s="30"/>
      <c r="AU42" s="30"/>
      <c r="AV42" s="30"/>
      <c r="AW42" s="30"/>
      <c r="AX42" s="30"/>
      <c r="AY42" s="31"/>
      <c r="AZ42" s="31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8"/>
      <c r="BL42" s="30"/>
      <c r="BM42" s="34"/>
      <c r="BN42" s="45"/>
      <c r="BO42" s="32"/>
      <c r="BP42" s="45"/>
      <c r="BQ42" s="48"/>
      <c r="BR42" s="48"/>
      <c r="BS42" s="45"/>
      <c r="BT42" s="49"/>
      <c r="BU42" s="49"/>
      <c r="BV42" s="49"/>
      <c r="BW42" s="45"/>
      <c r="BX42" s="48"/>
      <c r="BY42" s="48"/>
      <c r="BZ42" s="48"/>
      <c r="CA42" s="45"/>
      <c r="CB42" s="8"/>
      <c r="CC42" s="8"/>
      <c r="CD42" s="8"/>
      <c r="CE42" s="8"/>
      <c r="CF42" s="45"/>
      <c r="CG42" s="8"/>
      <c r="CH42" s="8"/>
      <c r="CI42" s="8"/>
      <c r="CJ42" s="8"/>
      <c r="CK42" s="45"/>
      <c r="CL42" s="8"/>
      <c r="CM42" s="8"/>
      <c r="CN42" s="8"/>
      <c r="CO42" s="45"/>
      <c r="CP42" s="45"/>
      <c r="CQ42" s="8"/>
      <c r="CR42" s="45"/>
      <c r="CS42" s="32"/>
      <c r="CT42" s="45"/>
      <c r="CU42" s="8"/>
      <c r="CV42" s="45"/>
      <c r="CW42" s="45"/>
      <c r="CX42" s="45"/>
      <c r="CY42" s="8"/>
      <c r="CZ42" s="45"/>
      <c r="DA42" s="45"/>
      <c r="DB42" s="45"/>
      <c r="DC42" s="8"/>
      <c r="DD42" s="45"/>
      <c r="DE42" s="45"/>
      <c r="DF42" s="45"/>
      <c r="DG42" s="45"/>
      <c r="DH42" s="47"/>
      <c r="DI42" s="45"/>
      <c r="DJ42" s="45"/>
      <c r="DK42" s="45"/>
      <c r="DL42" s="45"/>
      <c r="DM42" s="45"/>
      <c r="DN42" s="45">
        <v>1000000</v>
      </c>
      <c r="DO42" s="45"/>
      <c r="DP42" s="45"/>
      <c r="DQ42" s="45">
        <v>-500000</v>
      </c>
      <c r="DR42" s="45">
        <f t="shared" si="65"/>
        <v>500000</v>
      </c>
      <c r="DS42" s="45">
        <f t="shared" si="66"/>
        <v>500000</v>
      </c>
      <c r="DT42" s="45">
        <v>-139661</v>
      </c>
      <c r="DU42" s="45">
        <f t="shared" si="67"/>
        <v>360339</v>
      </c>
      <c r="DV42" s="45">
        <f t="shared" si="68"/>
        <v>360339</v>
      </c>
      <c r="DW42" s="45">
        <v>360339</v>
      </c>
      <c r="DX42" s="45">
        <v>0</v>
      </c>
      <c r="DY42" s="9"/>
      <c r="DZ42" s="8">
        <f t="shared" si="69"/>
        <v>-360339</v>
      </c>
      <c r="EA42" s="47">
        <v>0</v>
      </c>
      <c r="EB42" s="8">
        <f t="shared" si="70"/>
        <v>-360339</v>
      </c>
      <c r="EC42" s="8">
        <f t="shared" si="71"/>
        <v>0</v>
      </c>
      <c r="ED42" s="71" t="s">
        <v>268</v>
      </c>
      <c r="EE42" s="44">
        <v>500000</v>
      </c>
      <c r="EF42" s="30">
        <f t="shared" si="72"/>
        <v>139661</v>
      </c>
      <c r="EG42" s="30">
        <f t="shared" si="73"/>
        <v>500000</v>
      </c>
      <c r="EH42" s="30">
        <f t="shared" si="74"/>
        <v>500000</v>
      </c>
      <c r="EI42" s="44">
        <v>0</v>
      </c>
      <c r="EJ42" s="30">
        <f t="shared" si="75"/>
        <v>-360339</v>
      </c>
      <c r="EK42" s="30">
        <f t="shared" si="76"/>
        <v>0</v>
      </c>
      <c r="EL42" s="30">
        <f t="shared" si="77"/>
        <v>-500000</v>
      </c>
      <c r="EM42" s="44">
        <v>0</v>
      </c>
      <c r="EN42" s="30">
        <f t="shared" si="95"/>
        <v>-360339</v>
      </c>
      <c r="EO42" s="30">
        <f t="shared" si="96"/>
        <v>0</v>
      </c>
      <c r="EP42" s="30">
        <f t="shared" si="97"/>
        <v>-500000</v>
      </c>
      <c r="EQ42" s="30">
        <f t="shared" si="78"/>
        <v>0</v>
      </c>
      <c r="ER42" s="44">
        <v>500000</v>
      </c>
      <c r="ES42" s="30">
        <f t="shared" si="79"/>
        <v>139661</v>
      </c>
      <c r="ET42" s="30">
        <f t="shared" si="80"/>
        <v>500000</v>
      </c>
      <c r="EU42" s="30">
        <f t="shared" si="81"/>
        <v>0</v>
      </c>
      <c r="EV42" s="30">
        <f t="shared" si="82"/>
        <v>500000</v>
      </c>
      <c r="EW42" s="44">
        <v>500000</v>
      </c>
      <c r="EX42" s="30">
        <f t="shared" si="83"/>
        <v>139661</v>
      </c>
      <c r="EY42" s="30">
        <f t="shared" si="84"/>
        <v>0</v>
      </c>
      <c r="EZ42" s="30">
        <f t="shared" ref="EZ42:EZ58" si="102">FA42-EW42</f>
        <v>0</v>
      </c>
      <c r="FA42" s="44">
        <v>500000</v>
      </c>
      <c r="FB42" s="30">
        <f t="shared" si="85"/>
        <v>139661</v>
      </c>
      <c r="FC42" s="30"/>
      <c r="FD42" s="30">
        <f t="shared" si="86"/>
        <v>500000</v>
      </c>
      <c r="FE42" s="30"/>
      <c r="FF42" s="30"/>
      <c r="FG42" s="30">
        <f t="shared" si="87"/>
        <v>500000</v>
      </c>
      <c r="FH42" s="31">
        <v>0</v>
      </c>
      <c r="FI42" s="30">
        <f t="shared" si="88"/>
        <v>-500000</v>
      </c>
      <c r="FJ42" s="30"/>
      <c r="FK42" s="30">
        <v>700000</v>
      </c>
      <c r="FL42" s="44">
        <f t="shared" si="89"/>
        <v>200000</v>
      </c>
      <c r="FM42" s="44">
        <f t="shared" si="90"/>
        <v>700000</v>
      </c>
      <c r="FN42" s="44" t="s">
        <v>334</v>
      </c>
      <c r="FO42" s="9"/>
    </row>
    <row r="43" spans="1:171" ht="25.5">
      <c r="A43" s="22" t="s">
        <v>30</v>
      </c>
      <c r="B43" s="23"/>
      <c r="C43" s="60" t="s">
        <v>320</v>
      </c>
      <c r="D43" s="25">
        <v>9100434</v>
      </c>
      <c r="E43" s="26">
        <v>9175041</v>
      </c>
      <c r="F43" s="26">
        <v>7723259</v>
      </c>
      <c r="G43" s="26">
        <v>6900841</v>
      </c>
      <c r="H43" s="27"/>
      <c r="I43" s="26">
        <f t="shared" si="0"/>
        <v>6900841</v>
      </c>
      <c r="J43" s="27">
        <v>-26365</v>
      </c>
      <c r="K43" s="27"/>
      <c r="L43" s="27">
        <f t="shared" si="1"/>
        <v>-26365</v>
      </c>
      <c r="M43" s="28">
        <f t="shared" si="9"/>
        <v>6874476</v>
      </c>
      <c r="N43" s="28">
        <v>6900841</v>
      </c>
      <c r="O43" s="28">
        <v>6740746</v>
      </c>
      <c r="P43" s="28">
        <v>6740746</v>
      </c>
      <c r="Q43" s="28">
        <v>6874476</v>
      </c>
      <c r="R43" s="28">
        <v>6874476</v>
      </c>
      <c r="S43" s="28">
        <v>1.9449999999999999E-2</v>
      </c>
      <c r="T43" s="28">
        <f t="shared" si="91"/>
        <v>-133708.5582</v>
      </c>
      <c r="U43" s="28">
        <f t="shared" si="92"/>
        <v>6740767.4418000001</v>
      </c>
      <c r="V43" s="28">
        <f t="shared" si="2"/>
        <v>-133708.55819999985</v>
      </c>
      <c r="W43" s="29">
        <v>6740746</v>
      </c>
      <c r="X43" s="29"/>
      <c r="Y43" s="29">
        <f t="shared" si="10"/>
        <v>6740746</v>
      </c>
      <c r="Z43" s="30">
        <v>7692193</v>
      </c>
      <c r="AA43" s="30">
        <f t="shared" si="11"/>
        <v>951447</v>
      </c>
      <c r="AB43" s="30">
        <v>6740746</v>
      </c>
      <c r="AC43" s="30">
        <v>7692193</v>
      </c>
      <c r="AD43" s="31">
        <v>6740746</v>
      </c>
      <c r="AE43" s="30">
        <f t="shared" si="101"/>
        <v>951447</v>
      </c>
      <c r="AF43" s="30">
        <f>AC43-W43+X43</f>
        <v>951447</v>
      </c>
      <c r="AG43" s="30"/>
      <c r="AH43" s="31">
        <v>6740746</v>
      </c>
      <c r="AI43" s="31">
        <v>6740746</v>
      </c>
      <c r="AJ43" s="30">
        <f t="shared" si="98"/>
        <v>0</v>
      </c>
      <c r="AK43" s="30">
        <f t="shared" si="12"/>
        <v>-951447</v>
      </c>
      <c r="AL43" s="30">
        <f t="shared" si="13"/>
        <v>-951447</v>
      </c>
      <c r="AM43" s="31">
        <f t="shared" si="14"/>
        <v>0</v>
      </c>
      <c r="AN43" s="31">
        <f t="shared" si="15"/>
        <v>-951447</v>
      </c>
      <c r="AO43" s="31">
        <f t="shared" si="4"/>
        <v>-951447</v>
      </c>
      <c r="AP43" s="30">
        <v>6740746</v>
      </c>
      <c r="AQ43" s="30">
        <f t="shared" si="5"/>
        <v>0</v>
      </c>
      <c r="AR43" s="30">
        <f t="shared" si="16"/>
        <v>-951447</v>
      </c>
      <c r="AS43" s="30">
        <f t="shared" si="17"/>
        <v>0</v>
      </c>
      <c r="AT43" s="30"/>
      <c r="AU43" s="30">
        <f t="shared" si="18"/>
        <v>6740746</v>
      </c>
      <c r="AV43" s="30">
        <v>9323711</v>
      </c>
      <c r="AW43" s="30">
        <f t="shared" si="19"/>
        <v>2582965</v>
      </c>
      <c r="AX43" s="30">
        <v>7650410</v>
      </c>
      <c r="AY43" s="31">
        <f t="shared" si="93"/>
        <v>909664</v>
      </c>
      <c r="AZ43" s="31">
        <f t="shared" si="94"/>
        <v>-1673301</v>
      </c>
      <c r="BA43" s="30">
        <v>7650410</v>
      </c>
      <c r="BB43" s="30">
        <f t="shared" si="20"/>
        <v>909664</v>
      </c>
      <c r="BC43" s="30">
        <f t="shared" si="21"/>
        <v>-1673301</v>
      </c>
      <c r="BD43" s="30">
        <f t="shared" si="22"/>
        <v>0</v>
      </c>
      <c r="BE43" s="30">
        <v>6849037</v>
      </c>
      <c r="BF43" s="30">
        <v>7667618</v>
      </c>
      <c r="BG43" s="30">
        <v>7667618</v>
      </c>
      <c r="BH43" s="30">
        <f t="shared" si="23"/>
        <v>926872</v>
      </c>
      <c r="BI43" s="30">
        <f t="shared" si="24"/>
        <v>-1656093</v>
      </c>
      <c r="BJ43" s="30">
        <f t="shared" si="25"/>
        <v>17208</v>
      </c>
      <c r="BK43" s="8">
        <f t="shared" si="26"/>
        <v>818581</v>
      </c>
      <c r="BL43" s="30">
        <v>50000</v>
      </c>
      <c r="BM43" s="34">
        <f t="shared" si="27"/>
        <v>7617618</v>
      </c>
      <c r="BN43" s="45">
        <v>9755007</v>
      </c>
      <c r="BO43" s="32">
        <f t="shared" si="28"/>
        <v>2137389</v>
      </c>
      <c r="BP43" s="45">
        <v>7677989</v>
      </c>
      <c r="BQ43" s="48">
        <f t="shared" si="29"/>
        <v>60371</v>
      </c>
      <c r="BR43" s="48">
        <f t="shared" si="30"/>
        <v>-2077018</v>
      </c>
      <c r="BS43" s="45">
        <f t="shared" si="100"/>
        <v>7677989</v>
      </c>
      <c r="BT43" s="49">
        <f t="shared" si="31"/>
        <v>60371</v>
      </c>
      <c r="BU43" s="49">
        <f t="shared" si="32"/>
        <v>-2077018</v>
      </c>
      <c r="BV43" s="49">
        <f t="shared" si="33"/>
        <v>0</v>
      </c>
      <c r="BW43" s="45">
        <v>7640268</v>
      </c>
      <c r="BX43" s="48">
        <f t="shared" si="34"/>
        <v>22650</v>
      </c>
      <c r="BY43" s="48">
        <f t="shared" si="35"/>
        <v>-2114739</v>
      </c>
      <c r="BZ43" s="48">
        <f t="shared" si="36"/>
        <v>-37721</v>
      </c>
      <c r="CA43" s="45">
        <f>7640268+250000</f>
        <v>7890268</v>
      </c>
      <c r="CB43" s="8">
        <f t="shared" si="37"/>
        <v>272650</v>
      </c>
      <c r="CC43" s="8">
        <f t="shared" si="38"/>
        <v>-1864739</v>
      </c>
      <c r="CD43" s="8">
        <f t="shared" si="6"/>
        <v>212279</v>
      </c>
      <c r="CE43" s="8">
        <f t="shared" si="39"/>
        <v>250000</v>
      </c>
      <c r="CF43" s="45">
        <v>7890268</v>
      </c>
      <c r="CG43" s="8">
        <f t="shared" si="40"/>
        <v>272650</v>
      </c>
      <c r="CH43" s="8">
        <f t="shared" si="41"/>
        <v>-1864739</v>
      </c>
      <c r="CI43" s="8">
        <f t="shared" si="42"/>
        <v>212279</v>
      </c>
      <c r="CJ43" s="8">
        <f t="shared" si="43"/>
        <v>0</v>
      </c>
      <c r="CK43" s="45">
        <v>7890268</v>
      </c>
      <c r="CL43" s="8">
        <f t="shared" si="7"/>
        <v>272650</v>
      </c>
      <c r="CM43" s="8">
        <f t="shared" si="44"/>
        <v>-1864739</v>
      </c>
      <c r="CN43" s="8">
        <f t="shared" si="45"/>
        <v>0</v>
      </c>
      <c r="CO43" s="45">
        <f>7706297</f>
        <v>7706297</v>
      </c>
      <c r="CP43" s="45">
        <f t="shared" si="46"/>
        <v>-2048710</v>
      </c>
      <c r="CQ43" s="8">
        <f t="shared" si="47"/>
        <v>-183971</v>
      </c>
      <c r="CR43" s="45">
        <v>7706297</v>
      </c>
      <c r="CS43" s="32">
        <v>300000</v>
      </c>
      <c r="CT43" s="45">
        <f t="shared" si="48"/>
        <v>8006297</v>
      </c>
      <c r="CU43" s="8">
        <f t="shared" si="49"/>
        <v>116029</v>
      </c>
      <c r="CV43" s="45">
        <f t="shared" si="50"/>
        <v>300000</v>
      </c>
      <c r="CW43" s="45">
        <f t="shared" si="51"/>
        <v>300000</v>
      </c>
      <c r="CX43" s="45">
        <v>7543523</v>
      </c>
      <c r="CY43" s="8">
        <f t="shared" si="52"/>
        <v>-346745</v>
      </c>
      <c r="CZ43" s="45">
        <f t="shared" si="53"/>
        <v>-162774</v>
      </c>
      <c r="DA43" s="45">
        <f t="shared" si="54"/>
        <v>-462774</v>
      </c>
      <c r="DB43" s="45">
        <v>7793523</v>
      </c>
      <c r="DC43" s="8">
        <f t="shared" si="55"/>
        <v>-96745</v>
      </c>
      <c r="DD43" s="45">
        <f t="shared" si="56"/>
        <v>87226</v>
      </c>
      <c r="DE43" s="45">
        <f t="shared" si="57"/>
        <v>-212774</v>
      </c>
      <c r="DF43" s="45">
        <f t="shared" si="58"/>
        <v>250000</v>
      </c>
      <c r="DG43" s="45">
        <v>8256297</v>
      </c>
      <c r="DH43" s="47">
        <f t="shared" si="59"/>
        <v>366029</v>
      </c>
      <c r="DI43" s="45">
        <f t="shared" si="60"/>
        <v>550000</v>
      </c>
      <c r="DJ43" s="45">
        <f t="shared" si="61"/>
        <v>250000</v>
      </c>
      <c r="DK43" s="45">
        <f t="shared" si="62"/>
        <v>462774</v>
      </c>
      <c r="DL43" s="45">
        <v>-250000</v>
      </c>
      <c r="DM43" s="45">
        <f t="shared" si="63"/>
        <v>8006297</v>
      </c>
      <c r="DN43" s="45">
        <v>8256297</v>
      </c>
      <c r="DO43" s="45">
        <f t="shared" si="64"/>
        <v>366029</v>
      </c>
      <c r="DP43" s="45"/>
      <c r="DQ43" s="45">
        <v>-50000</v>
      </c>
      <c r="DR43" s="45">
        <f t="shared" si="65"/>
        <v>8206297</v>
      </c>
      <c r="DS43" s="45">
        <f t="shared" si="66"/>
        <v>316029</v>
      </c>
      <c r="DT43" s="45">
        <v>-500000</v>
      </c>
      <c r="DU43" s="45">
        <f t="shared" si="67"/>
        <v>7706297</v>
      </c>
      <c r="DV43" s="45">
        <f t="shared" si="68"/>
        <v>-183971</v>
      </c>
      <c r="DW43" s="45">
        <v>7706297</v>
      </c>
      <c r="DX43" s="45">
        <v>17483679</v>
      </c>
      <c r="DY43" s="9"/>
      <c r="DZ43" s="8">
        <f t="shared" si="69"/>
        <v>9777382</v>
      </c>
      <c r="EA43" s="47">
        <v>7938413</v>
      </c>
      <c r="EB43" s="8">
        <f t="shared" si="70"/>
        <v>232116</v>
      </c>
      <c r="EC43" s="8">
        <f t="shared" si="71"/>
        <v>-9545266</v>
      </c>
      <c r="ED43" s="71" t="s">
        <v>270</v>
      </c>
      <c r="EE43" s="44">
        <v>7938413</v>
      </c>
      <c r="EF43" s="30">
        <f t="shared" si="72"/>
        <v>232116</v>
      </c>
      <c r="EG43" s="30">
        <f t="shared" si="73"/>
        <v>-9545266</v>
      </c>
      <c r="EH43" s="30">
        <f t="shared" si="74"/>
        <v>0</v>
      </c>
      <c r="EI43" s="44">
        <v>7580375</v>
      </c>
      <c r="EJ43" s="30">
        <f t="shared" si="75"/>
        <v>-125922</v>
      </c>
      <c r="EK43" s="30">
        <f t="shared" si="76"/>
        <v>-9903304</v>
      </c>
      <c r="EL43" s="30">
        <f t="shared" si="77"/>
        <v>-358038</v>
      </c>
      <c r="EM43" s="44">
        <f>7580375+60000+200000</f>
        <v>7840375</v>
      </c>
      <c r="EN43" s="30">
        <f t="shared" si="95"/>
        <v>134078</v>
      </c>
      <c r="EO43" s="30">
        <f t="shared" si="96"/>
        <v>-9643304</v>
      </c>
      <c r="EP43" s="30">
        <f t="shared" si="97"/>
        <v>-98038</v>
      </c>
      <c r="EQ43" s="30">
        <f t="shared" si="78"/>
        <v>260000</v>
      </c>
      <c r="ER43" s="44">
        <v>8448413</v>
      </c>
      <c r="ES43" s="30">
        <f t="shared" si="79"/>
        <v>742116</v>
      </c>
      <c r="ET43" s="30">
        <f t="shared" si="80"/>
        <v>-9035266</v>
      </c>
      <c r="EU43" s="30">
        <f t="shared" si="81"/>
        <v>510000</v>
      </c>
      <c r="EV43" s="30">
        <f t="shared" si="82"/>
        <v>608038</v>
      </c>
      <c r="EW43" s="44">
        <f>8448413-510000</f>
        <v>7938413</v>
      </c>
      <c r="EX43" s="30">
        <f t="shared" si="83"/>
        <v>232116</v>
      </c>
      <c r="EY43" s="30">
        <f t="shared" si="84"/>
        <v>-510000</v>
      </c>
      <c r="EZ43" s="30">
        <f t="shared" si="102"/>
        <v>510000</v>
      </c>
      <c r="FA43" s="44">
        <f>8448413</f>
        <v>8448413</v>
      </c>
      <c r="FB43" s="30">
        <f t="shared" si="85"/>
        <v>742116</v>
      </c>
      <c r="FC43" s="30"/>
      <c r="FD43" s="30">
        <f t="shared" si="86"/>
        <v>8448413</v>
      </c>
      <c r="FE43" s="30">
        <f>7906097-8448413</f>
        <v>-542316</v>
      </c>
      <c r="FF43" s="30"/>
      <c r="FG43" s="30">
        <f t="shared" si="87"/>
        <v>7906097</v>
      </c>
      <c r="FH43" s="31">
        <v>7889141</v>
      </c>
      <c r="FI43" s="30">
        <f t="shared" si="88"/>
        <v>-16956</v>
      </c>
      <c r="FJ43" s="44" t="s">
        <v>314</v>
      </c>
      <c r="FK43" s="44">
        <v>7391120</v>
      </c>
      <c r="FL43" s="44">
        <f t="shared" si="89"/>
        <v>-514977</v>
      </c>
      <c r="FM43" s="44">
        <f t="shared" si="90"/>
        <v>-498021</v>
      </c>
      <c r="FN43" s="44" t="s">
        <v>314</v>
      </c>
      <c r="FO43" s="9"/>
    </row>
    <row r="44" spans="1:171" ht="17.25" customHeight="1">
      <c r="A44" s="22" t="s">
        <v>32</v>
      </c>
      <c r="B44" s="23"/>
      <c r="C44" s="61" t="s">
        <v>39</v>
      </c>
      <c r="D44" s="25">
        <v>13000000</v>
      </c>
      <c r="E44" s="26">
        <v>17500000</v>
      </c>
      <c r="F44" s="26">
        <v>17413294</v>
      </c>
      <c r="G44" s="26">
        <v>15672375</v>
      </c>
      <c r="H44" s="27"/>
      <c r="I44" s="26">
        <f t="shared" si="0"/>
        <v>15672375</v>
      </c>
      <c r="J44" s="27"/>
      <c r="K44" s="27"/>
      <c r="L44" s="27">
        <f t="shared" si="1"/>
        <v>0</v>
      </c>
      <c r="M44" s="28">
        <f t="shared" si="9"/>
        <v>15672375</v>
      </c>
      <c r="N44" s="28">
        <v>15672375</v>
      </c>
      <c r="O44" s="28">
        <v>14918030</v>
      </c>
      <c r="P44" s="28">
        <v>14918030</v>
      </c>
      <c r="Q44" s="28">
        <v>15672374</v>
      </c>
      <c r="R44" s="28">
        <v>15485202</v>
      </c>
      <c r="S44" s="28">
        <v>0.1012</v>
      </c>
      <c r="T44" s="28">
        <f t="shared" si="91"/>
        <v>-1567102.4424000001</v>
      </c>
      <c r="U44" s="28">
        <f t="shared" si="92"/>
        <v>13918099.557599999</v>
      </c>
      <c r="V44" s="28">
        <f t="shared" si="2"/>
        <v>-1754275.442400001</v>
      </c>
      <c r="W44" s="29">
        <v>13918030</v>
      </c>
      <c r="X44" s="29"/>
      <c r="Y44" s="29">
        <f t="shared" si="10"/>
        <v>13918030</v>
      </c>
      <c r="Z44" s="30">
        <v>13918030</v>
      </c>
      <c r="AA44" s="30">
        <f t="shared" si="11"/>
        <v>0</v>
      </c>
      <c r="AB44" s="30">
        <v>13918030</v>
      </c>
      <c r="AC44" s="30">
        <v>13918030</v>
      </c>
      <c r="AD44" s="31">
        <v>13139669</v>
      </c>
      <c r="AE44" s="30"/>
      <c r="AF44" s="30"/>
      <c r="AG44" s="30"/>
      <c r="AH44" s="31">
        <v>13139669</v>
      </c>
      <c r="AI44" s="31">
        <v>13918030</v>
      </c>
      <c r="AJ44" s="30">
        <f t="shared" si="98"/>
        <v>-778361</v>
      </c>
      <c r="AK44" s="30">
        <f t="shared" si="12"/>
        <v>-778361</v>
      </c>
      <c r="AL44" s="30">
        <f t="shared" si="13"/>
        <v>-778361</v>
      </c>
      <c r="AM44" s="31">
        <f t="shared" si="14"/>
        <v>-778361</v>
      </c>
      <c r="AN44" s="31">
        <f t="shared" si="15"/>
        <v>-778361</v>
      </c>
      <c r="AO44" s="31">
        <f t="shared" si="4"/>
        <v>-778361</v>
      </c>
      <c r="AP44" s="30">
        <v>13918030</v>
      </c>
      <c r="AQ44" s="30">
        <f t="shared" si="5"/>
        <v>0</v>
      </c>
      <c r="AR44" s="30">
        <f t="shared" si="16"/>
        <v>0</v>
      </c>
      <c r="AS44" s="30">
        <f t="shared" si="17"/>
        <v>0</v>
      </c>
      <c r="AT44" s="30"/>
      <c r="AU44" s="30">
        <f t="shared" si="18"/>
        <v>13918030</v>
      </c>
      <c r="AV44" s="30">
        <v>14918030</v>
      </c>
      <c r="AW44" s="30">
        <f t="shared" si="19"/>
        <v>1000000</v>
      </c>
      <c r="AX44" s="30">
        <v>13918030</v>
      </c>
      <c r="AY44" s="31">
        <f t="shared" si="93"/>
        <v>0</v>
      </c>
      <c r="AZ44" s="31">
        <f t="shared" si="94"/>
        <v>-1000000</v>
      </c>
      <c r="BA44" s="30">
        <v>14168030</v>
      </c>
      <c r="BB44" s="30">
        <f t="shared" si="20"/>
        <v>250000</v>
      </c>
      <c r="BC44" s="30">
        <f t="shared" si="21"/>
        <v>-750000</v>
      </c>
      <c r="BD44" s="30">
        <f t="shared" si="22"/>
        <v>250000</v>
      </c>
      <c r="BE44" s="30">
        <v>14042764</v>
      </c>
      <c r="BF44" s="30">
        <v>14168030</v>
      </c>
      <c r="BG44" s="30">
        <v>14168030</v>
      </c>
      <c r="BH44" s="30">
        <f t="shared" si="23"/>
        <v>250000</v>
      </c>
      <c r="BI44" s="30">
        <f t="shared" si="24"/>
        <v>-750000</v>
      </c>
      <c r="BJ44" s="30">
        <f t="shared" si="25"/>
        <v>0</v>
      </c>
      <c r="BK44" s="8">
        <f t="shared" si="26"/>
        <v>125266</v>
      </c>
      <c r="BL44" s="30"/>
      <c r="BM44" s="34">
        <f t="shared" si="27"/>
        <v>14168030</v>
      </c>
      <c r="BN44" s="45">
        <v>19040030</v>
      </c>
      <c r="BO44" s="32">
        <f t="shared" si="28"/>
        <v>4872000</v>
      </c>
      <c r="BP44" s="45">
        <v>13918030</v>
      </c>
      <c r="BQ44" s="48">
        <f t="shared" si="29"/>
        <v>-250000</v>
      </c>
      <c r="BR44" s="48">
        <f t="shared" si="30"/>
        <v>-5122000</v>
      </c>
      <c r="BS44" s="45">
        <v>14168030</v>
      </c>
      <c r="BT44" s="49">
        <f t="shared" si="31"/>
        <v>0</v>
      </c>
      <c r="BU44" s="49">
        <f t="shared" si="32"/>
        <v>-4872000</v>
      </c>
      <c r="BV44" s="49">
        <f t="shared" si="33"/>
        <v>250000</v>
      </c>
      <c r="BW44" s="45">
        <v>13768030</v>
      </c>
      <c r="BX44" s="48">
        <f t="shared" si="34"/>
        <v>-400000</v>
      </c>
      <c r="BY44" s="48">
        <f t="shared" si="35"/>
        <v>-5272000</v>
      </c>
      <c r="BZ44" s="48">
        <f t="shared" si="36"/>
        <v>-400000</v>
      </c>
      <c r="CA44" s="45">
        <v>13768030</v>
      </c>
      <c r="CB44" s="8">
        <f t="shared" si="37"/>
        <v>-400000</v>
      </c>
      <c r="CC44" s="8">
        <f t="shared" si="38"/>
        <v>-5272000</v>
      </c>
      <c r="CD44" s="8">
        <f t="shared" si="6"/>
        <v>-400000</v>
      </c>
      <c r="CE44" s="8">
        <f t="shared" si="39"/>
        <v>0</v>
      </c>
      <c r="CF44" s="45">
        <v>14168030</v>
      </c>
      <c r="CG44" s="8">
        <f t="shared" si="40"/>
        <v>0</v>
      </c>
      <c r="CH44" s="8">
        <f t="shared" si="41"/>
        <v>-4872000</v>
      </c>
      <c r="CI44" s="8">
        <f t="shared" si="42"/>
        <v>0</v>
      </c>
      <c r="CJ44" s="8">
        <f t="shared" si="43"/>
        <v>400000</v>
      </c>
      <c r="CK44" s="45">
        <v>14168030</v>
      </c>
      <c r="CL44" s="8">
        <f t="shared" si="7"/>
        <v>0</v>
      </c>
      <c r="CM44" s="8">
        <f t="shared" si="44"/>
        <v>-4872000</v>
      </c>
      <c r="CN44" s="8">
        <f t="shared" si="45"/>
        <v>0</v>
      </c>
      <c r="CO44" s="45">
        <v>18168067</v>
      </c>
      <c r="CP44" s="45">
        <f t="shared" si="46"/>
        <v>-871963</v>
      </c>
      <c r="CQ44" s="8">
        <f t="shared" si="47"/>
        <v>4000037</v>
      </c>
      <c r="CR44" s="45">
        <v>15168750</v>
      </c>
      <c r="CS44" s="32"/>
      <c r="CT44" s="45">
        <f t="shared" si="48"/>
        <v>15168750</v>
      </c>
      <c r="CU44" s="8">
        <f t="shared" si="49"/>
        <v>1000720</v>
      </c>
      <c r="CV44" s="45">
        <f t="shared" si="50"/>
        <v>-2999317</v>
      </c>
      <c r="CW44" s="45">
        <f t="shared" si="51"/>
        <v>0</v>
      </c>
      <c r="CX44" s="45">
        <v>13668628</v>
      </c>
      <c r="CY44" s="8">
        <f t="shared" si="52"/>
        <v>-499402</v>
      </c>
      <c r="CZ44" s="45">
        <f t="shared" si="53"/>
        <v>-4499439</v>
      </c>
      <c r="DA44" s="45">
        <f t="shared" si="54"/>
        <v>-1500122</v>
      </c>
      <c r="DB44" s="45">
        <v>13668628</v>
      </c>
      <c r="DC44" s="8">
        <f t="shared" si="55"/>
        <v>-499402</v>
      </c>
      <c r="DD44" s="45">
        <f t="shared" si="56"/>
        <v>-4499439</v>
      </c>
      <c r="DE44" s="45">
        <f t="shared" si="57"/>
        <v>-1500122</v>
      </c>
      <c r="DF44" s="45">
        <f t="shared" si="58"/>
        <v>0</v>
      </c>
      <c r="DG44" s="45">
        <v>14668628</v>
      </c>
      <c r="DH44" s="47">
        <f t="shared" si="59"/>
        <v>500598</v>
      </c>
      <c r="DI44" s="45">
        <f t="shared" si="60"/>
        <v>-3499439</v>
      </c>
      <c r="DJ44" s="45">
        <f t="shared" si="61"/>
        <v>-500122</v>
      </c>
      <c r="DK44" s="45">
        <f t="shared" si="62"/>
        <v>1000000</v>
      </c>
      <c r="DL44" s="45"/>
      <c r="DM44" s="45">
        <f t="shared" si="63"/>
        <v>14668628</v>
      </c>
      <c r="DN44" s="45">
        <v>14668628</v>
      </c>
      <c r="DO44" s="45">
        <f t="shared" si="64"/>
        <v>500598</v>
      </c>
      <c r="DP44" s="45">
        <v>1000000</v>
      </c>
      <c r="DQ44" s="45">
        <v>-1000000</v>
      </c>
      <c r="DR44" s="45">
        <f t="shared" si="65"/>
        <v>14668628</v>
      </c>
      <c r="DS44" s="45">
        <f t="shared" si="66"/>
        <v>500598</v>
      </c>
      <c r="DT44" s="45"/>
      <c r="DU44" s="45">
        <f t="shared" si="67"/>
        <v>14668628</v>
      </c>
      <c r="DV44" s="45">
        <f t="shared" si="68"/>
        <v>500598</v>
      </c>
      <c r="DW44" s="45">
        <v>14668628</v>
      </c>
      <c r="DX44" s="45">
        <v>14673492</v>
      </c>
      <c r="DY44" s="9"/>
      <c r="DZ44" s="8">
        <f t="shared" si="69"/>
        <v>4864</v>
      </c>
      <c r="EA44" s="47">
        <v>13673492</v>
      </c>
      <c r="EB44" s="8">
        <f t="shared" si="70"/>
        <v>-995136</v>
      </c>
      <c r="EC44" s="8">
        <f t="shared" si="71"/>
        <v>-1000000</v>
      </c>
      <c r="ED44" s="71" t="s">
        <v>271</v>
      </c>
      <c r="EE44" s="44">
        <v>14223492</v>
      </c>
      <c r="EF44" s="30">
        <f t="shared" si="72"/>
        <v>-445136</v>
      </c>
      <c r="EG44" s="30">
        <f t="shared" si="73"/>
        <v>-450000</v>
      </c>
      <c r="EH44" s="30">
        <f t="shared" si="74"/>
        <v>550000</v>
      </c>
      <c r="EI44" s="44">
        <v>13673492</v>
      </c>
      <c r="EJ44" s="30">
        <f t="shared" si="75"/>
        <v>-995136</v>
      </c>
      <c r="EK44" s="30">
        <f t="shared" si="76"/>
        <v>-1000000</v>
      </c>
      <c r="EL44" s="30">
        <f t="shared" si="77"/>
        <v>-550000</v>
      </c>
      <c r="EM44" s="44">
        <v>13673492</v>
      </c>
      <c r="EN44" s="30">
        <f t="shared" si="95"/>
        <v>-995136</v>
      </c>
      <c r="EO44" s="30">
        <f t="shared" si="96"/>
        <v>-1000000</v>
      </c>
      <c r="EP44" s="30">
        <f t="shared" si="97"/>
        <v>-550000</v>
      </c>
      <c r="EQ44" s="30">
        <f t="shared" si="78"/>
        <v>0</v>
      </c>
      <c r="ER44" s="44">
        <v>14223492</v>
      </c>
      <c r="ES44" s="30">
        <f t="shared" si="79"/>
        <v>-445136</v>
      </c>
      <c r="ET44" s="30">
        <f t="shared" si="80"/>
        <v>-450000</v>
      </c>
      <c r="EU44" s="30">
        <f t="shared" si="81"/>
        <v>0</v>
      </c>
      <c r="EV44" s="30">
        <f t="shared" si="82"/>
        <v>550000</v>
      </c>
      <c r="EW44" s="44">
        <v>14223492</v>
      </c>
      <c r="EX44" s="30">
        <f t="shared" si="83"/>
        <v>-445136</v>
      </c>
      <c r="EY44" s="30">
        <f t="shared" si="84"/>
        <v>0</v>
      </c>
      <c r="EZ44" s="30">
        <f t="shared" si="102"/>
        <v>0</v>
      </c>
      <c r="FA44" s="44">
        <v>14223492</v>
      </c>
      <c r="FB44" s="30">
        <f t="shared" si="85"/>
        <v>-445136</v>
      </c>
      <c r="FC44" s="30"/>
      <c r="FD44" s="30">
        <f t="shared" si="86"/>
        <v>14223492</v>
      </c>
      <c r="FE44" s="30"/>
      <c r="FF44" s="30"/>
      <c r="FG44" s="30">
        <f t="shared" si="87"/>
        <v>14223492</v>
      </c>
      <c r="FH44" s="31">
        <v>14237835</v>
      </c>
      <c r="FI44" s="30">
        <f t="shared" si="88"/>
        <v>14343</v>
      </c>
      <c r="FJ44" s="44" t="s">
        <v>315</v>
      </c>
      <c r="FK44" s="44">
        <v>14237835</v>
      </c>
      <c r="FL44" s="44">
        <f t="shared" si="89"/>
        <v>14343</v>
      </c>
      <c r="FM44" s="44">
        <f t="shared" si="90"/>
        <v>0</v>
      </c>
      <c r="FN44" s="44" t="s">
        <v>315</v>
      </c>
      <c r="FO44" s="9"/>
    </row>
    <row r="45" spans="1:171" ht="12.75" hidden="1">
      <c r="A45" s="22" t="s">
        <v>38</v>
      </c>
      <c r="B45" s="23"/>
      <c r="C45" s="60" t="s">
        <v>191</v>
      </c>
      <c r="D45" s="25">
        <v>1575000</v>
      </c>
      <c r="E45" s="26">
        <v>1575000</v>
      </c>
      <c r="F45" s="26">
        <v>1306000</v>
      </c>
      <c r="G45" s="26">
        <v>721000</v>
      </c>
      <c r="H45" s="27"/>
      <c r="I45" s="26">
        <f t="shared" si="0"/>
        <v>721000</v>
      </c>
      <c r="J45" s="27"/>
      <c r="K45" s="27"/>
      <c r="L45" s="27">
        <f t="shared" si="1"/>
        <v>0</v>
      </c>
      <c r="M45" s="28">
        <f t="shared" si="9"/>
        <v>721000</v>
      </c>
      <c r="N45" s="28">
        <v>721000</v>
      </c>
      <c r="O45" s="28">
        <v>721000</v>
      </c>
      <c r="P45" s="28">
        <v>721000</v>
      </c>
      <c r="Q45" s="28">
        <v>500000</v>
      </c>
      <c r="R45" s="28">
        <v>721000</v>
      </c>
      <c r="S45" s="28">
        <v>0.44520999999999999</v>
      </c>
      <c r="T45" s="28">
        <f t="shared" si="91"/>
        <v>-320996.40999999997</v>
      </c>
      <c r="U45" s="28">
        <f t="shared" si="92"/>
        <v>400003.59</v>
      </c>
      <c r="V45" s="28">
        <f t="shared" si="2"/>
        <v>-320996.40999999997</v>
      </c>
      <c r="W45" s="29">
        <v>400000</v>
      </c>
      <c r="X45" s="29"/>
      <c r="Y45" s="29">
        <f t="shared" si="10"/>
        <v>400000</v>
      </c>
      <c r="Z45" s="30">
        <v>400000</v>
      </c>
      <c r="AA45" s="30">
        <f t="shared" si="11"/>
        <v>0</v>
      </c>
      <c r="AB45" s="30">
        <v>400000</v>
      </c>
      <c r="AC45" s="30">
        <v>400000</v>
      </c>
      <c r="AD45" s="31">
        <v>400000</v>
      </c>
      <c r="AE45" s="30"/>
      <c r="AF45" s="30"/>
      <c r="AG45" s="30"/>
      <c r="AH45" s="31">
        <v>400000</v>
      </c>
      <c r="AI45" s="31">
        <v>400000</v>
      </c>
      <c r="AJ45" s="30">
        <f t="shared" si="98"/>
        <v>0</v>
      </c>
      <c r="AK45" s="30">
        <f t="shared" si="12"/>
        <v>0</v>
      </c>
      <c r="AL45" s="30">
        <f t="shared" si="13"/>
        <v>0</v>
      </c>
      <c r="AM45" s="31">
        <f t="shared" si="14"/>
        <v>0</v>
      </c>
      <c r="AN45" s="31">
        <f t="shared" si="15"/>
        <v>0</v>
      </c>
      <c r="AO45" s="31">
        <f t="shared" si="4"/>
        <v>0</v>
      </c>
      <c r="AP45" s="30">
        <v>400000</v>
      </c>
      <c r="AQ45" s="30">
        <f t="shared" si="5"/>
        <v>0</v>
      </c>
      <c r="AR45" s="30">
        <f t="shared" si="16"/>
        <v>0</v>
      </c>
      <c r="AS45" s="30">
        <f t="shared" si="17"/>
        <v>0</v>
      </c>
      <c r="AT45" s="30"/>
      <c r="AU45" s="30">
        <f t="shared" si="18"/>
        <v>400000</v>
      </c>
      <c r="AV45" s="30">
        <v>400000</v>
      </c>
      <c r="AW45" s="30">
        <f t="shared" si="19"/>
        <v>0</v>
      </c>
      <c r="AX45" s="30">
        <v>400000</v>
      </c>
      <c r="AY45" s="31">
        <f t="shared" si="93"/>
        <v>0</v>
      </c>
      <c r="AZ45" s="31">
        <f t="shared" si="94"/>
        <v>0</v>
      </c>
      <c r="BA45" s="30">
        <v>400000</v>
      </c>
      <c r="BB45" s="30">
        <f t="shared" si="20"/>
        <v>0</v>
      </c>
      <c r="BC45" s="30">
        <f t="shared" si="21"/>
        <v>0</v>
      </c>
      <c r="BD45" s="30">
        <f t="shared" si="22"/>
        <v>0</v>
      </c>
      <c r="BE45" s="30">
        <f>400000+200000</f>
        <v>600000</v>
      </c>
      <c r="BF45" s="30">
        <v>475000</v>
      </c>
      <c r="BG45" s="30">
        <v>475000</v>
      </c>
      <c r="BH45" s="30">
        <f t="shared" si="23"/>
        <v>75000</v>
      </c>
      <c r="BI45" s="30">
        <f t="shared" si="24"/>
        <v>75000</v>
      </c>
      <c r="BJ45" s="30">
        <f t="shared" si="25"/>
        <v>75000</v>
      </c>
      <c r="BK45" s="8">
        <f t="shared" si="26"/>
        <v>-125000</v>
      </c>
      <c r="BL45" s="30"/>
      <c r="BM45" s="34">
        <f t="shared" si="27"/>
        <v>475000</v>
      </c>
      <c r="BN45" s="45">
        <v>475000</v>
      </c>
      <c r="BO45" s="32">
        <f t="shared" si="28"/>
        <v>0</v>
      </c>
      <c r="BP45" s="45">
        <v>0</v>
      </c>
      <c r="BQ45" s="48">
        <f t="shared" si="29"/>
        <v>-475000</v>
      </c>
      <c r="BR45" s="48">
        <f t="shared" si="30"/>
        <v>-475000</v>
      </c>
      <c r="BS45" s="45">
        <v>0</v>
      </c>
      <c r="BT45" s="49">
        <f t="shared" si="31"/>
        <v>-475000</v>
      </c>
      <c r="BU45" s="49">
        <f t="shared" si="32"/>
        <v>-475000</v>
      </c>
      <c r="BV45" s="49">
        <f t="shared" si="33"/>
        <v>0</v>
      </c>
      <c r="BW45" s="45">
        <v>0</v>
      </c>
      <c r="BX45" s="48">
        <f t="shared" si="34"/>
        <v>-475000</v>
      </c>
      <c r="BY45" s="48">
        <f t="shared" si="35"/>
        <v>-475000</v>
      </c>
      <c r="BZ45" s="48">
        <f t="shared" si="36"/>
        <v>0</v>
      </c>
      <c r="CA45" s="45">
        <v>0</v>
      </c>
      <c r="CB45" s="8">
        <f t="shared" si="37"/>
        <v>-475000</v>
      </c>
      <c r="CC45" s="8">
        <f t="shared" si="38"/>
        <v>-475000</v>
      </c>
      <c r="CD45" s="8">
        <f t="shared" si="6"/>
        <v>0</v>
      </c>
      <c r="CE45" s="8">
        <f t="shared" si="39"/>
        <v>0</v>
      </c>
      <c r="CF45" s="45">
        <v>0</v>
      </c>
      <c r="CG45" s="8">
        <f t="shared" si="40"/>
        <v>-475000</v>
      </c>
      <c r="CH45" s="8">
        <f t="shared" si="41"/>
        <v>-475000</v>
      </c>
      <c r="CI45" s="8">
        <f t="shared" si="42"/>
        <v>0</v>
      </c>
      <c r="CJ45" s="8">
        <f t="shared" si="43"/>
        <v>0</v>
      </c>
      <c r="CK45" s="45">
        <v>0</v>
      </c>
      <c r="CL45" s="8">
        <f t="shared" si="7"/>
        <v>-475000</v>
      </c>
      <c r="CM45" s="8">
        <f t="shared" si="44"/>
        <v>-475000</v>
      </c>
      <c r="CN45" s="8">
        <f t="shared" si="45"/>
        <v>0</v>
      </c>
      <c r="CO45" s="45">
        <v>0</v>
      </c>
      <c r="CP45" s="45">
        <f t="shared" si="46"/>
        <v>-475000</v>
      </c>
      <c r="CQ45" s="8">
        <f t="shared" si="47"/>
        <v>0</v>
      </c>
      <c r="CR45" s="45"/>
      <c r="CS45" s="32"/>
      <c r="CT45" s="45">
        <f t="shared" si="48"/>
        <v>0</v>
      </c>
      <c r="CU45" s="8">
        <f t="shared" si="49"/>
        <v>0</v>
      </c>
      <c r="CV45" s="45">
        <f t="shared" si="50"/>
        <v>0</v>
      </c>
      <c r="CW45" s="45">
        <f t="shared" si="51"/>
        <v>0</v>
      </c>
      <c r="CX45" s="45"/>
      <c r="CY45" s="8">
        <f t="shared" si="52"/>
        <v>0</v>
      </c>
      <c r="CZ45" s="45">
        <f t="shared" si="53"/>
        <v>0</v>
      </c>
      <c r="DA45" s="45">
        <f t="shared" si="54"/>
        <v>0</v>
      </c>
      <c r="DB45" s="45"/>
      <c r="DC45" s="8">
        <f t="shared" si="55"/>
        <v>0</v>
      </c>
      <c r="DD45" s="45">
        <f t="shared" si="56"/>
        <v>0</v>
      </c>
      <c r="DE45" s="45">
        <f t="shared" si="57"/>
        <v>0</v>
      </c>
      <c r="DF45" s="45">
        <f t="shared" si="58"/>
        <v>0</v>
      </c>
      <c r="DG45" s="45"/>
      <c r="DH45" s="47">
        <f t="shared" si="59"/>
        <v>0</v>
      </c>
      <c r="DI45" s="45">
        <f t="shared" si="60"/>
        <v>0</v>
      </c>
      <c r="DJ45" s="45">
        <f t="shared" si="61"/>
        <v>0</v>
      </c>
      <c r="DK45" s="45">
        <f t="shared" si="62"/>
        <v>0</v>
      </c>
      <c r="DL45" s="45"/>
      <c r="DM45" s="45">
        <f t="shared" si="63"/>
        <v>0</v>
      </c>
      <c r="DN45" s="45"/>
      <c r="DO45" s="45">
        <f t="shared" si="64"/>
        <v>0</v>
      </c>
      <c r="DP45" s="45"/>
      <c r="DQ45" s="45"/>
      <c r="DR45" s="45">
        <f t="shared" si="65"/>
        <v>0</v>
      </c>
      <c r="DS45" s="45">
        <f t="shared" si="66"/>
        <v>0</v>
      </c>
      <c r="DT45" s="45"/>
      <c r="DU45" s="45">
        <f t="shared" si="67"/>
        <v>0</v>
      </c>
      <c r="DV45" s="45">
        <f t="shared" si="68"/>
        <v>0</v>
      </c>
      <c r="DW45" s="45">
        <v>0</v>
      </c>
      <c r="DX45" s="45"/>
      <c r="DY45" s="9"/>
      <c r="DZ45" s="8">
        <f t="shared" si="69"/>
        <v>0</v>
      </c>
      <c r="EA45" s="47"/>
      <c r="EB45" s="8">
        <f t="shared" si="70"/>
        <v>0</v>
      </c>
      <c r="EC45" s="8">
        <f t="shared" si="71"/>
        <v>0</v>
      </c>
      <c r="ED45" s="73"/>
      <c r="EE45" s="44"/>
      <c r="EF45" s="30">
        <f t="shared" si="72"/>
        <v>0</v>
      </c>
      <c r="EG45" s="30">
        <f t="shared" si="73"/>
        <v>0</v>
      </c>
      <c r="EH45" s="30">
        <f t="shared" si="74"/>
        <v>0</v>
      </c>
      <c r="EI45" s="44"/>
      <c r="EJ45" s="30">
        <f t="shared" si="75"/>
        <v>0</v>
      </c>
      <c r="EK45" s="30">
        <f t="shared" si="76"/>
        <v>0</v>
      </c>
      <c r="EL45" s="30">
        <f t="shared" si="77"/>
        <v>0</v>
      </c>
      <c r="EM45" s="44"/>
      <c r="EN45" s="30">
        <f t="shared" si="95"/>
        <v>0</v>
      </c>
      <c r="EO45" s="30">
        <f t="shared" si="96"/>
        <v>0</v>
      </c>
      <c r="EP45" s="30">
        <f t="shared" si="97"/>
        <v>0</v>
      </c>
      <c r="EQ45" s="30">
        <f t="shared" si="78"/>
        <v>0</v>
      </c>
      <c r="ER45" s="44"/>
      <c r="ES45" s="30">
        <f t="shared" si="79"/>
        <v>0</v>
      </c>
      <c r="ET45" s="30">
        <f t="shared" si="80"/>
        <v>0</v>
      </c>
      <c r="EU45" s="30">
        <f t="shared" si="81"/>
        <v>0</v>
      </c>
      <c r="EV45" s="30">
        <f t="shared" si="82"/>
        <v>0</v>
      </c>
      <c r="EW45" s="44"/>
      <c r="EX45" s="30">
        <f t="shared" si="83"/>
        <v>0</v>
      </c>
      <c r="EY45" s="30">
        <f t="shared" si="84"/>
        <v>0</v>
      </c>
      <c r="EZ45" s="30">
        <f t="shared" si="102"/>
        <v>0</v>
      </c>
      <c r="FA45" s="44"/>
      <c r="FB45" s="30">
        <f t="shared" si="85"/>
        <v>0</v>
      </c>
      <c r="FC45" s="30"/>
      <c r="FD45" s="30">
        <f t="shared" si="86"/>
        <v>0</v>
      </c>
      <c r="FE45" s="30"/>
      <c r="FF45" s="30"/>
      <c r="FG45" s="30">
        <f t="shared" si="87"/>
        <v>0</v>
      </c>
      <c r="FH45" s="31"/>
      <c r="FI45" s="30">
        <f t="shared" si="88"/>
        <v>0</v>
      </c>
      <c r="FJ45" s="30"/>
      <c r="FK45" s="30"/>
      <c r="FL45" s="44">
        <f t="shared" si="89"/>
        <v>0</v>
      </c>
      <c r="FM45" s="44">
        <f t="shared" si="90"/>
        <v>0</v>
      </c>
      <c r="FN45" s="44"/>
      <c r="FO45" s="9"/>
    </row>
    <row r="46" spans="1:171" ht="12.75">
      <c r="A46" s="22" t="s">
        <v>97</v>
      </c>
      <c r="B46" s="23"/>
      <c r="C46" s="61" t="s">
        <v>163</v>
      </c>
      <c r="D46" s="25"/>
      <c r="E46" s="26"/>
      <c r="F46" s="26"/>
      <c r="G46" s="26"/>
      <c r="H46" s="27"/>
      <c r="I46" s="26"/>
      <c r="J46" s="27"/>
      <c r="K46" s="27"/>
      <c r="L46" s="27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9"/>
      <c r="X46" s="29"/>
      <c r="Y46" s="29">
        <f t="shared" si="10"/>
        <v>0</v>
      </c>
      <c r="Z46" s="30">
        <v>1367409</v>
      </c>
      <c r="AA46" s="30">
        <f t="shared" si="11"/>
        <v>1367409</v>
      </c>
      <c r="AB46" s="30">
        <v>1265038</v>
      </c>
      <c r="AC46" s="30">
        <v>1367409</v>
      </c>
      <c r="AD46" s="31">
        <v>1367409</v>
      </c>
      <c r="AE46" s="30">
        <f t="shared" si="101"/>
        <v>102371</v>
      </c>
      <c r="AF46" s="30">
        <f>AC46-W46+X46</f>
        <v>1367409</v>
      </c>
      <c r="AG46" s="30"/>
      <c r="AH46" s="31">
        <v>1367409</v>
      </c>
      <c r="AI46" s="31">
        <v>1367409</v>
      </c>
      <c r="AJ46" s="30">
        <f t="shared" si="98"/>
        <v>1367409</v>
      </c>
      <c r="AK46" s="30">
        <f t="shared" si="12"/>
        <v>0</v>
      </c>
      <c r="AL46" s="30">
        <f t="shared" si="13"/>
        <v>0</v>
      </c>
      <c r="AM46" s="31">
        <f t="shared" si="14"/>
        <v>1367409</v>
      </c>
      <c r="AN46" s="31">
        <f t="shared" si="15"/>
        <v>0</v>
      </c>
      <c r="AO46" s="31">
        <f t="shared" si="4"/>
        <v>0</v>
      </c>
      <c r="AP46" s="30">
        <v>1367409</v>
      </c>
      <c r="AQ46" s="30">
        <f t="shared" si="5"/>
        <v>1367409</v>
      </c>
      <c r="AR46" s="30">
        <f t="shared" si="16"/>
        <v>0</v>
      </c>
      <c r="AS46" s="30">
        <f t="shared" si="17"/>
        <v>1367409</v>
      </c>
      <c r="AT46" s="30"/>
      <c r="AU46" s="30">
        <f t="shared" si="18"/>
        <v>1367409</v>
      </c>
      <c r="AV46" s="30">
        <v>1405317</v>
      </c>
      <c r="AW46" s="30">
        <f t="shared" si="19"/>
        <v>37908</v>
      </c>
      <c r="AX46" s="30">
        <v>1405317</v>
      </c>
      <c r="AY46" s="31">
        <f t="shared" si="93"/>
        <v>37908</v>
      </c>
      <c r="AZ46" s="31">
        <f t="shared" si="94"/>
        <v>0</v>
      </c>
      <c r="BA46" s="30">
        <v>1405317</v>
      </c>
      <c r="BB46" s="30">
        <f t="shared" si="20"/>
        <v>37908</v>
      </c>
      <c r="BC46" s="30">
        <f t="shared" si="21"/>
        <v>0</v>
      </c>
      <c r="BD46" s="30">
        <f t="shared" si="22"/>
        <v>0</v>
      </c>
      <c r="BE46" s="30">
        <v>1405317</v>
      </c>
      <c r="BF46" s="30">
        <v>1405317</v>
      </c>
      <c r="BG46" s="30">
        <v>1405317</v>
      </c>
      <c r="BH46" s="30">
        <f t="shared" si="23"/>
        <v>37908</v>
      </c>
      <c r="BI46" s="30">
        <f t="shared" si="24"/>
        <v>0</v>
      </c>
      <c r="BJ46" s="30">
        <f t="shared" si="25"/>
        <v>0</v>
      </c>
      <c r="BK46" s="8">
        <f t="shared" si="26"/>
        <v>0</v>
      </c>
      <c r="BL46" s="30"/>
      <c r="BM46" s="34">
        <f t="shared" si="27"/>
        <v>1405317</v>
      </c>
      <c r="BN46" s="45">
        <v>1842712</v>
      </c>
      <c r="BO46" s="32">
        <f t="shared" si="28"/>
        <v>437395</v>
      </c>
      <c r="BP46" s="45">
        <v>1405317</v>
      </c>
      <c r="BQ46" s="48">
        <f t="shared" si="29"/>
        <v>0</v>
      </c>
      <c r="BR46" s="48">
        <f t="shared" si="30"/>
        <v>-437395</v>
      </c>
      <c r="BS46" s="45">
        <f>BP46</f>
        <v>1405317</v>
      </c>
      <c r="BT46" s="49">
        <f t="shared" si="31"/>
        <v>0</v>
      </c>
      <c r="BU46" s="49">
        <f t="shared" si="32"/>
        <v>-437395</v>
      </c>
      <c r="BV46" s="49">
        <f t="shared" si="33"/>
        <v>0</v>
      </c>
      <c r="BW46" s="45">
        <v>1842412</v>
      </c>
      <c r="BX46" s="48">
        <f t="shared" si="34"/>
        <v>437095</v>
      </c>
      <c r="BY46" s="48">
        <f t="shared" si="35"/>
        <v>-300</v>
      </c>
      <c r="BZ46" s="48">
        <f t="shared" si="36"/>
        <v>437095</v>
      </c>
      <c r="CA46" s="45">
        <v>1842412</v>
      </c>
      <c r="CB46" s="8">
        <f t="shared" si="37"/>
        <v>437095</v>
      </c>
      <c r="CC46" s="8">
        <f t="shared" si="38"/>
        <v>-300</v>
      </c>
      <c r="CD46" s="8">
        <f t="shared" si="6"/>
        <v>437095</v>
      </c>
      <c r="CE46" s="8">
        <f t="shared" si="39"/>
        <v>0</v>
      </c>
      <c r="CF46" s="45">
        <v>1842412</v>
      </c>
      <c r="CG46" s="8">
        <f t="shared" si="40"/>
        <v>437095</v>
      </c>
      <c r="CH46" s="8">
        <f t="shared" si="41"/>
        <v>-300</v>
      </c>
      <c r="CI46" s="8">
        <f t="shared" si="42"/>
        <v>437095</v>
      </c>
      <c r="CJ46" s="8">
        <f t="shared" si="43"/>
        <v>0</v>
      </c>
      <c r="CK46" s="45">
        <v>1842412</v>
      </c>
      <c r="CL46" s="8">
        <f t="shared" si="7"/>
        <v>437095</v>
      </c>
      <c r="CM46" s="8">
        <f t="shared" si="44"/>
        <v>-300</v>
      </c>
      <c r="CN46" s="8">
        <f t="shared" si="45"/>
        <v>0</v>
      </c>
      <c r="CO46" s="45">
        <v>1806680</v>
      </c>
      <c r="CP46" s="45">
        <f t="shared" si="46"/>
        <v>-36032</v>
      </c>
      <c r="CQ46" s="8">
        <f t="shared" si="47"/>
        <v>-35732</v>
      </c>
      <c r="CR46" s="45">
        <v>1806680</v>
      </c>
      <c r="CS46" s="32"/>
      <c r="CT46" s="45">
        <f t="shared" si="48"/>
        <v>1806680</v>
      </c>
      <c r="CU46" s="8">
        <f t="shared" si="49"/>
        <v>-35732</v>
      </c>
      <c r="CV46" s="45">
        <f t="shared" si="50"/>
        <v>0</v>
      </c>
      <c r="CW46" s="45">
        <f t="shared" si="51"/>
        <v>0</v>
      </c>
      <c r="CX46" s="45">
        <v>1824546</v>
      </c>
      <c r="CY46" s="8">
        <f t="shared" si="52"/>
        <v>-17866</v>
      </c>
      <c r="CZ46" s="45">
        <f t="shared" si="53"/>
        <v>17866</v>
      </c>
      <c r="DA46" s="45">
        <f t="shared" si="54"/>
        <v>17866</v>
      </c>
      <c r="DB46" s="45">
        <v>1824546</v>
      </c>
      <c r="DC46" s="8">
        <f t="shared" si="55"/>
        <v>-17866</v>
      </c>
      <c r="DD46" s="45">
        <f t="shared" si="56"/>
        <v>17866</v>
      </c>
      <c r="DE46" s="45">
        <f t="shared" si="57"/>
        <v>17866</v>
      </c>
      <c r="DF46" s="45">
        <f t="shared" si="58"/>
        <v>0</v>
      </c>
      <c r="DG46" s="45">
        <v>1824546</v>
      </c>
      <c r="DH46" s="47">
        <f t="shared" si="59"/>
        <v>-17866</v>
      </c>
      <c r="DI46" s="45">
        <f t="shared" si="60"/>
        <v>17866</v>
      </c>
      <c r="DJ46" s="45">
        <f t="shared" si="61"/>
        <v>17866</v>
      </c>
      <c r="DK46" s="45">
        <f t="shared" si="62"/>
        <v>0</v>
      </c>
      <c r="DL46" s="45"/>
      <c r="DM46" s="45">
        <f t="shared" si="63"/>
        <v>1824546</v>
      </c>
      <c r="DN46" s="45">
        <v>1824546</v>
      </c>
      <c r="DO46" s="45">
        <f t="shared" si="64"/>
        <v>-17866</v>
      </c>
      <c r="DP46" s="45"/>
      <c r="DQ46" s="45">
        <v>0</v>
      </c>
      <c r="DR46" s="45">
        <f t="shared" si="65"/>
        <v>1824546</v>
      </c>
      <c r="DS46" s="45">
        <f t="shared" si="66"/>
        <v>-17866</v>
      </c>
      <c r="DT46" s="45"/>
      <c r="DU46" s="45">
        <f t="shared" si="67"/>
        <v>1824546</v>
      </c>
      <c r="DV46" s="45">
        <f t="shared" si="68"/>
        <v>-17866</v>
      </c>
      <c r="DW46" s="45">
        <v>1824546</v>
      </c>
      <c r="DX46" s="45">
        <v>2065969</v>
      </c>
      <c r="DY46" s="9"/>
      <c r="DZ46" s="8">
        <f t="shared" si="69"/>
        <v>241423</v>
      </c>
      <c r="EA46" s="47">
        <v>1824546</v>
      </c>
      <c r="EB46" s="8">
        <f t="shared" si="70"/>
        <v>0</v>
      </c>
      <c r="EC46" s="8">
        <f t="shared" si="71"/>
        <v>-241423</v>
      </c>
      <c r="ED46" s="73"/>
      <c r="EE46" s="44">
        <v>1824546</v>
      </c>
      <c r="EF46" s="30">
        <f t="shared" si="72"/>
        <v>0</v>
      </c>
      <c r="EG46" s="30">
        <f t="shared" si="73"/>
        <v>-241423</v>
      </c>
      <c r="EH46" s="30">
        <f t="shared" si="74"/>
        <v>0</v>
      </c>
      <c r="EI46" s="44">
        <v>1865969</v>
      </c>
      <c r="EJ46" s="30">
        <f t="shared" si="75"/>
        <v>41423</v>
      </c>
      <c r="EK46" s="30">
        <f t="shared" si="76"/>
        <v>-200000</v>
      </c>
      <c r="EL46" s="30">
        <f t="shared" si="77"/>
        <v>41423</v>
      </c>
      <c r="EM46" s="44">
        <v>1865969</v>
      </c>
      <c r="EN46" s="30">
        <f t="shared" si="95"/>
        <v>41423</v>
      </c>
      <c r="EO46" s="30">
        <f t="shared" si="96"/>
        <v>-200000</v>
      </c>
      <c r="EP46" s="30">
        <f t="shared" si="97"/>
        <v>41423</v>
      </c>
      <c r="EQ46" s="30">
        <f t="shared" si="78"/>
        <v>0</v>
      </c>
      <c r="ER46" s="44">
        <v>1824546</v>
      </c>
      <c r="ES46" s="30">
        <f t="shared" si="79"/>
        <v>0</v>
      </c>
      <c r="ET46" s="30">
        <f t="shared" si="80"/>
        <v>-241423</v>
      </c>
      <c r="EU46" s="30">
        <f t="shared" si="81"/>
        <v>0</v>
      </c>
      <c r="EV46" s="30">
        <f t="shared" si="82"/>
        <v>-41423</v>
      </c>
      <c r="EW46" s="44">
        <v>1824546</v>
      </c>
      <c r="EX46" s="30">
        <f t="shared" si="83"/>
        <v>0</v>
      </c>
      <c r="EY46" s="30">
        <f t="shared" si="84"/>
        <v>0</v>
      </c>
      <c r="EZ46" s="30">
        <f t="shared" si="102"/>
        <v>0</v>
      </c>
      <c r="FA46" s="44">
        <v>1824546</v>
      </c>
      <c r="FB46" s="30">
        <f t="shared" si="85"/>
        <v>0</v>
      </c>
      <c r="FC46" s="30"/>
      <c r="FD46" s="30">
        <f t="shared" si="86"/>
        <v>1824546</v>
      </c>
      <c r="FE46" s="30">
        <f>1750519-1824546</f>
        <v>-74027</v>
      </c>
      <c r="FF46" s="30"/>
      <c r="FG46" s="30">
        <f t="shared" si="87"/>
        <v>1750519</v>
      </c>
      <c r="FH46" s="31">
        <v>1748106</v>
      </c>
      <c r="FI46" s="30">
        <f t="shared" si="88"/>
        <v>-2413</v>
      </c>
      <c r="FJ46" s="30"/>
      <c r="FK46" s="30">
        <v>1746349</v>
      </c>
      <c r="FL46" s="44">
        <f t="shared" si="89"/>
        <v>-4170</v>
      </c>
      <c r="FM46" s="44">
        <f t="shared" si="90"/>
        <v>-1757</v>
      </c>
      <c r="FN46" s="44"/>
      <c r="FO46" s="9"/>
    </row>
    <row r="47" spans="1:171" ht="12.75" hidden="1" customHeight="1">
      <c r="A47" s="22" t="s">
        <v>23</v>
      </c>
      <c r="B47" s="23"/>
      <c r="C47" s="61" t="s">
        <v>147</v>
      </c>
      <c r="D47" s="25">
        <v>1820065</v>
      </c>
      <c r="E47" s="26">
        <v>2032758</v>
      </c>
      <c r="F47" s="26">
        <v>1860686</v>
      </c>
      <c r="G47" s="26">
        <f>1546270+50000</f>
        <v>1596270</v>
      </c>
      <c r="H47" s="27">
        <v>-50000</v>
      </c>
      <c r="I47" s="26">
        <f t="shared" si="0"/>
        <v>1546270</v>
      </c>
      <c r="J47" s="27">
        <v>-26927</v>
      </c>
      <c r="K47" s="27"/>
      <c r="L47" s="27">
        <f t="shared" si="1"/>
        <v>-26927</v>
      </c>
      <c r="M47" s="28">
        <f t="shared" si="9"/>
        <v>1519343</v>
      </c>
      <c r="N47" s="28">
        <v>1519343</v>
      </c>
      <c r="O47" s="28">
        <v>1488306</v>
      </c>
      <c r="P47" s="28">
        <v>1488306</v>
      </c>
      <c r="Q47" s="28">
        <v>1367409</v>
      </c>
      <c r="R47" s="28">
        <v>1488306</v>
      </c>
      <c r="S47" s="28">
        <v>8.1229999999999997E-2</v>
      </c>
      <c r="T47" s="28">
        <f t="shared" si="91"/>
        <v>-120895.09637999999</v>
      </c>
      <c r="U47" s="28">
        <f t="shared" si="92"/>
        <v>1367410.90362</v>
      </c>
      <c r="V47" s="28">
        <f t="shared" ref="V47:V54" si="103">U47-M47</f>
        <v>-151932.09638</v>
      </c>
      <c r="W47" s="29">
        <v>1367409</v>
      </c>
      <c r="X47" s="29"/>
      <c r="Y47" s="29">
        <f t="shared" si="10"/>
        <v>1367409</v>
      </c>
      <c r="Z47" s="30">
        <v>0</v>
      </c>
      <c r="AA47" s="30">
        <f t="shared" si="11"/>
        <v>-1367409</v>
      </c>
      <c r="AB47" s="30"/>
      <c r="AC47" s="30"/>
      <c r="AD47" s="31"/>
      <c r="AE47" s="30"/>
      <c r="AF47" s="30">
        <f>AC47-W47+X47</f>
        <v>-1367409</v>
      </c>
      <c r="AG47" s="30"/>
      <c r="AH47" s="31"/>
      <c r="AI47" s="31"/>
      <c r="AJ47" s="30">
        <f t="shared" si="98"/>
        <v>-1367409</v>
      </c>
      <c r="AK47" s="30">
        <f t="shared" si="12"/>
        <v>0</v>
      </c>
      <c r="AL47" s="30">
        <f t="shared" si="13"/>
        <v>0</v>
      </c>
      <c r="AM47" s="31">
        <f t="shared" si="14"/>
        <v>-1367409</v>
      </c>
      <c r="AN47" s="31">
        <f t="shared" si="15"/>
        <v>0</v>
      </c>
      <c r="AO47" s="31">
        <f t="shared" si="4"/>
        <v>0</v>
      </c>
      <c r="AP47" s="30"/>
      <c r="AQ47" s="30">
        <f t="shared" si="5"/>
        <v>-1367409</v>
      </c>
      <c r="AR47" s="30">
        <f t="shared" si="16"/>
        <v>0</v>
      </c>
      <c r="AS47" s="30">
        <f t="shared" si="17"/>
        <v>-1367409</v>
      </c>
      <c r="AT47" s="30"/>
      <c r="AU47" s="30">
        <f t="shared" si="18"/>
        <v>0</v>
      </c>
      <c r="AV47" s="30">
        <v>0</v>
      </c>
      <c r="AW47" s="30">
        <f t="shared" si="19"/>
        <v>0</v>
      </c>
      <c r="AX47" s="30">
        <v>0</v>
      </c>
      <c r="AY47" s="31">
        <f t="shared" si="93"/>
        <v>0</v>
      </c>
      <c r="AZ47" s="31">
        <f t="shared" si="94"/>
        <v>0</v>
      </c>
      <c r="BA47" s="30">
        <v>0</v>
      </c>
      <c r="BB47" s="30">
        <f t="shared" si="20"/>
        <v>0</v>
      </c>
      <c r="BC47" s="30">
        <f t="shared" si="21"/>
        <v>0</v>
      </c>
      <c r="BD47" s="30">
        <f t="shared" si="22"/>
        <v>0</v>
      </c>
      <c r="BE47" s="30"/>
      <c r="BF47" s="30"/>
      <c r="BG47" s="30"/>
      <c r="BH47" s="30">
        <f t="shared" si="23"/>
        <v>0</v>
      </c>
      <c r="BI47" s="30">
        <f t="shared" si="24"/>
        <v>0</v>
      </c>
      <c r="BJ47" s="30">
        <f t="shared" si="25"/>
        <v>0</v>
      </c>
      <c r="BK47" s="8">
        <f t="shared" si="26"/>
        <v>0</v>
      </c>
      <c r="BL47" s="30"/>
      <c r="BM47" s="30">
        <f t="shared" si="27"/>
        <v>0</v>
      </c>
      <c r="BN47" s="44"/>
      <c r="BO47" s="31">
        <f t="shared" si="28"/>
        <v>0</v>
      </c>
      <c r="BP47" s="44">
        <v>0</v>
      </c>
      <c r="BQ47" s="8">
        <f t="shared" si="29"/>
        <v>0</v>
      </c>
      <c r="BR47" s="8">
        <f t="shared" si="30"/>
        <v>0</v>
      </c>
      <c r="BS47" s="44"/>
      <c r="BT47" s="47">
        <f t="shared" si="31"/>
        <v>0</v>
      </c>
      <c r="BU47" s="47">
        <f t="shared" si="32"/>
        <v>0</v>
      </c>
      <c r="BV47" s="47">
        <f t="shared" si="33"/>
        <v>0</v>
      </c>
      <c r="BW47" s="45"/>
      <c r="BX47" s="8">
        <f t="shared" si="34"/>
        <v>0</v>
      </c>
      <c r="BY47" s="8">
        <f t="shared" si="35"/>
        <v>0</v>
      </c>
      <c r="BZ47" s="8">
        <f t="shared" si="36"/>
        <v>0</v>
      </c>
      <c r="CA47" s="45"/>
      <c r="CB47" s="8">
        <f t="shared" si="37"/>
        <v>0</v>
      </c>
      <c r="CC47" s="8">
        <f t="shared" si="38"/>
        <v>0</v>
      </c>
      <c r="CD47" s="8">
        <f t="shared" si="6"/>
        <v>0</v>
      </c>
      <c r="CE47" s="8">
        <f t="shared" si="39"/>
        <v>0</v>
      </c>
      <c r="CF47" s="45"/>
      <c r="CG47" s="8">
        <f t="shared" si="40"/>
        <v>0</v>
      </c>
      <c r="CH47" s="8">
        <f t="shared" si="41"/>
        <v>0</v>
      </c>
      <c r="CI47" s="8">
        <f t="shared" si="42"/>
        <v>0</v>
      </c>
      <c r="CJ47" s="8">
        <f t="shared" si="43"/>
        <v>0</v>
      </c>
      <c r="CK47" s="45"/>
      <c r="CL47" s="8">
        <f t="shared" si="7"/>
        <v>0</v>
      </c>
      <c r="CM47" s="8">
        <f t="shared" si="44"/>
        <v>0</v>
      </c>
      <c r="CN47" s="8">
        <f t="shared" si="45"/>
        <v>0</v>
      </c>
      <c r="CO47" s="45"/>
      <c r="CP47" s="45">
        <f t="shared" si="46"/>
        <v>0</v>
      </c>
      <c r="CQ47" s="8">
        <f t="shared" si="47"/>
        <v>0</v>
      </c>
      <c r="CR47" s="45"/>
      <c r="CS47" s="32"/>
      <c r="CT47" s="45">
        <f t="shared" si="48"/>
        <v>0</v>
      </c>
      <c r="CU47" s="8">
        <f t="shared" si="49"/>
        <v>0</v>
      </c>
      <c r="CV47" s="45">
        <f t="shared" si="50"/>
        <v>0</v>
      </c>
      <c r="CW47" s="45">
        <f t="shared" si="51"/>
        <v>0</v>
      </c>
      <c r="CX47" s="45"/>
      <c r="CY47" s="8">
        <f t="shared" si="52"/>
        <v>0</v>
      </c>
      <c r="CZ47" s="45">
        <f t="shared" si="53"/>
        <v>0</v>
      </c>
      <c r="DA47" s="45">
        <f t="shared" si="54"/>
        <v>0</v>
      </c>
      <c r="DB47" s="45"/>
      <c r="DC47" s="8">
        <f t="shared" si="55"/>
        <v>0</v>
      </c>
      <c r="DD47" s="45">
        <f t="shared" si="56"/>
        <v>0</v>
      </c>
      <c r="DE47" s="45">
        <f t="shared" si="57"/>
        <v>0</v>
      </c>
      <c r="DF47" s="45">
        <f t="shared" si="58"/>
        <v>0</v>
      </c>
      <c r="DG47" s="45"/>
      <c r="DH47" s="47">
        <f t="shared" si="59"/>
        <v>0</v>
      </c>
      <c r="DI47" s="45">
        <f t="shared" si="60"/>
        <v>0</v>
      </c>
      <c r="DJ47" s="45">
        <f t="shared" si="61"/>
        <v>0</v>
      </c>
      <c r="DK47" s="45">
        <f t="shared" si="62"/>
        <v>0</v>
      </c>
      <c r="DL47" s="45"/>
      <c r="DM47" s="45">
        <f t="shared" si="63"/>
        <v>0</v>
      </c>
      <c r="DN47" s="45"/>
      <c r="DO47" s="45">
        <f t="shared" si="64"/>
        <v>0</v>
      </c>
      <c r="DP47" s="45"/>
      <c r="DQ47" s="45"/>
      <c r="DR47" s="45">
        <f t="shared" si="65"/>
        <v>0</v>
      </c>
      <c r="DS47" s="45">
        <f t="shared" si="66"/>
        <v>0</v>
      </c>
      <c r="DT47" s="45"/>
      <c r="DU47" s="45">
        <f t="shared" si="67"/>
        <v>0</v>
      </c>
      <c r="DV47" s="45">
        <f t="shared" si="68"/>
        <v>0</v>
      </c>
      <c r="DW47" s="45">
        <v>0</v>
      </c>
      <c r="DX47" s="45"/>
      <c r="DY47" s="9"/>
      <c r="DZ47" s="8">
        <f t="shared" si="69"/>
        <v>0</v>
      </c>
      <c r="EA47" s="47"/>
      <c r="EB47" s="8">
        <f t="shared" si="70"/>
        <v>0</v>
      </c>
      <c r="EC47" s="8">
        <f t="shared" si="71"/>
        <v>0</v>
      </c>
      <c r="ED47" s="73"/>
      <c r="EE47" s="44"/>
      <c r="EF47" s="30">
        <f t="shared" si="72"/>
        <v>0</v>
      </c>
      <c r="EG47" s="30">
        <f t="shared" si="73"/>
        <v>0</v>
      </c>
      <c r="EH47" s="30">
        <f t="shared" si="74"/>
        <v>0</v>
      </c>
      <c r="EI47" s="44"/>
      <c r="EJ47" s="30">
        <f t="shared" si="75"/>
        <v>0</v>
      </c>
      <c r="EK47" s="30">
        <f t="shared" si="76"/>
        <v>0</v>
      </c>
      <c r="EL47" s="30">
        <f t="shared" si="77"/>
        <v>0</v>
      </c>
      <c r="EM47" s="44"/>
      <c r="EN47" s="30">
        <f t="shared" si="95"/>
        <v>0</v>
      </c>
      <c r="EO47" s="30">
        <f t="shared" si="96"/>
        <v>0</v>
      </c>
      <c r="EP47" s="30">
        <f t="shared" si="97"/>
        <v>0</v>
      </c>
      <c r="EQ47" s="30">
        <f t="shared" si="78"/>
        <v>0</v>
      </c>
      <c r="ER47" s="44"/>
      <c r="ES47" s="30">
        <f t="shared" si="79"/>
        <v>0</v>
      </c>
      <c r="ET47" s="30">
        <f t="shared" si="80"/>
        <v>0</v>
      </c>
      <c r="EU47" s="30">
        <f t="shared" si="81"/>
        <v>0</v>
      </c>
      <c r="EV47" s="30">
        <f t="shared" si="82"/>
        <v>0</v>
      </c>
      <c r="EW47" s="44"/>
      <c r="EX47" s="30">
        <f t="shared" si="83"/>
        <v>0</v>
      </c>
      <c r="EY47" s="30">
        <f t="shared" si="84"/>
        <v>0</v>
      </c>
      <c r="EZ47" s="30">
        <f t="shared" si="102"/>
        <v>0</v>
      </c>
      <c r="FA47" s="44"/>
      <c r="FB47" s="30">
        <f t="shared" si="85"/>
        <v>0</v>
      </c>
      <c r="FC47" s="30"/>
      <c r="FD47" s="30">
        <f t="shared" si="86"/>
        <v>0</v>
      </c>
      <c r="FE47" s="30"/>
      <c r="FF47" s="30"/>
      <c r="FG47" s="30">
        <f t="shared" si="87"/>
        <v>0</v>
      </c>
      <c r="FH47" s="31"/>
      <c r="FI47" s="30">
        <f t="shared" si="88"/>
        <v>0</v>
      </c>
      <c r="FJ47" s="30"/>
      <c r="FK47" s="30"/>
      <c r="FL47" s="44">
        <f t="shared" si="89"/>
        <v>0</v>
      </c>
      <c r="FM47" s="44">
        <f t="shared" si="90"/>
        <v>0</v>
      </c>
      <c r="FN47" s="44"/>
      <c r="FO47" s="9"/>
    </row>
    <row r="48" spans="1:171" ht="18.75" customHeight="1">
      <c r="A48" s="22" t="s">
        <v>36</v>
      </c>
      <c r="B48" s="23"/>
      <c r="C48" s="61" t="s">
        <v>37</v>
      </c>
      <c r="D48" s="25">
        <v>2000000</v>
      </c>
      <c r="E48" s="26">
        <v>5550000</v>
      </c>
      <c r="F48" s="26">
        <v>5302539</v>
      </c>
      <c r="G48" s="26">
        <v>2000000</v>
      </c>
      <c r="H48" s="27"/>
      <c r="I48" s="26">
        <f t="shared" si="0"/>
        <v>2000000</v>
      </c>
      <c r="J48" s="27"/>
      <c r="K48" s="27"/>
      <c r="L48" s="27">
        <f t="shared" si="1"/>
        <v>0</v>
      </c>
      <c r="M48" s="28">
        <f t="shared" si="9"/>
        <v>2000000</v>
      </c>
      <c r="N48" s="28">
        <v>2000000</v>
      </c>
      <c r="O48" s="28">
        <v>2000000</v>
      </c>
      <c r="P48" s="28">
        <v>2000000</v>
      </c>
      <c r="Q48" s="28">
        <v>1500000</v>
      </c>
      <c r="R48" s="28">
        <v>2000000</v>
      </c>
      <c r="S48" s="28">
        <v>0.25</v>
      </c>
      <c r="T48" s="28">
        <f t="shared" si="91"/>
        <v>-500000</v>
      </c>
      <c r="U48" s="28">
        <f t="shared" si="92"/>
        <v>1500000</v>
      </c>
      <c r="V48" s="28">
        <f t="shared" si="103"/>
        <v>-500000</v>
      </c>
      <c r="W48" s="29">
        <v>1500000</v>
      </c>
      <c r="X48" s="29"/>
      <c r="Y48" s="29">
        <f t="shared" si="10"/>
        <v>1500000</v>
      </c>
      <c r="Z48" s="30">
        <v>1500000</v>
      </c>
      <c r="AA48" s="30">
        <f t="shared" si="11"/>
        <v>0</v>
      </c>
      <c r="AB48" s="30">
        <v>1500000</v>
      </c>
      <c r="AC48" s="30">
        <v>1500000</v>
      </c>
      <c r="AD48" s="31">
        <v>1410000</v>
      </c>
      <c r="AE48" s="30"/>
      <c r="AF48" s="30"/>
      <c r="AG48" s="30"/>
      <c r="AH48" s="31">
        <v>1410000</v>
      </c>
      <c r="AI48" s="31">
        <v>1410000</v>
      </c>
      <c r="AJ48" s="30">
        <f t="shared" si="98"/>
        <v>-90000</v>
      </c>
      <c r="AK48" s="30">
        <f t="shared" si="12"/>
        <v>-90000</v>
      </c>
      <c r="AL48" s="30">
        <f t="shared" si="13"/>
        <v>-90000</v>
      </c>
      <c r="AM48" s="31">
        <f t="shared" si="14"/>
        <v>-90000</v>
      </c>
      <c r="AN48" s="31">
        <f t="shared" si="15"/>
        <v>-90000</v>
      </c>
      <c r="AO48" s="31">
        <f t="shared" si="4"/>
        <v>-90000</v>
      </c>
      <c r="AP48" s="30">
        <v>1410000</v>
      </c>
      <c r="AQ48" s="30">
        <f t="shared" si="5"/>
        <v>-90000</v>
      </c>
      <c r="AR48" s="30">
        <f t="shared" si="16"/>
        <v>-90000</v>
      </c>
      <c r="AS48" s="30">
        <f t="shared" si="17"/>
        <v>-90000</v>
      </c>
      <c r="AT48" s="30"/>
      <c r="AU48" s="30">
        <f t="shared" si="18"/>
        <v>1410000</v>
      </c>
      <c r="AV48" s="30">
        <v>1410000</v>
      </c>
      <c r="AW48" s="30">
        <f t="shared" si="19"/>
        <v>0</v>
      </c>
      <c r="AX48" s="30">
        <v>1410000</v>
      </c>
      <c r="AY48" s="31">
        <f t="shared" si="93"/>
        <v>0</v>
      </c>
      <c r="AZ48" s="31">
        <f t="shared" si="94"/>
        <v>0</v>
      </c>
      <c r="BA48" s="30">
        <v>1410000</v>
      </c>
      <c r="BB48" s="30">
        <f t="shared" si="20"/>
        <v>0</v>
      </c>
      <c r="BC48" s="30">
        <f t="shared" si="21"/>
        <v>0</v>
      </c>
      <c r="BD48" s="30">
        <f t="shared" si="22"/>
        <v>0</v>
      </c>
      <c r="BE48" s="30">
        <v>1410000</v>
      </c>
      <c r="BF48" s="30">
        <v>1410000</v>
      </c>
      <c r="BG48" s="30">
        <v>1410000</v>
      </c>
      <c r="BH48" s="30">
        <f t="shared" si="23"/>
        <v>0</v>
      </c>
      <c r="BI48" s="30">
        <f t="shared" si="24"/>
        <v>0</v>
      </c>
      <c r="BJ48" s="30">
        <f t="shared" si="25"/>
        <v>0</v>
      </c>
      <c r="BK48" s="8">
        <f t="shared" si="26"/>
        <v>0</v>
      </c>
      <c r="BL48" s="30"/>
      <c r="BM48" s="30">
        <f t="shared" si="27"/>
        <v>1410000</v>
      </c>
      <c r="BN48" s="44">
        <v>1410000</v>
      </c>
      <c r="BO48" s="31">
        <f t="shared" si="28"/>
        <v>0</v>
      </c>
      <c r="BP48" s="44">
        <v>1410000</v>
      </c>
      <c r="BQ48" s="8">
        <f t="shared" si="29"/>
        <v>0</v>
      </c>
      <c r="BR48" s="8">
        <f t="shared" si="30"/>
        <v>0</v>
      </c>
      <c r="BS48" s="44">
        <v>1610000</v>
      </c>
      <c r="BT48" s="47">
        <f t="shared" si="31"/>
        <v>200000</v>
      </c>
      <c r="BU48" s="47">
        <f t="shared" si="32"/>
        <v>200000</v>
      </c>
      <c r="BV48" s="47">
        <f t="shared" si="33"/>
        <v>200000</v>
      </c>
      <c r="BW48" s="45">
        <v>1410000</v>
      </c>
      <c r="BX48" s="8">
        <f t="shared" si="34"/>
        <v>0</v>
      </c>
      <c r="BY48" s="8">
        <f t="shared" si="35"/>
        <v>0</v>
      </c>
      <c r="BZ48" s="8">
        <f t="shared" si="36"/>
        <v>-200000</v>
      </c>
      <c r="CA48" s="45">
        <f>1410000+200000</f>
        <v>1610000</v>
      </c>
      <c r="CB48" s="8">
        <f t="shared" si="37"/>
        <v>200000</v>
      </c>
      <c r="CC48" s="8">
        <f t="shared" si="38"/>
        <v>200000</v>
      </c>
      <c r="CD48" s="8">
        <f t="shared" si="6"/>
        <v>0</v>
      </c>
      <c r="CE48" s="8">
        <f t="shared" si="39"/>
        <v>200000</v>
      </c>
      <c r="CF48" s="45">
        <v>1610000</v>
      </c>
      <c r="CG48" s="8">
        <f t="shared" si="40"/>
        <v>200000</v>
      </c>
      <c r="CH48" s="8">
        <f t="shared" si="41"/>
        <v>200000</v>
      </c>
      <c r="CI48" s="8">
        <f t="shared" si="42"/>
        <v>0</v>
      </c>
      <c r="CJ48" s="8">
        <f t="shared" si="43"/>
        <v>0</v>
      </c>
      <c r="CK48" s="45">
        <v>1610000</v>
      </c>
      <c r="CL48" s="8">
        <f t="shared" si="7"/>
        <v>200000</v>
      </c>
      <c r="CM48" s="8">
        <f t="shared" si="44"/>
        <v>200000</v>
      </c>
      <c r="CN48" s="8">
        <f t="shared" si="45"/>
        <v>0</v>
      </c>
      <c r="CO48" s="45">
        <f>CK48</f>
        <v>1610000</v>
      </c>
      <c r="CP48" s="45">
        <f t="shared" si="46"/>
        <v>200000</v>
      </c>
      <c r="CQ48" s="8">
        <f t="shared" si="47"/>
        <v>0</v>
      </c>
      <c r="CR48" s="45">
        <v>1410000</v>
      </c>
      <c r="CS48" s="32">
        <v>300000</v>
      </c>
      <c r="CT48" s="45">
        <f t="shared" si="48"/>
        <v>1710000</v>
      </c>
      <c r="CU48" s="8">
        <f t="shared" si="49"/>
        <v>100000</v>
      </c>
      <c r="CV48" s="45">
        <f t="shared" si="50"/>
        <v>100000</v>
      </c>
      <c r="CW48" s="45">
        <f t="shared" si="51"/>
        <v>300000</v>
      </c>
      <c r="CX48" s="45">
        <v>1410000</v>
      </c>
      <c r="CY48" s="8">
        <f t="shared" si="52"/>
        <v>-200000</v>
      </c>
      <c r="CZ48" s="45">
        <f t="shared" si="53"/>
        <v>-200000</v>
      </c>
      <c r="DA48" s="45">
        <f t="shared" si="54"/>
        <v>-300000</v>
      </c>
      <c r="DB48" s="45">
        <v>1410000</v>
      </c>
      <c r="DC48" s="8">
        <f t="shared" si="55"/>
        <v>-200000</v>
      </c>
      <c r="DD48" s="45">
        <f t="shared" si="56"/>
        <v>-200000</v>
      </c>
      <c r="DE48" s="45">
        <f t="shared" si="57"/>
        <v>-300000</v>
      </c>
      <c r="DF48" s="45">
        <f t="shared" si="58"/>
        <v>0</v>
      </c>
      <c r="DG48" s="45">
        <v>1715000</v>
      </c>
      <c r="DH48" s="47">
        <f t="shared" si="59"/>
        <v>105000</v>
      </c>
      <c r="DI48" s="45">
        <f t="shared" si="60"/>
        <v>105000</v>
      </c>
      <c r="DJ48" s="45">
        <f t="shared" si="61"/>
        <v>5000</v>
      </c>
      <c r="DK48" s="45">
        <f t="shared" si="62"/>
        <v>305000</v>
      </c>
      <c r="DL48" s="45"/>
      <c r="DM48" s="45">
        <f t="shared" si="63"/>
        <v>1715000</v>
      </c>
      <c r="DN48" s="45">
        <v>1715000</v>
      </c>
      <c r="DO48" s="45">
        <f t="shared" si="64"/>
        <v>105000</v>
      </c>
      <c r="DP48" s="45"/>
      <c r="DQ48" s="45">
        <v>-34891</v>
      </c>
      <c r="DR48" s="45">
        <f t="shared" si="65"/>
        <v>1680109</v>
      </c>
      <c r="DS48" s="45">
        <f t="shared" si="66"/>
        <v>70109</v>
      </c>
      <c r="DT48" s="45"/>
      <c r="DU48" s="45">
        <f t="shared" si="67"/>
        <v>1680109</v>
      </c>
      <c r="DV48" s="45">
        <f t="shared" si="68"/>
        <v>70109</v>
      </c>
      <c r="DW48" s="45">
        <v>1680109</v>
      </c>
      <c r="DX48" s="45">
        <v>1675109</v>
      </c>
      <c r="DY48" s="9"/>
      <c r="DZ48" s="8">
        <f t="shared" si="69"/>
        <v>-5000</v>
      </c>
      <c r="EA48" s="47">
        <v>1475106</v>
      </c>
      <c r="EB48" s="8">
        <f t="shared" si="70"/>
        <v>-205003</v>
      </c>
      <c r="EC48" s="8">
        <f t="shared" si="71"/>
        <v>-200003</v>
      </c>
      <c r="ED48" s="71" t="s">
        <v>271</v>
      </c>
      <c r="EE48" s="44">
        <v>2110000</v>
      </c>
      <c r="EF48" s="30">
        <f t="shared" si="72"/>
        <v>429891</v>
      </c>
      <c r="EG48" s="30">
        <f t="shared" si="73"/>
        <v>434891</v>
      </c>
      <c r="EH48" s="30">
        <f t="shared" si="74"/>
        <v>634894</v>
      </c>
      <c r="EI48" s="44">
        <v>1780109</v>
      </c>
      <c r="EJ48" s="30">
        <f t="shared" si="75"/>
        <v>100000</v>
      </c>
      <c r="EK48" s="30">
        <f t="shared" si="76"/>
        <v>105000</v>
      </c>
      <c r="EL48" s="30">
        <f t="shared" si="77"/>
        <v>-329891</v>
      </c>
      <c r="EM48" s="44">
        <f>1780109+15000+10000+60000+25000</f>
        <v>1890109</v>
      </c>
      <c r="EN48" s="30">
        <f t="shared" si="95"/>
        <v>210000</v>
      </c>
      <c r="EO48" s="30">
        <f t="shared" si="96"/>
        <v>215000</v>
      </c>
      <c r="EP48" s="30">
        <f t="shared" si="97"/>
        <v>-219891</v>
      </c>
      <c r="EQ48" s="30">
        <f t="shared" si="78"/>
        <v>110000</v>
      </c>
      <c r="ER48" s="44">
        <v>2310000</v>
      </c>
      <c r="ES48" s="30">
        <f t="shared" si="79"/>
        <v>629891</v>
      </c>
      <c r="ET48" s="30">
        <f t="shared" si="80"/>
        <v>634891</v>
      </c>
      <c r="EU48" s="30">
        <f t="shared" si="81"/>
        <v>200000</v>
      </c>
      <c r="EV48" s="30">
        <f t="shared" si="82"/>
        <v>419891</v>
      </c>
      <c r="EW48" s="44">
        <f>2310000-170000</f>
        <v>2140000</v>
      </c>
      <c r="EX48" s="30">
        <f t="shared" si="83"/>
        <v>459891</v>
      </c>
      <c r="EY48" s="30">
        <f t="shared" si="84"/>
        <v>-170000</v>
      </c>
      <c r="EZ48" s="30">
        <f t="shared" si="102"/>
        <v>170000</v>
      </c>
      <c r="FA48" s="44">
        <f>2310000</f>
        <v>2310000</v>
      </c>
      <c r="FB48" s="30">
        <f t="shared" si="85"/>
        <v>629891</v>
      </c>
      <c r="FC48" s="30"/>
      <c r="FD48" s="30">
        <f t="shared" si="86"/>
        <v>2310000</v>
      </c>
      <c r="FE48" s="30"/>
      <c r="FF48" s="30"/>
      <c r="FG48" s="30">
        <f t="shared" si="87"/>
        <v>2310000</v>
      </c>
      <c r="FH48" s="31">
        <v>2000000</v>
      </c>
      <c r="FI48" s="30">
        <f t="shared" si="88"/>
        <v>-310000</v>
      </c>
      <c r="FJ48" s="44" t="s">
        <v>316</v>
      </c>
      <c r="FK48" s="44">
        <v>1500000</v>
      </c>
      <c r="FL48" s="44">
        <f t="shared" si="89"/>
        <v>-810000</v>
      </c>
      <c r="FM48" s="44">
        <f t="shared" si="90"/>
        <v>-500000</v>
      </c>
      <c r="FN48" s="44" t="s">
        <v>335</v>
      </c>
      <c r="FO48" s="9"/>
    </row>
    <row r="49" spans="1:171" ht="25.5">
      <c r="A49" s="46" t="s">
        <v>190</v>
      </c>
      <c r="B49" s="23"/>
      <c r="C49" s="60" t="s">
        <v>212</v>
      </c>
      <c r="D49" s="25"/>
      <c r="E49" s="26"/>
      <c r="F49" s="26"/>
      <c r="G49" s="26"/>
      <c r="H49" s="27"/>
      <c r="I49" s="26"/>
      <c r="J49" s="27"/>
      <c r="K49" s="27"/>
      <c r="L49" s="27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9"/>
      <c r="X49" s="29"/>
      <c r="Y49" s="29"/>
      <c r="Z49" s="30"/>
      <c r="AA49" s="30"/>
      <c r="AB49" s="30"/>
      <c r="AC49" s="30"/>
      <c r="AD49" s="31"/>
      <c r="AE49" s="30"/>
      <c r="AF49" s="30"/>
      <c r="AG49" s="30"/>
      <c r="AH49" s="31"/>
      <c r="AI49" s="31"/>
      <c r="AJ49" s="30"/>
      <c r="AK49" s="30"/>
      <c r="AL49" s="30"/>
      <c r="AM49" s="31"/>
      <c r="AN49" s="31"/>
      <c r="AO49" s="31"/>
      <c r="AP49" s="30"/>
      <c r="AQ49" s="30"/>
      <c r="AR49" s="30"/>
      <c r="AS49" s="30"/>
      <c r="AT49" s="30"/>
      <c r="AU49" s="30"/>
      <c r="AV49" s="30"/>
      <c r="AW49" s="30"/>
      <c r="AX49" s="30"/>
      <c r="AY49" s="31"/>
      <c r="AZ49" s="31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8"/>
      <c r="BL49" s="30"/>
      <c r="BM49" s="30"/>
      <c r="BN49" s="44"/>
      <c r="BO49" s="31"/>
      <c r="BP49" s="44"/>
      <c r="BQ49" s="8"/>
      <c r="BR49" s="8"/>
      <c r="BS49" s="45">
        <v>200000</v>
      </c>
      <c r="BT49" s="47">
        <f t="shared" ref="BT49" si="104">BS49-BM49</f>
        <v>200000</v>
      </c>
      <c r="BU49" s="47">
        <f t="shared" ref="BU49" si="105">BS49-BN49</f>
        <v>200000</v>
      </c>
      <c r="BV49" s="47">
        <f t="shared" si="33"/>
        <v>200000</v>
      </c>
      <c r="BW49" s="45">
        <v>0</v>
      </c>
      <c r="BX49" s="8">
        <f t="shared" si="34"/>
        <v>0</v>
      </c>
      <c r="BY49" s="8">
        <f t="shared" si="35"/>
        <v>0</v>
      </c>
      <c r="BZ49" s="8">
        <f t="shared" si="36"/>
        <v>-200000</v>
      </c>
      <c r="CA49" s="45">
        <v>0</v>
      </c>
      <c r="CB49" s="8">
        <f t="shared" si="37"/>
        <v>0</v>
      </c>
      <c r="CC49" s="8">
        <f t="shared" si="38"/>
        <v>0</v>
      </c>
      <c r="CD49" s="8">
        <f t="shared" si="6"/>
        <v>-200000</v>
      </c>
      <c r="CE49" s="8">
        <f t="shared" si="39"/>
        <v>0</v>
      </c>
      <c r="CF49" s="45">
        <v>200000</v>
      </c>
      <c r="CG49" s="8">
        <f t="shared" si="40"/>
        <v>200000</v>
      </c>
      <c r="CH49" s="8">
        <f t="shared" si="41"/>
        <v>200000</v>
      </c>
      <c r="CI49" s="8">
        <f t="shared" si="42"/>
        <v>0</v>
      </c>
      <c r="CJ49" s="8">
        <f t="shared" si="43"/>
        <v>200000</v>
      </c>
      <c r="CK49" s="45">
        <v>200000</v>
      </c>
      <c r="CL49" s="8">
        <f t="shared" si="7"/>
        <v>200000</v>
      </c>
      <c r="CM49" s="8">
        <f t="shared" si="44"/>
        <v>200000</v>
      </c>
      <c r="CN49" s="8">
        <f t="shared" si="45"/>
        <v>0</v>
      </c>
      <c r="CO49" s="45">
        <v>0</v>
      </c>
      <c r="CP49" s="45">
        <f t="shared" si="46"/>
        <v>0</v>
      </c>
      <c r="CQ49" s="8">
        <f t="shared" si="47"/>
        <v>-200000</v>
      </c>
      <c r="CR49" s="45">
        <v>0</v>
      </c>
      <c r="CS49" s="32">
        <v>200000</v>
      </c>
      <c r="CT49" s="45">
        <f t="shared" si="48"/>
        <v>200000</v>
      </c>
      <c r="CU49" s="8">
        <f t="shared" si="49"/>
        <v>0</v>
      </c>
      <c r="CV49" s="45">
        <f t="shared" si="50"/>
        <v>200000</v>
      </c>
      <c r="CW49" s="45">
        <f t="shared" si="51"/>
        <v>200000</v>
      </c>
      <c r="CX49" s="45">
        <v>0</v>
      </c>
      <c r="CY49" s="8">
        <f t="shared" si="52"/>
        <v>-200000</v>
      </c>
      <c r="CZ49" s="45">
        <f t="shared" si="53"/>
        <v>0</v>
      </c>
      <c r="DA49" s="45">
        <f t="shared" si="54"/>
        <v>-200000</v>
      </c>
      <c r="DB49" s="45">
        <v>0</v>
      </c>
      <c r="DC49" s="8">
        <f t="shared" si="55"/>
        <v>-200000</v>
      </c>
      <c r="DD49" s="45">
        <f t="shared" si="56"/>
        <v>0</v>
      </c>
      <c r="DE49" s="45">
        <f t="shared" si="57"/>
        <v>-200000</v>
      </c>
      <c r="DF49" s="45">
        <f t="shared" si="58"/>
        <v>0</v>
      </c>
      <c r="DG49" s="45">
        <v>200000</v>
      </c>
      <c r="DH49" s="47">
        <f t="shared" si="59"/>
        <v>0</v>
      </c>
      <c r="DI49" s="45">
        <f t="shared" si="60"/>
        <v>200000</v>
      </c>
      <c r="DJ49" s="45">
        <f t="shared" si="61"/>
        <v>0</v>
      </c>
      <c r="DK49" s="45">
        <f t="shared" si="62"/>
        <v>200000</v>
      </c>
      <c r="DL49" s="45"/>
      <c r="DM49" s="45">
        <f t="shared" si="63"/>
        <v>200000</v>
      </c>
      <c r="DN49" s="45">
        <v>200000</v>
      </c>
      <c r="DO49" s="45">
        <f t="shared" si="64"/>
        <v>0</v>
      </c>
      <c r="DP49" s="45"/>
      <c r="DQ49" s="45">
        <v>-3000</v>
      </c>
      <c r="DR49" s="45">
        <f t="shared" si="65"/>
        <v>197000</v>
      </c>
      <c r="DS49" s="45">
        <f t="shared" si="66"/>
        <v>-3000</v>
      </c>
      <c r="DT49" s="45">
        <v>-197000</v>
      </c>
      <c r="DU49" s="45">
        <f t="shared" si="67"/>
        <v>0</v>
      </c>
      <c r="DV49" s="45">
        <f t="shared" si="68"/>
        <v>-200000</v>
      </c>
      <c r="DW49" s="45">
        <v>0</v>
      </c>
      <c r="DX49" s="45">
        <v>0</v>
      </c>
      <c r="DY49" s="9"/>
      <c r="DZ49" s="8">
        <f t="shared" si="69"/>
        <v>0</v>
      </c>
      <c r="EA49" s="47">
        <v>200000</v>
      </c>
      <c r="EB49" s="8">
        <f t="shared" si="70"/>
        <v>200000</v>
      </c>
      <c r="EC49" s="8">
        <f t="shared" si="71"/>
        <v>200000</v>
      </c>
      <c r="ED49" s="73"/>
      <c r="EE49" s="44">
        <v>300000</v>
      </c>
      <c r="EF49" s="30">
        <f t="shared" si="72"/>
        <v>300000</v>
      </c>
      <c r="EG49" s="30">
        <f t="shared" si="73"/>
        <v>300000</v>
      </c>
      <c r="EH49" s="30">
        <f t="shared" si="74"/>
        <v>100000</v>
      </c>
      <c r="EI49" s="44">
        <v>0</v>
      </c>
      <c r="EJ49" s="30">
        <f t="shared" si="75"/>
        <v>0</v>
      </c>
      <c r="EK49" s="30">
        <f t="shared" si="76"/>
        <v>0</v>
      </c>
      <c r="EL49" s="30">
        <f t="shared" si="77"/>
        <v>-300000</v>
      </c>
      <c r="EM49" s="44">
        <v>500000</v>
      </c>
      <c r="EN49" s="30">
        <f t="shared" si="95"/>
        <v>500000</v>
      </c>
      <c r="EO49" s="30">
        <f t="shared" si="96"/>
        <v>500000</v>
      </c>
      <c r="EP49" s="30">
        <f t="shared" si="97"/>
        <v>200000</v>
      </c>
      <c r="EQ49" s="30">
        <f t="shared" si="78"/>
        <v>500000</v>
      </c>
      <c r="ER49" s="44">
        <v>500000</v>
      </c>
      <c r="ES49" s="30">
        <f t="shared" si="79"/>
        <v>500000</v>
      </c>
      <c r="ET49" s="30">
        <f t="shared" si="80"/>
        <v>500000</v>
      </c>
      <c r="EU49" s="30">
        <f t="shared" si="81"/>
        <v>200000</v>
      </c>
      <c r="EV49" s="30">
        <f t="shared" si="82"/>
        <v>0</v>
      </c>
      <c r="EW49" s="44">
        <v>500000</v>
      </c>
      <c r="EX49" s="30">
        <f t="shared" si="83"/>
        <v>500000</v>
      </c>
      <c r="EY49" s="30">
        <f t="shared" si="84"/>
        <v>0</v>
      </c>
      <c r="EZ49" s="30">
        <f t="shared" si="102"/>
        <v>0</v>
      </c>
      <c r="FA49" s="44">
        <v>500000</v>
      </c>
      <c r="FB49" s="30">
        <f t="shared" si="85"/>
        <v>500000</v>
      </c>
      <c r="FC49" s="30"/>
      <c r="FD49" s="30">
        <f t="shared" si="86"/>
        <v>500000</v>
      </c>
      <c r="FE49" s="30"/>
      <c r="FF49" s="30"/>
      <c r="FG49" s="30">
        <f t="shared" si="87"/>
        <v>500000</v>
      </c>
      <c r="FH49" s="31">
        <v>500000</v>
      </c>
      <c r="FI49" s="30">
        <f t="shared" si="88"/>
        <v>0</v>
      </c>
      <c r="FJ49" s="30"/>
      <c r="FK49" s="30">
        <v>200000</v>
      </c>
      <c r="FL49" s="44">
        <f t="shared" si="89"/>
        <v>-300000</v>
      </c>
      <c r="FM49" s="44">
        <f t="shared" si="90"/>
        <v>-300000</v>
      </c>
      <c r="FN49" s="44" t="s">
        <v>336</v>
      </c>
      <c r="FO49" s="9"/>
    </row>
    <row r="50" spans="1:171" ht="12.75">
      <c r="A50" s="22" t="s">
        <v>28</v>
      </c>
      <c r="B50" s="23"/>
      <c r="C50" s="61" t="s">
        <v>40</v>
      </c>
      <c r="D50" s="25">
        <v>1195840</v>
      </c>
      <c r="E50" s="26">
        <v>1195840</v>
      </c>
      <c r="F50" s="26">
        <v>1180621</v>
      </c>
      <c r="G50" s="26">
        <v>200000</v>
      </c>
      <c r="H50" s="27"/>
      <c r="I50" s="26">
        <f t="shared" si="0"/>
        <v>200000</v>
      </c>
      <c r="J50" s="27">
        <v>-53860</v>
      </c>
      <c r="K50" s="27"/>
      <c r="L50" s="27">
        <f t="shared" si="1"/>
        <v>-53860</v>
      </c>
      <c r="M50" s="28">
        <f t="shared" si="9"/>
        <v>146140</v>
      </c>
      <c r="N50" s="28">
        <v>146140</v>
      </c>
      <c r="O50" s="28">
        <v>0</v>
      </c>
      <c r="P50" s="28">
        <v>200000</v>
      </c>
      <c r="Q50" s="28">
        <v>146140</v>
      </c>
      <c r="R50" s="28">
        <v>146140</v>
      </c>
      <c r="S50" s="28">
        <v>0</v>
      </c>
      <c r="T50" s="28">
        <f t="shared" si="91"/>
        <v>0</v>
      </c>
      <c r="U50" s="28">
        <f t="shared" si="92"/>
        <v>146140</v>
      </c>
      <c r="V50" s="28">
        <f t="shared" si="103"/>
        <v>0</v>
      </c>
      <c r="W50" s="29">
        <v>146140</v>
      </c>
      <c r="X50" s="29"/>
      <c r="Y50" s="29">
        <f t="shared" si="10"/>
        <v>146140</v>
      </c>
      <c r="Z50" s="30">
        <v>146140</v>
      </c>
      <c r="AA50" s="30">
        <f t="shared" si="11"/>
        <v>0</v>
      </c>
      <c r="AB50" s="30">
        <v>0</v>
      </c>
      <c r="AC50" s="30">
        <v>146140</v>
      </c>
      <c r="AD50" s="31">
        <v>146140</v>
      </c>
      <c r="AE50" s="30">
        <f t="shared" si="101"/>
        <v>146140</v>
      </c>
      <c r="AF50" s="30"/>
      <c r="AG50" s="30"/>
      <c r="AH50" s="31">
        <v>146140</v>
      </c>
      <c r="AI50" s="31">
        <v>146140</v>
      </c>
      <c r="AJ50" s="30">
        <f t="shared" si="98"/>
        <v>0</v>
      </c>
      <c r="AK50" s="30">
        <f t="shared" si="12"/>
        <v>0</v>
      </c>
      <c r="AL50" s="30">
        <f t="shared" si="13"/>
        <v>0</v>
      </c>
      <c r="AM50" s="31">
        <f t="shared" si="14"/>
        <v>0</v>
      </c>
      <c r="AN50" s="31">
        <f t="shared" si="15"/>
        <v>0</v>
      </c>
      <c r="AO50" s="31">
        <f t="shared" si="4"/>
        <v>0</v>
      </c>
      <c r="AP50" s="30">
        <v>146140</v>
      </c>
      <c r="AQ50" s="30">
        <f t="shared" si="5"/>
        <v>0</v>
      </c>
      <c r="AR50" s="30">
        <f t="shared" si="16"/>
        <v>0</v>
      </c>
      <c r="AS50" s="30">
        <f t="shared" si="17"/>
        <v>0</v>
      </c>
      <c r="AT50" s="30"/>
      <c r="AU50" s="30">
        <f t="shared" si="18"/>
        <v>146140</v>
      </c>
      <c r="AV50" s="30">
        <v>146140</v>
      </c>
      <c r="AW50" s="30">
        <f t="shared" si="19"/>
        <v>0</v>
      </c>
      <c r="AX50" s="30">
        <v>0</v>
      </c>
      <c r="AY50" s="31">
        <f t="shared" si="93"/>
        <v>-146140</v>
      </c>
      <c r="AZ50" s="31">
        <f t="shared" si="94"/>
        <v>-146140</v>
      </c>
      <c r="BA50" s="30">
        <v>146140</v>
      </c>
      <c r="BB50" s="30">
        <f t="shared" si="20"/>
        <v>0</v>
      </c>
      <c r="BC50" s="30">
        <f t="shared" si="21"/>
        <v>0</v>
      </c>
      <c r="BD50" s="30">
        <f t="shared" si="22"/>
        <v>146140</v>
      </c>
      <c r="BE50" s="30">
        <v>146140</v>
      </c>
      <c r="BF50" s="30">
        <v>146140</v>
      </c>
      <c r="BG50" s="30">
        <v>146140</v>
      </c>
      <c r="BH50" s="30">
        <f t="shared" si="23"/>
        <v>0</v>
      </c>
      <c r="BI50" s="30">
        <f t="shared" si="24"/>
        <v>0</v>
      </c>
      <c r="BJ50" s="30">
        <f t="shared" si="25"/>
        <v>0</v>
      </c>
      <c r="BK50" s="8">
        <f t="shared" si="26"/>
        <v>0</v>
      </c>
      <c r="BL50" s="30"/>
      <c r="BM50" s="30">
        <f t="shared" si="27"/>
        <v>146140</v>
      </c>
      <c r="BN50" s="44">
        <v>146140</v>
      </c>
      <c r="BO50" s="31">
        <f t="shared" si="28"/>
        <v>0</v>
      </c>
      <c r="BP50" s="44">
        <v>0</v>
      </c>
      <c r="BQ50" s="8">
        <f t="shared" si="29"/>
        <v>-146140</v>
      </c>
      <c r="BR50" s="8">
        <f t="shared" si="30"/>
        <v>-146140</v>
      </c>
      <c r="BS50" s="44">
        <v>200000</v>
      </c>
      <c r="BT50" s="47">
        <f t="shared" si="31"/>
        <v>53860</v>
      </c>
      <c r="BU50" s="47">
        <f t="shared" si="32"/>
        <v>53860</v>
      </c>
      <c r="BV50" s="47">
        <f t="shared" si="33"/>
        <v>200000</v>
      </c>
      <c r="BW50" s="45">
        <v>146140</v>
      </c>
      <c r="BX50" s="8">
        <f t="shared" si="34"/>
        <v>0</v>
      </c>
      <c r="BY50" s="8">
        <f t="shared" si="35"/>
        <v>0</v>
      </c>
      <c r="BZ50" s="8">
        <f t="shared" si="36"/>
        <v>-53860</v>
      </c>
      <c r="CA50" s="45">
        <v>146140</v>
      </c>
      <c r="CB50" s="8">
        <f t="shared" si="37"/>
        <v>0</v>
      </c>
      <c r="CC50" s="8">
        <f t="shared" si="38"/>
        <v>0</v>
      </c>
      <c r="CD50" s="8">
        <f t="shared" si="6"/>
        <v>-53860</v>
      </c>
      <c r="CE50" s="8">
        <f t="shared" si="39"/>
        <v>0</v>
      </c>
      <c r="CF50" s="45">
        <v>146140</v>
      </c>
      <c r="CG50" s="8">
        <f t="shared" si="40"/>
        <v>0</v>
      </c>
      <c r="CH50" s="8">
        <f t="shared" si="41"/>
        <v>0</v>
      </c>
      <c r="CI50" s="8">
        <f t="shared" si="42"/>
        <v>-53860</v>
      </c>
      <c r="CJ50" s="8">
        <f t="shared" si="43"/>
        <v>0</v>
      </c>
      <c r="CK50" s="45">
        <v>146140</v>
      </c>
      <c r="CL50" s="8">
        <f t="shared" si="7"/>
        <v>0</v>
      </c>
      <c r="CM50" s="8">
        <f t="shared" si="44"/>
        <v>0</v>
      </c>
      <c r="CN50" s="8">
        <f t="shared" si="45"/>
        <v>0</v>
      </c>
      <c r="CO50" s="45">
        <v>146140</v>
      </c>
      <c r="CP50" s="45">
        <f t="shared" si="46"/>
        <v>0</v>
      </c>
      <c r="CQ50" s="8">
        <f t="shared" si="47"/>
        <v>0</v>
      </c>
      <c r="CR50" s="45">
        <v>0</v>
      </c>
      <c r="CS50" s="31">
        <v>246140</v>
      </c>
      <c r="CT50" s="45">
        <f t="shared" si="48"/>
        <v>246140</v>
      </c>
      <c r="CU50" s="8">
        <f t="shared" si="49"/>
        <v>100000</v>
      </c>
      <c r="CV50" s="45">
        <f t="shared" si="50"/>
        <v>100000</v>
      </c>
      <c r="CW50" s="45">
        <f t="shared" si="51"/>
        <v>246140</v>
      </c>
      <c r="CX50" s="45">
        <v>146140</v>
      </c>
      <c r="CY50" s="8">
        <f t="shared" si="52"/>
        <v>0</v>
      </c>
      <c r="CZ50" s="45">
        <f t="shared" si="53"/>
        <v>0</v>
      </c>
      <c r="DA50" s="45">
        <f t="shared" si="54"/>
        <v>-100000</v>
      </c>
      <c r="DB50" s="45">
        <v>146140</v>
      </c>
      <c r="DC50" s="8">
        <f t="shared" si="55"/>
        <v>0</v>
      </c>
      <c r="DD50" s="45">
        <f t="shared" si="56"/>
        <v>0</v>
      </c>
      <c r="DE50" s="45">
        <f t="shared" si="57"/>
        <v>-100000</v>
      </c>
      <c r="DF50" s="45">
        <f t="shared" si="58"/>
        <v>0</v>
      </c>
      <c r="DG50" s="45">
        <v>246140</v>
      </c>
      <c r="DH50" s="47">
        <f t="shared" si="59"/>
        <v>100000</v>
      </c>
      <c r="DI50" s="45">
        <f t="shared" si="60"/>
        <v>100000</v>
      </c>
      <c r="DJ50" s="45">
        <f t="shared" si="61"/>
        <v>0</v>
      </c>
      <c r="DK50" s="45">
        <f t="shared" si="62"/>
        <v>100000</v>
      </c>
      <c r="DL50" s="45"/>
      <c r="DM50" s="45">
        <f t="shared" si="63"/>
        <v>246140</v>
      </c>
      <c r="DN50" s="45">
        <v>246140</v>
      </c>
      <c r="DO50" s="45">
        <f t="shared" si="64"/>
        <v>100000</v>
      </c>
      <c r="DP50" s="45"/>
      <c r="DQ50" s="45">
        <v>-3692</v>
      </c>
      <c r="DR50" s="45">
        <f t="shared" si="65"/>
        <v>242448</v>
      </c>
      <c r="DS50" s="45">
        <f t="shared" si="66"/>
        <v>96308</v>
      </c>
      <c r="DT50" s="45"/>
      <c r="DU50" s="45">
        <f t="shared" si="67"/>
        <v>242448</v>
      </c>
      <c r="DV50" s="45">
        <f t="shared" si="68"/>
        <v>96308</v>
      </c>
      <c r="DW50" s="45">
        <v>242448</v>
      </c>
      <c r="DX50" s="45">
        <v>0</v>
      </c>
      <c r="DY50" s="9"/>
      <c r="DZ50" s="8">
        <f t="shared" si="69"/>
        <v>-242448</v>
      </c>
      <c r="EA50" s="47">
        <v>0</v>
      </c>
      <c r="EB50" s="8">
        <f t="shared" si="70"/>
        <v>-242448</v>
      </c>
      <c r="EC50" s="8">
        <f t="shared" si="71"/>
        <v>0</v>
      </c>
      <c r="ED50" s="71" t="s">
        <v>268</v>
      </c>
      <c r="EE50" s="44">
        <v>250000</v>
      </c>
      <c r="EF50" s="30">
        <f t="shared" si="72"/>
        <v>7552</v>
      </c>
      <c r="EG50" s="30">
        <f t="shared" si="73"/>
        <v>250000</v>
      </c>
      <c r="EH50" s="30">
        <f t="shared" si="74"/>
        <v>250000</v>
      </c>
      <c r="EI50" s="44">
        <v>246140</v>
      </c>
      <c r="EJ50" s="30">
        <f t="shared" si="75"/>
        <v>3692</v>
      </c>
      <c r="EK50" s="30">
        <f t="shared" si="76"/>
        <v>246140</v>
      </c>
      <c r="EL50" s="30">
        <f t="shared" si="77"/>
        <v>-3860</v>
      </c>
      <c r="EM50" s="44">
        <v>246140</v>
      </c>
      <c r="EN50" s="30">
        <f t="shared" si="95"/>
        <v>3692</v>
      </c>
      <c r="EO50" s="30">
        <f t="shared" si="96"/>
        <v>246140</v>
      </c>
      <c r="EP50" s="30">
        <f t="shared" si="97"/>
        <v>-3860</v>
      </c>
      <c r="EQ50" s="30">
        <f t="shared" si="78"/>
        <v>0</v>
      </c>
      <c r="ER50" s="44">
        <v>250000</v>
      </c>
      <c r="ES50" s="30">
        <f t="shared" si="79"/>
        <v>7552</v>
      </c>
      <c r="ET50" s="30">
        <f t="shared" si="80"/>
        <v>250000</v>
      </c>
      <c r="EU50" s="30">
        <f t="shared" si="81"/>
        <v>0</v>
      </c>
      <c r="EV50" s="30">
        <f t="shared" si="82"/>
        <v>3860</v>
      </c>
      <c r="EW50" s="44">
        <v>250000</v>
      </c>
      <c r="EX50" s="30">
        <f t="shared" si="83"/>
        <v>7552</v>
      </c>
      <c r="EY50" s="30">
        <f t="shared" si="84"/>
        <v>0</v>
      </c>
      <c r="EZ50" s="30">
        <f t="shared" si="102"/>
        <v>0</v>
      </c>
      <c r="FA50" s="44">
        <v>250000</v>
      </c>
      <c r="FB50" s="30">
        <f t="shared" si="85"/>
        <v>7552</v>
      </c>
      <c r="FC50" s="30"/>
      <c r="FD50" s="30">
        <f t="shared" si="86"/>
        <v>250000</v>
      </c>
      <c r="FE50" s="30"/>
      <c r="FF50" s="30"/>
      <c r="FG50" s="30">
        <f t="shared" si="87"/>
        <v>250000</v>
      </c>
      <c r="FH50" s="31">
        <v>0</v>
      </c>
      <c r="FI50" s="30">
        <f t="shared" si="88"/>
        <v>-250000</v>
      </c>
      <c r="FJ50" s="30"/>
      <c r="FK50" s="30">
        <v>0</v>
      </c>
      <c r="FL50" s="44">
        <f t="shared" si="89"/>
        <v>-250000</v>
      </c>
      <c r="FM50" s="44">
        <f t="shared" si="90"/>
        <v>0</v>
      </c>
      <c r="FN50" s="44"/>
      <c r="FO50" s="9"/>
    </row>
    <row r="51" spans="1:171" ht="12.75">
      <c r="A51" s="22" t="s">
        <v>11</v>
      </c>
      <c r="B51" s="23"/>
      <c r="C51" s="61" t="s">
        <v>12</v>
      </c>
      <c r="D51" s="25">
        <v>100000</v>
      </c>
      <c r="E51" s="26">
        <v>1</v>
      </c>
      <c r="F51" s="26">
        <v>1</v>
      </c>
      <c r="G51" s="26">
        <v>1</v>
      </c>
      <c r="H51" s="27"/>
      <c r="I51" s="26">
        <f t="shared" si="0"/>
        <v>1</v>
      </c>
      <c r="J51" s="27"/>
      <c r="K51" s="27"/>
      <c r="L51" s="27">
        <f t="shared" si="1"/>
        <v>0</v>
      </c>
      <c r="M51" s="28">
        <f t="shared" si="9"/>
        <v>1</v>
      </c>
      <c r="N51" s="28">
        <v>1</v>
      </c>
      <c r="O51" s="28">
        <v>1</v>
      </c>
      <c r="P51" s="28">
        <v>1</v>
      </c>
      <c r="Q51" s="28">
        <v>1</v>
      </c>
      <c r="R51" s="28">
        <v>1</v>
      </c>
      <c r="S51" s="28">
        <v>0</v>
      </c>
      <c r="T51" s="28">
        <f t="shared" si="91"/>
        <v>0</v>
      </c>
      <c r="U51" s="28">
        <f t="shared" si="92"/>
        <v>1</v>
      </c>
      <c r="V51" s="28">
        <f t="shared" si="103"/>
        <v>0</v>
      </c>
      <c r="W51" s="29">
        <v>1</v>
      </c>
      <c r="X51" s="29"/>
      <c r="Y51" s="29">
        <f t="shared" si="10"/>
        <v>1</v>
      </c>
      <c r="Z51" s="30">
        <v>1</v>
      </c>
      <c r="AA51" s="30">
        <f t="shared" si="11"/>
        <v>0</v>
      </c>
      <c r="AB51" s="30">
        <v>1</v>
      </c>
      <c r="AC51" s="30">
        <v>1</v>
      </c>
      <c r="AD51" s="31">
        <v>1</v>
      </c>
      <c r="AE51" s="30"/>
      <c r="AF51" s="30"/>
      <c r="AG51" s="30"/>
      <c r="AH51" s="31">
        <v>1</v>
      </c>
      <c r="AI51" s="31">
        <v>1</v>
      </c>
      <c r="AJ51" s="30">
        <f t="shared" si="98"/>
        <v>0</v>
      </c>
      <c r="AK51" s="30">
        <f t="shared" si="12"/>
        <v>0</v>
      </c>
      <c r="AL51" s="30">
        <f t="shared" si="13"/>
        <v>0</v>
      </c>
      <c r="AM51" s="31">
        <f t="shared" si="14"/>
        <v>0</v>
      </c>
      <c r="AN51" s="31">
        <f t="shared" si="15"/>
        <v>0</v>
      </c>
      <c r="AO51" s="31">
        <f t="shared" si="4"/>
        <v>0</v>
      </c>
      <c r="AP51" s="30">
        <v>1</v>
      </c>
      <c r="AQ51" s="30">
        <f t="shared" si="5"/>
        <v>0</v>
      </c>
      <c r="AR51" s="30">
        <f t="shared" si="16"/>
        <v>0</v>
      </c>
      <c r="AS51" s="30">
        <f t="shared" si="17"/>
        <v>0</v>
      </c>
      <c r="AT51" s="30"/>
      <c r="AU51" s="30">
        <f t="shared" si="18"/>
        <v>1</v>
      </c>
      <c r="AV51" s="30">
        <v>1</v>
      </c>
      <c r="AW51" s="30">
        <f t="shared" si="19"/>
        <v>0</v>
      </c>
      <c r="AX51" s="30">
        <v>1</v>
      </c>
      <c r="AY51" s="31">
        <f t="shared" si="93"/>
        <v>0</v>
      </c>
      <c r="AZ51" s="31">
        <f t="shared" si="94"/>
        <v>0</v>
      </c>
      <c r="BA51" s="30">
        <v>1</v>
      </c>
      <c r="BB51" s="30">
        <f t="shared" si="20"/>
        <v>0</v>
      </c>
      <c r="BC51" s="30">
        <f t="shared" si="21"/>
        <v>0</v>
      </c>
      <c r="BD51" s="30">
        <f t="shared" si="22"/>
        <v>0</v>
      </c>
      <c r="BE51" s="30">
        <v>2</v>
      </c>
      <c r="BF51" s="30">
        <v>2</v>
      </c>
      <c r="BG51" s="30">
        <v>2</v>
      </c>
      <c r="BH51" s="30">
        <f t="shared" si="23"/>
        <v>1</v>
      </c>
      <c r="BI51" s="30">
        <f t="shared" si="24"/>
        <v>1</v>
      </c>
      <c r="BJ51" s="30">
        <f t="shared" si="25"/>
        <v>1</v>
      </c>
      <c r="BK51" s="8">
        <f t="shared" si="26"/>
        <v>0</v>
      </c>
      <c r="BL51" s="30"/>
      <c r="BM51" s="30">
        <f t="shared" si="27"/>
        <v>2</v>
      </c>
      <c r="BN51" s="44">
        <v>1</v>
      </c>
      <c r="BO51" s="31">
        <f t="shared" si="28"/>
        <v>-1</v>
      </c>
      <c r="BP51" s="44">
        <v>1</v>
      </c>
      <c r="BQ51" s="8">
        <f t="shared" si="29"/>
        <v>-1</v>
      </c>
      <c r="BR51" s="8">
        <f t="shared" si="30"/>
        <v>0</v>
      </c>
      <c r="BS51" s="44">
        <f>BP51</f>
        <v>1</v>
      </c>
      <c r="BT51" s="47">
        <f t="shared" si="31"/>
        <v>-1</v>
      </c>
      <c r="BU51" s="47">
        <f t="shared" si="32"/>
        <v>0</v>
      </c>
      <c r="BV51" s="47">
        <f t="shared" si="33"/>
        <v>0</v>
      </c>
      <c r="BW51" s="45">
        <v>3</v>
      </c>
      <c r="BX51" s="8">
        <f t="shared" si="34"/>
        <v>1</v>
      </c>
      <c r="BY51" s="8">
        <f t="shared" si="35"/>
        <v>2</v>
      </c>
      <c r="BZ51" s="8">
        <f t="shared" si="36"/>
        <v>2</v>
      </c>
      <c r="CA51" s="45">
        <v>3</v>
      </c>
      <c r="CB51" s="8">
        <f t="shared" si="37"/>
        <v>1</v>
      </c>
      <c r="CC51" s="8">
        <f t="shared" si="38"/>
        <v>2</v>
      </c>
      <c r="CD51" s="8">
        <f t="shared" si="6"/>
        <v>2</v>
      </c>
      <c r="CE51" s="8">
        <f t="shared" si="39"/>
        <v>0</v>
      </c>
      <c r="CF51" s="45">
        <v>3</v>
      </c>
      <c r="CG51" s="8">
        <f t="shared" si="40"/>
        <v>1</v>
      </c>
      <c r="CH51" s="8">
        <f t="shared" si="41"/>
        <v>2</v>
      </c>
      <c r="CI51" s="8">
        <f t="shared" si="42"/>
        <v>2</v>
      </c>
      <c r="CJ51" s="8">
        <f t="shared" si="43"/>
        <v>0</v>
      </c>
      <c r="CK51" s="45">
        <v>3</v>
      </c>
      <c r="CL51" s="8">
        <f t="shared" si="7"/>
        <v>1</v>
      </c>
      <c r="CM51" s="8">
        <f t="shared" si="44"/>
        <v>2</v>
      </c>
      <c r="CN51" s="8">
        <f t="shared" si="45"/>
        <v>0</v>
      </c>
      <c r="CO51" s="45">
        <v>1</v>
      </c>
      <c r="CP51" s="45">
        <f t="shared" si="46"/>
        <v>0</v>
      </c>
      <c r="CQ51" s="8">
        <f t="shared" si="47"/>
        <v>-2</v>
      </c>
      <c r="CR51" s="45">
        <v>5</v>
      </c>
      <c r="CS51" s="32"/>
      <c r="CT51" s="45">
        <f t="shared" si="48"/>
        <v>5</v>
      </c>
      <c r="CU51" s="8">
        <f t="shared" si="49"/>
        <v>2</v>
      </c>
      <c r="CV51" s="45">
        <f t="shared" si="50"/>
        <v>4</v>
      </c>
      <c r="CW51" s="45">
        <f t="shared" si="51"/>
        <v>0</v>
      </c>
      <c r="CX51" s="58">
        <v>5.5</v>
      </c>
      <c r="CY51" s="57">
        <f t="shared" si="52"/>
        <v>2.5</v>
      </c>
      <c r="CZ51" s="58">
        <f t="shared" si="53"/>
        <v>4.5</v>
      </c>
      <c r="DA51" s="58">
        <f t="shared" si="54"/>
        <v>0.5</v>
      </c>
      <c r="DB51" s="58">
        <v>5.5</v>
      </c>
      <c r="DC51" s="8">
        <f t="shared" si="55"/>
        <v>2.5</v>
      </c>
      <c r="DD51" s="45">
        <f t="shared" si="56"/>
        <v>4.5</v>
      </c>
      <c r="DE51" s="45">
        <f t="shared" si="57"/>
        <v>0.5</v>
      </c>
      <c r="DF51" s="45">
        <f t="shared" si="58"/>
        <v>0</v>
      </c>
      <c r="DG51" s="58">
        <v>5.5</v>
      </c>
      <c r="DH51" s="47">
        <f t="shared" si="59"/>
        <v>2.5</v>
      </c>
      <c r="DI51" s="45">
        <f t="shared" si="60"/>
        <v>4.5</v>
      </c>
      <c r="DJ51" s="45">
        <f t="shared" si="61"/>
        <v>0.5</v>
      </c>
      <c r="DK51" s="45">
        <f t="shared" si="62"/>
        <v>0</v>
      </c>
      <c r="DL51" s="45"/>
      <c r="DM51" s="45">
        <f t="shared" si="63"/>
        <v>5.5</v>
      </c>
      <c r="DN51" s="58">
        <v>5.5</v>
      </c>
      <c r="DO51" s="45">
        <f t="shared" si="64"/>
        <v>2.5</v>
      </c>
      <c r="DP51" s="45"/>
      <c r="DQ51" s="45">
        <v>0</v>
      </c>
      <c r="DR51" s="45">
        <f t="shared" si="65"/>
        <v>5.5</v>
      </c>
      <c r="DS51" s="45">
        <f t="shared" si="66"/>
        <v>2.5</v>
      </c>
      <c r="DT51" s="45"/>
      <c r="DU51" s="45">
        <f t="shared" si="67"/>
        <v>5.5</v>
      </c>
      <c r="DV51" s="45">
        <f t="shared" si="68"/>
        <v>2.5</v>
      </c>
      <c r="DW51" s="45">
        <v>5.5</v>
      </c>
      <c r="DX51" s="45">
        <v>6</v>
      </c>
      <c r="DY51" s="9"/>
      <c r="DZ51" s="8">
        <f t="shared" si="69"/>
        <v>0.5</v>
      </c>
      <c r="EA51" s="47">
        <v>1</v>
      </c>
      <c r="EB51" s="8">
        <f t="shared" si="70"/>
        <v>-4.5</v>
      </c>
      <c r="EC51" s="8">
        <f t="shared" si="71"/>
        <v>-5</v>
      </c>
      <c r="ED51" s="73"/>
      <c r="EE51" s="44">
        <v>1</v>
      </c>
      <c r="EF51" s="30">
        <f t="shared" si="72"/>
        <v>-4.5</v>
      </c>
      <c r="EG51" s="30">
        <f t="shared" si="73"/>
        <v>-5</v>
      </c>
      <c r="EH51" s="30">
        <f t="shared" si="74"/>
        <v>0</v>
      </c>
      <c r="EI51" s="44">
        <v>3</v>
      </c>
      <c r="EJ51" s="30">
        <f t="shared" si="75"/>
        <v>-2.5</v>
      </c>
      <c r="EK51" s="30">
        <f t="shared" si="76"/>
        <v>-3</v>
      </c>
      <c r="EL51" s="30">
        <f t="shared" si="77"/>
        <v>2</v>
      </c>
      <c r="EM51" s="44">
        <v>3</v>
      </c>
      <c r="EN51" s="30">
        <f t="shared" si="95"/>
        <v>-2.5</v>
      </c>
      <c r="EO51" s="30">
        <f t="shared" si="96"/>
        <v>-3</v>
      </c>
      <c r="EP51" s="30">
        <f t="shared" si="97"/>
        <v>2</v>
      </c>
      <c r="EQ51" s="30">
        <f t="shared" si="78"/>
        <v>0</v>
      </c>
      <c r="ER51" s="44">
        <v>1</v>
      </c>
      <c r="ES51" s="30">
        <f t="shared" si="79"/>
        <v>-4.5</v>
      </c>
      <c r="ET51" s="30">
        <f t="shared" si="80"/>
        <v>-5</v>
      </c>
      <c r="EU51" s="30">
        <f t="shared" si="81"/>
        <v>0</v>
      </c>
      <c r="EV51" s="30">
        <f t="shared" si="82"/>
        <v>-2</v>
      </c>
      <c r="EW51" s="44">
        <v>1</v>
      </c>
      <c r="EX51" s="30">
        <f t="shared" si="83"/>
        <v>-4.5</v>
      </c>
      <c r="EY51" s="30">
        <f t="shared" si="84"/>
        <v>0</v>
      </c>
      <c r="EZ51" s="30">
        <f t="shared" si="102"/>
        <v>0</v>
      </c>
      <c r="FA51" s="44">
        <v>1</v>
      </c>
      <c r="FB51" s="30">
        <f t="shared" si="85"/>
        <v>-4.5</v>
      </c>
      <c r="FC51" s="30"/>
      <c r="FD51" s="30">
        <f t="shared" si="86"/>
        <v>1</v>
      </c>
      <c r="FE51" s="30"/>
      <c r="FF51" s="30"/>
      <c r="FG51" s="30">
        <f t="shared" si="87"/>
        <v>1</v>
      </c>
      <c r="FH51" s="31">
        <v>1</v>
      </c>
      <c r="FI51" s="30">
        <f t="shared" si="88"/>
        <v>0</v>
      </c>
      <c r="FJ51" s="30"/>
      <c r="FK51" s="30">
        <v>1</v>
      </c>
      <c r="FL51" s="44">
        <f t="shared" si="89"/>
        <v>0</v>
      </c>
      <c r="FM51" s="44">
        <f t="shared" si="90"/>
        <v>0</v>
      </c>
      <c r="FN51" s="44"/>
      <c r="FO51" s="9"/>
    </row>
    <row r="52" spans="1:171" ht="12.75">
      <c r="A52" s="22" t="s">
        <v>24</v>
      </c>
      <c r="B52" s="23"/>
      <c r="C52" s="61" t="s">
        <v>25</v>
      </c>
      <c r="D52" s="25">
        <v>2270500</v>
      </c>
      <c r="E52" s="26">
        <v>2770500</v>
      </c>
      <c r="F52" s="26">
        <v>1932063</v>
      </c>
      <c r="G52" s="26">
        <v>1500000</v>
      </c>
      <c r="H52" s="27"/>
      <c r="I52" s="26">
        <f t="shared" si="0"/>
        <v>1500000</v>
      </c>
      <c r="J52" s="27"/>
      <c r="K52" s="27"/>
      <c r="L52" s="27">
        <f t="shared" si="1"/>
        <v>0</v>
      </c>
      <c r="M52" s="28">
        <f t="shared" si="9"/>
        <v>1500000</v>
      </c>
      <c r="N52" s="28">
        <v>1500000</v>
      </c>
      <c r="O52" s="28">
        <v>1500000</v>
      </c>
      <c r="P52" s="28">
        <v>1500000</v>
      </c>
      <c r="Q52" s="28">
        <v>1600000</v>
      </c>
      <c r="R52" s="28">
        <v>1600000</v>
      </c>
      <c r="S52" s="28">
        <v>0.1875</v>
      </c>
      <c r="T52" s="28">
        <f t="shared" si="91"/>
        <v>-300000</v>
      </c>
      <c r="U52" s="28">
        <f t="shared" si="92"/>
        <v>1300000</v>
      </c>
      <c r="V52" s="28">
        <f t="shared" si="103"/>
        <v>-200000</v>
      </c>
      <c r="W52" s="29">
        <v>1300000</v>
      </c>
      <c r="X52" s="29"/>
      <c r="Y52" s="29">
        <f t="shared" si="10"/>
        <v>1300000</v>
      </c>
      <c r="Z52" s="30">
        <v>1300000</v>
      </c>
      <c r="AA52" s="30">
        <f t="shared" si="11"/>
        <v>0</v>
      </c>
      <c r="AB52" s="30">
        <v>0</v>
      </c>
      <c r="AC52" s="30">
        <v>1300000</v>
      </c>
      <c r="AD52" s="31">
        <v>1150000</v>
      </c>
      <c r="AE52" s="30">
        <f t="shared" si="101"/>
        <v>1300000</v>
      </c>
      <c r="AF52" s="30"/>
      <c r="AG52" s="30"/>
      <c r="AH52" s="32">
        <v>1300000</v>
      </c>
      <c r="AI52" s="32">
        <v>1300000</v>
      </c>
      <c r="AJ52" s="30">
        <f t="shared" si="98"/>
        <v>-150000</v>
      </c>
      <c r="AK52" s="30">
        <f t="shared" si="12"/>
        <v>-150000</v>
      </c>
      <c r="AL52" s="30">
        <f t="shared" si="13"/>
        <v>-150000</v>
      </c>
      <c r="AM52" s="31">
        <f t="shared" si="14"/>
        <v>0</v>
      </c>
      <c r="AN52" s="31">
        <f t="shared" si="15"/>
        <v>0</v>
      </c>
      <c r="AO52" s="31">
        <f t="shared" si="4"/>
        <v>0</v>
      </c>
      <c r="AP52" s="30">
        <v>1300000</v>
      </c>
      <c r="AQ52" s="30">
        <f t="shared" si="5"/>
        <v>0</v>
      </c>
      <c r="AR52" s="30">
        <f t="shared" si="16"/>
        <v>0</v>
      </c>
      <c r="AS52" s="30">
        <f t="shared" si="17"/>
        <v>0</v>
      </c>
      <c r="AT52" s="30"/>
      <c r="AU52" s="30">
        <f t="shared" si="18"/>
        <v>1300000</v>
      </c>
      <c r="AV52" s="30">
        <v>2000000</v>
      </c>
      <c r="AW52" s="30">
        <f t="shared" si="19"/>
        <v>700000</v>
      </c>
      <c r="AX52" s="30">
        <v>1000000</v>
      </c>
      <c r="AY52" s="31">
        <f t="shared" si="93"/>
        <v>-300000</v>
      </c>
      <c r="AZ52" s="31">
        <f t="shared" si="94"/>
        <v>-1000000</v>
      </c>
      <c r="BA52" s="30">
        <v>2000000</v>
      </c>
      <c r="BB52" s="30">
        <f t="shared" si="20"/>
        <v>700000</v>
      </c>
      <c r="BC52" s="30">
        <f t="shared" si="21"/>
        <v>0</v>
      </c>
      <c r="BD52" s="30">
        <f t="shared" si="22"/>
        <v>1000000</v>
      </c>
      <c r="BE52" s="30">
        <v>1500000</v>
      </c>
      <c r="BF52" s="30">
        <v>2000000</v>
      </c>
      <c r="BG52" s="30">
        <v>2000000</v>
      </c>
      <c r="BH52" s="30">
        <f t="shared" si="23"/>
        <v>700000</v>
      </c>
      <c r="BI52" s="30">
        <f t="shared" si="24"/>
        <v>0</v>
      </c>
      <c r="BJ52" s="30">
        <f t="shared" si="25"/>
        <v>0</v>
      </c>
      <c r="BK52" s="8">
        <f t="shared" si="26"/>
        <v>500000</v>
      </c>
      <c r="BL52" s="30"/>
      <c r="BM52" s="30">
        <f t="shared" si="27"/>
        <v>2000000</v>
      </c>
      <c r="BN52" s="44">
        <v>2000000</v>
      </c>
      <c r="BO52" s="31">
        <f t="shared" si="28"/>
        <v>0</v>
      </c>
      <c r="BP52" s="44">
        <v>1000000</v>
      </c>
      <c r="BQ52" s="8">
        <f t="shared" si="29"/>
        <v>-1000000</v>
      </c>
      <c r="BR52" s="8">
        <f t="shared" si="30"/>
        <v>-1000000</v>
      </c>
      <c r="BS52" s="44">
        <v>2000000</v>
      </c>
      <c r="BT52" s="47">
        <f t="shared" si="31"/>
        <v>0</v>
      </c>
      <c r="BU52" s="47">
        <f t="shared" si="32"/>
        <v>0</v>
      </c>
      <c r="BV52" s="47">
        <f t="shared" si="33"/>
        <v>1000000</v>
      </c>
      <c r="BW52" s="45">
        <v>1500000</v>
      </c>
      <c r="BX52" s="8">
        <f t="shared" si="34"/>
        <v>-500000</v>
      </c>
      <c r="BY52" s="8">
        <f t="shared" si="35"/>
        <v>-500000</v>
      </c>
      <c r="BZ52" s="8">
        <f t="shared" si="36"/>
        <v>-500000</v>
      </c>
      <c r="CA52" s="45">
        <f>1500000+500000</f>
        <v>2000000</v>
      </c>
      <c r="CB52" s="8">
        <f t="shared" si="37"/>
        <v>0</v>
      </c>
      <c r="CC52" s="8">
        <f t="shared" si="38"/>
        <v>0</v>
      </c>
      <c r="CD52" s="8">
        <f t="shared" si="6"/>
        <v>0</v>
      </c>
      <c r="CE52" s="8">
        <f t="shared" si="39"/>
        <v>500000</v>
      </c>
      <c r="CF52" s="45">
        <v>2000000</v>
      </c>
      <c r="CG52" s="8">
        <f t="shared" si="40"/>
        <v>0</v>
      </c>
      <c r="CH52" s="8">
        <f t="shared" si="41"/>
        <v>0</v>
      </c>
      <c r="CI52" s="8">
        <f t="shared" si="42"/>
        <v>0</v>
      </c>
      <c r="CJ52" s="8">
        <f t="shared" si="43"/>
        <v>0</v>
      </c>
      <c r="CK52" s="45">
        <v>2000000</v>
      </c>
      <c r="CL52" s="8">
        <f t="shared" si="7"/>
        <v>0</v>
      </c>
      <c r="CM52" s="8">
        <f t="shared" si="44"/>
        <v>0</v>
      </c>
      <c r="CN52" s="8">
        <f t="shared" si="45"/>
        <v>0</v>
      </c>
      <c r="CO52" s="45">
        <f>CK52</f>
        <v>2000000</v>
      </c>
      <c r="CP52" s="45">
        <f t="shared" si="46"/>
        <v>0</v>
      </c>
      <c r="CQ52" s="8">
        <f t="shared" si="47"/>
        <v>0</v>
      </c>
      <c r="CR52" s="45">
        <v>2000000</v>
      </c>
      <c r="CS52" s="32">
        <v>250000</v>
      </c>
      <c r="CT52" s="45">
        <f t="shared" si="48"/>
        <v>2250000</v>
      </c>
      <c r="CU52" s="8">
        <f t="shared" si="49"/>
        <v>250000</v>
      </c>
      <c r="CV52" s="45">
        <f t="shared" si="50"/>
        <v>250000</v>
      </c>
      <c r="CW52" s="45">
        <f t="shared" si="51"/>
        <v>250000</v>
      </c>
      <c r="CX52" s="45">
        <v>1750000</v>
      </c>
      <c r="CY52" s="8">
        <f t="shared" si="52"/>
        <v>-250000</v>
      </c>
      <c r="CZ52" s="45">
        <f t="shared" si="53"/>
        <v>-250000</v>
      </c>
      <c r="DA52" s="45">
        <f t="shared" si="54"/>
        <v>-500000</v>
      </c>
      <c r="DB52" s="45">
        <v>1750000</v>
      </c>
      <c r="DC52" s="8">
        <f t="shared" si="55"/>
        <v>-250000</v>
      </c>
      <c r="DD52" s="45">
        <f t="shared" si="56"/>
        <v>-250000</v>
      </c>
      <c r="DE52" s="45">
        <f t="shared" si="57"/>
        <v>-500000</v>
      </c>
      <c r="DF52" s="45">
        <f t="shared" si="58"/>
        <v>0</v>
      </c>
      <c r="DG52" s="45">
        <v>2000000</v>
      </c>
      <c r="DH52" s="47">
        <f t="shared" si="59"/>
        <v>0</v>
      </c>
      <c r="DI52" s="45">
        <f t="shared" si="60"/>
        <v>0</v>
      </c>
      <c r="DJ52" s="45">
        <f t="shared" si="61"/>
        <v>-250000</v>
      </c>
      <c r="DK52" s="45">
        <f t="shared" si="62"/>
        <v>250000</v>
      </c>
      <c r="DL52" s="45"/>
      <c r="DM52" s="45">
        <f t="shared" si="63"/>
        <v>2000000</v>
      </c>
      <c r="DN52" s="45">
        <v>2000000</v>
      </c>
      <c r="DO52" s="45">
        <f t="shared" si="64"/>
        <v>0</v>
      </c>
      <c r="DP52" s="45"/>
      <c r="DQ52" s="45">
        <v>-30000</v>
      </c>
      <c r="DR52" s="45">
        <f t="shared" si="65"/>
        <v>1970000</v>
      </c>
      <c r="DS52" s="45">
        <f t="shared" si="66"/>
        <v>-30000</v>
      </c>
      <c r="DT52" s="45"/>
      <c r="DU52" s="45">
        <f t="shared" si="67"/>
        <v>1970000</v>
      </c>
      <c r="DV52" s="45">
        <f t="shared" si="68"/>
        <v>-30000</v>
      </c>
      <c r="DW52" s="45">
        <v>1970000</v>
      </c>
      <c r="DX52" s="45">
        <v>1970000</v>
      </c>
      <c r="DY52" s="9"/>
      <c r="DZ52" s="8">
        <f t="shared" si="69"/>
        <v>0</v>
      </c>
      <c r="EA52" s="47">
        <v>2300000</v>
      </c>
      <c r="EB52" s="8">
        <f t="shared" si="70"/>
        <v>330000</v>
      </c>
      <c r="EC52" s="8">
        <f t="shared" si="71"/>
        <v>330000</v>
      </c>
      <c r="ED52" s="73"/>
      <c r="EE52" s="44">
        <v>2300000</v>
      </c>
      <c r="EF52" s="30">
        <f t="shared" si="72"/>
        <v>330000</v>
      </c>
      <c r="EG52" s="30">
        <f t="shared" si="73"/>
        <v>330000</v>
      </c>
      <c r="EH52" s="30">
        <f t="shared" si="74"/>
        <v>0</v>
      </c>
      <c r="EI52" s="44">
        <v>1970000</v>
      </c>
      <c r="EJ52" s="30">
        <f t="shared" si="75"/>
        <v>0</v>
      </c>
      <c r="EK52" s="30">
        <f t="shared" si="76"/>
        <v>0</v>
      </c>
      <c r="EL52" s="30">
        <f t="shared" si="77"/>
        <v>-330000</v>
      </c>
      <c r="EM52" s="44">
        <v>1970000</v>
      </c>
      <c r="EN52" s="30">
        <f t="shared" si="95"/>
        <v>0</v>
      </c>
      <c r="EO52" s="30">
        <f t="shared" si="96"/>
        <v>0</v>
      </c>
      <c r="EP52" s="30">
        <f t="shared" si="97"/>
        <v>-330000</v>
      </c>
      <c r="EQ52" s="30">
        <f t="shared" si="78"/>
        <v>0</v>
      </c>
      <c r="ER52" s="44">
        <v>2000000</v>
      </c>
      <c r="ES52" s="30">
        <f t="shared" si="79"/>
        <v>30000</v>
      </c>
      <c r="ET52" s="30">
        <f t="shared" si="80"/>
        <v>30000</v>
      </c>
      <c r="EU52" s="30">
        <f t="shared" si="81"/>
        <v>-300000</v>
      </c>
      <c r="EV52" s="30">
        <f t="shared" si="82"/>
        <v>30000</v>
      </c>
      <c r="EW52" s="44">
        <v>2000000</v>
      </c>
      <c r="EX52" s="30">
        <f t="shared" si="83"/>
        <v>30000</v>
      </c>
      <c r="EY52" s="30">
        <f t="shared" si="84"/>
        <v>0</v>
      </c>
      <c r="EZ52" s="30">
        <f t="shared" si="102"/>
        <v>0</v>
      </c>
      <c r="FA52" s="44">
        <v>2000000</v>
      </c>
      <c r="FB52" s="30">
        <f t="shared" si="85"/>
        <v>30000</v>
      </c>
      <c r="FC52" s="30"/>
      <c r="FD52" s="30">
        <f t="shared" si="86"/>
        <v>2000000</v>
      </c>
      <c r="FE52" s="30"/>
      <c r="FF52" s="30"/>
      <c r="FG52" s="30">
        <f t="shared" si="87"/>
        <v>2000000</v>
      </c>
      <c r="FH52" s="31">
        <v>2000000</v>
      </c>
      <c r="FI52" s="30">
        <f t="shared" si="88"/>
        <v>0</v>
      </c>
      <c r="FJ52" s="30"/>
      <c r="FK52" s="30">
        <v>2000000</v>
      </c>
      <c r="FL52" s="44">
        <f t="shared" si="89"/>
        <v>0</v>
      </c>
      <c r="FM52" s="44">
        <f t="shared" si="90"/>
        <v>0</v>
      </c>
      <c r="FN52" s="44"/>
      <c r="FO52" s="9"/>
    </row>
    <row r="53" spans="1:171" ht="12.75">
      <c r="A53" s="22" t="s">
        <v>13</v>
      </c>
      <c r="B53" s="23"/>
      <c r="C53" s="60" t="s">
        <v>222</v>
      </c>
      <c r="D53" s="25">
        <v>712000</v>
      </c>
      <c r="E53" s="26">
        <v>712000</v>
      </c>
      <c r="F53" s="26">
        <v>517320</v>
      </c>
      <c r="G53" s="26">
        <v>100000</v>
      </c>
      <c r="H53" s="27"/>
      <c r="I53" s="26">
        <f t="shared" si="0"/>
        <v>100000</v>
      </c>
      <c r="J53" s="27"/>
      <c r="K53" s="27"/>
      <c r="L53" s="27">
        <f t="shared" si="1"/>
        <v>0</v>
      </c>
      <c r="M53" s="28">
        <f t="shared" si="9"/>
        <v>100000</v>
      </c>
      <c r="N53" s="28">
        <v>100000</v>
      </c>
      <c r="O53" s="28">
        <v>100000</v>
      </c>
      <c r="P53" s="28">
        <v>100000</v>
      </c>
      <c r="Q53" s="28">
        <v>100000</v>
      </c>
      <c r="R53" s="28">
        <v>250000</v>
      </c>
      <c r="S53" s="28">
        <v>0.6</v>
      </c>
      <c r="T53" s="28">
        <f t="shared" si="91"/>
        <v>-150000</v>
      </c>
      <c r="U53" s="28">
        <f t="shared" si="92"/>
        <v>100000</v>
      </c>
      <c r="V53" s="28">
        <f t="shared" si="103"/>
        <v>0</v>
      </c>
      <c r="W53" s="29">
        <v>100000</v>
      </c>
      <c r="X53" s="29"/>
      <c r="Y53" s="29">
        <f t="shared" si="10"/>
        <v>100000</v>
      </c>
      <c r="Z53" s="30">
        <v>100000</v>
      </c>
      <c r="AA53" s="30">
        <f t="shared" si="11"/>
        <v>0</v>
      </c>
      <c r="AB53" s="30">
        <v>100000</v>
      </c>
      <c r="AC53" s="30">
        <v>250000</v>
      </c>
      <c r="AD53" s="31">
        <v>100000</v>
      </c>
      <c r="AE53" s="30">
        <f t="shared" si="101"/>
        <v>150000</v>
      </c>
      <c r="AF53" s="30">
        <f>AC53-W53+X53</f>
        <v>150000</v>
      </c>
      <c r="AG53" s="30">
        <f>AC53-Z53</f>
        <v>150000</v>
      </c>
      <c r="AH53" s="31">
        <v>100000</v>
      </c>
      <c r="AI53" s="31">
        <v>250000</v>
      </c>
      <c r="AJ53" s="30">
        <f t="shared" si="98"/>
        <v>0</v>
      </c>
      <c r="AK53" s="30">
        <f t="shared" si="12"/>
        <v>0</v>
      </c>
      <c r="AL53" s="30">
        <f t="shared" si="13"/>
        <v>-150000</v>
      </c>
      <c r="AM53" s="31">
        <f t="shared" si="14"/>
        <v>0</v>
      </c>
      <c r="AN53" s="31">
        <f t="shared" si="15"/>
        <v>0</v>
      </c>
      <c r="AO53" s="31">
        <f t="shared" si="4"/>
        <v>-150000</v>
      </c>
      <c r="AP53" s="30">
        <v>250000</v>
      </c>
      <c r="AQ53" s="30">
        <f t="shared" si="5"/>
        <v>150000</v>
      </c>
      <c r="AR53" s="30">
        <f t="shared" si="16"/>
        <v>150000</v>
      </c>
      <c r="AS53" s="30">
        <f t="shared" si="17"/>
        <v>150000</v>
      </c>
      <c r="AT53" s="30"/>
      <c r="AU53" s="30">
        <f t="shared" si="18"/>
        <v>250000</v>
      </c>
      <c r="AV53" s="30">
        <v>250000</v>
      </c>
      <c r="AW53" s="30">
        <f t="shared" si="19"/>
        <v>0</v>
      </c>
      <c r="AX53" s="30">
        <v>250000</v>
      </c>
      <c r="AY53" s="31">
        <f t="shared" si="93"/>
        <v>0</v>
      </c>
      <c r="AZ53" s="31">
        <f t="shared" si="94"/>
        <v>0</v>
      </c>
      <c r="BA53" s="30">
        <v>350000</v>
      </c>
      <c r="BB53" s="30">
        <f t="shared" si="20"/>
        <v>100000</v>
      </c>
      <c r="BC53" s="30">
        <f t="shared" si="21"/>
        <v>100000</v>
      </c>
      <c r="BD53" s="30">
        <f t="shared" si="22"/>
        <v>100000</v>
      </c>
      <c r="BE53" s="30">
        <v>250000</v>
      </c>
      <c r="BF53" s="30">
        <v>350000</v>
      </c>
      <c r="BG53" s="30">
        <v>350000</v>
      </c>
      <c r="BH53" s="30">
        <f t="shared" si="23"/>
        <v>100000</v>
      </c>
      <c r="BI53" s="30">
        <f t="shared" si="24"/>
        <v>100000</v>
      </c>
      <c r="BJ53" s="30">
        <f t="shared" si="25"/>
        <v>0</v>
      </c>
      <c r="BK53" s="8">
        <f t="shared" si="26"/>
        <v>100000</v>
      </c>
      <c r="BL53" s="30"/>
      <c r="BM53" s="30">
        <f t="shared" si="27"/>
        <v>350000</v>
      </c>
      <c r="BN53" s="44">
        <v>400000</v>
      </c>
      <c r="BO53" s="31">
        <f t="shared" si="28"/>
        <v>50000</v>
      </c>
      <c r="BP53" s="44">
        <v>250000</v>
      </c>
      <c r="BQ53" s="8">
        <f t="shared" si="29"/>
        <v>-100000</v>
      </c>
      <c r="BR53" s="8">
        <f t="shared" si="30"/>
        <v>-150000</v>
      </c>
      <c r="BS53" s="44">
        <v>350000</v>
      </c>
      <c r="BT53" s="47">
        <f t="shared" si="31"/>
        <v>0</v>
      </c>
      <c r="BU53" s="47">
        <f t="shared" si="32"/>
        <v>-50000</v>
      </c>
      <c r="BV53" s="47">
        <f t="shared" si="33"/>
        <v>100000</v>
      </c>
      <c r="BW53" s="45">
        <v>250000</v>
      </c>
      <c r="BX53" s="8">
        <f t="shared" si="34"/>
        <v>-100000</v>
      </c>
      <c r="BY53" s="8">
        <f t="shared" si="35"/>
        <v>-150000</v>
      </c>
      <c r="BZ53" s="8">
        <f t="shared" si="36"/>
        <v>-100000</v>
      </c>
      <c r="CA53" s="45">
        <v>250000</v>
      </c>
      <c r="CB53" s="8">
        <f t="shared" si="37"/>
        <v>-100000</v>
      </c>
      <c r="CC53" s="8">
        <f t="shared" si="38"/>
        <v>-150000</v>
      </c>
      <c r="CD53" s="8">
        <f t="shared" si="6"/>
        <v>-100000</v>
      </c>
      <c r="CE53" s="8">
        <f t="shared" si="39"/>
        <v>0</v>
      </c>
      <c r="CF53" s="45">
        <v>350000</v>
      </c>
      <c r="CG53" s="8">
        <f t="shared" si="40"/>
        <v>0</v>
      </c>
      <c r="CH53" s="8">
        <f t="shared" si="41"/>
        <v>-50000</v>
      </c>
      <c r="CI53" s="8">
        <f t="shared" si="42"/>
        <v>0</v>
      </c>
      <c r="CJ53" s="8">
        <f t="shared" si="43"/>
        <v>100000</v>
      </c>
      <c r="CK53" s="45">
        <v>350000</v>
      </c>
      <c r="CL53" s="8">
        <f t="shared" si="7"/>
        <v>0</v>
      </c>
      <c r="CM53" s="8">
        <f t="shared" si="44"/>
        <v>-50000</v>
      </c>
      <c r="CN53" s="8">
        <f t="shared" si="45"/>
        <v>0</v>
      </c>
      <c r="CO53" s="45">
        <v>350000</v>
      </c>
      <c r="CP53" s="45">
        <f t="shared" si="46"/>
        <v>-50000</v>
      </c>
      <c r="CQ53" s="8">
        <f t="shared" si="47"/>
        <v>0</v>
      </c>
      <c r="CR53" s="45">
        <v>250000</v>
      </c>
      <c r="CS53" s="32">
        <v>150000</v>
      </c>
      <c r="CT53" s="45">
        <f t="shared" si="48"/>
        <v>400000</v>
      </c>
      <c r="CU53" s="8">
        <f t="shared" si="49"/>
        <v>50000</v>
      </c>
      <c r="CV53" s="45">
        <f t="shared" si="50"/>
        <v>50000</v>
      </c>
      <c r="CW53" s="45">
        <f t="shared" si="51"/>
        <v>150000</v>
      </c>
      <c r="CX53" s="45">
        <v>350000</v>
      </c>
      <c r="CY53" s="8">
        <f t="shared" si="52"/>
        <v>0</v>
      </c>
      <c r="CZ53" s="45">
        <f t="shared" si="53"/>
        <v>0</v>
      </c>
      <c r="DA53" s="45">
        <f t="shared" si="54"/>
        <v>-50000</v>
      </c>
      <c r="DB53" s="45">
        <v>400000</v>
      </c>
      <c r="DC53" s="8">
        <f t="shared" si="55"/>
        <v>50000</v>
      </c>
      <c r="DD53" s="45">
        <f t="shared" si="56"/>
        <v>50000</v>
      </c>
      <c r="DE53" s="45">
        <f t="shared" si="57"/>
        <v>0</v>
      </c>
      <c r="DF53" s="45">
        <f t="shared" si="58"/>
        <v>50000</v>
      </c>
      <c r="DG53" s="45">
        <v>400000</v>
      </c>
      <c r="DH53" s="47">
        <f t="shared" si="59"/>
        <v>50000</v>
      </c>
      <c r="DI53" s="45">
        <f t="shared" si="60"/>
        <v>50000</v>
      </c>
      <c r="DJ53" s="45">
        <f t="shared" si="61"/>
        <v>0</v>
      </c>
      <c r="DK53" s="45">
        <f t="shared" si="62"/>
        <v>0</v>
      </c>
      <c r="DL53" s="45"/>
      <c r="DM53" s="45">
        <f t="shared" si="63"/>
        <v>400000</v>
      </c>
      <c r="DN53" s="45">
        <v>400000</v>
      </c>
      <c r="DO53" s="45">
        <f t="shared" si="64"/>
        <v>50000</v>
      </c>
      <c r="DP53" s="45"/>
      <c r="DQ53" s="45">
        <v>-6000</v>
      </c>
      <c r="DR53" s="45">
        <f t="shared" si="65"/>
        <v>394000</v>
      </c>
      <c r="DS53" s="45">
        <f t="shared" si="66"/>
        <v>44000</v>
      </c>
      <c r="DT53" s="45"/>
      <c r="DU53" s="45">
        <f t="shared" si="67"/>
        <v>394000</v>
      </c>
      <c r="DV53" s="45">
        <f t="shared" si="68"/>
        <v>44000</v>
      </c>
      <c r="DW53" s="45">
        <v>394000</v>
      </c>
      <c r="DX53" s="45">
        <v>394000</v>
      </c>
      <c r="DY53" s="9"/>
      <c r="DZ53" s="8">
        <f t="shared" si="69"/>
        <v>0</v>
      </c>
      <c r="EA53" s="47">
        <v>400000</v>
      </c>
      <c r="EB53" s="8">
        <f t="shared" si="70"/>
        <v>6000</v>
      </c>
      <c r="EC53" s="8">
        <f t="shared" si="71"/>
        <v>6000</v>
      </c>
      <c r="ED53" s="73"/>
      <c r="EE53" s="44">
        <v>500000</v>
      </c>
      <c r="EF53" s="30">
        <f t="shared" si="72"/>
        <v>106000</v>
      </c>
      <c r="EG53" s="30">
        <f t="shared" si="73"/>
        <v>106000</v>
      </c>
      <c r="EH53" s="30">
        <f t="shared" si="74"/>
        <v>100000</v>
      </c>
      <c r="EI53" s="44">
        <v>500000</v>
      </c>
      <c r="EJ53" s="30">
        <f t="shared" si="75"/>
        <v>106000</v>
      </c>
      <c r="EK53" s="30">
        <f t="shared" si="76"/>
        <v>106000</v>
      </c>
      <c r="EL53" s="30">
        <f t="shared" si="77"/>
        <v>0</v>
      </c>
      <c r="EM53" s="44">
        <v>500000</v>
      </c>
      <c r="EN53" s="30">
        <f t="shared" si="95"/>
        <v>106000</v>
      </c>
      <c r="EO53" s="30">
        <f t="shared" si="96"/>
        <v>106000</v>
      </c>
      <c r="EP53" s="30">
        <f t="shared" si="97"/>
        <v>0</v>
      </c>
      <c r="EQ53" s="30">
        <f t="shared" si="78"/>
        <v>0</v>
      </c>
      <c r="ER53" s="44">
        <v>500000</v>
      </c>
      <c r="ES53" s="30">
        <f t="shared" si="79"/>
        <v>106000</v>
      </c>
      <c r="ET53" s="30">
        <f t="shared" si="80"/>
        <v>106000</v>
      </c>
      <c r="EU53" s="30">
        <f t="shared" si="81"/>
        <v>0</v>
      </c>
      <c r="EV53" s="30">
        <f t="shared" si="82"/>
        <v>0</v>
      </c>
      <c r="EW53" s="44">
        <v>500000</v>
      </c>
      <c r="EX53" s="30">
        <f t="shared" si="83"/>
        <v>106000</v>
      </c>
      <c r="EY53" s="30">
        <f t="shared" si="84"/>
        <v>0</v>
      </c>
      <c r="EZ53" s="30">
        <f t="shared" si="102"/>
        <v>0</v>
      </c>
      <c r="FA53" s="44">
        <v>500000</v>
      </c>
      <c r="FB53" s="30">
        <f t="shared" si="85"/>
        <v>106000</v>
      </c>
      <c r="FC53" s="30"/>
      <c r="FD53" s="30">
        <f t="shared" si="86"/>
        <v>500000</v>
      </c>
      <c r="FE53" s="30"/>
      <c r="FF53" s="30"/>
      <c r="FG53" s="30">
        <f t="shared" si="87"/>
        <v>500000</v>
      </c>
      <c r="FH53" s="31">
        <v>500000</v>
      </c>
      <c r="FI53" s="30">
        <f t="shared" si="88"/>
        <v>0</v>
      </c>
      <c r="FJ53" s="30"/>
      <c r="FK53" s="30">
        <v>400000</v>
      </c>
      <c r="FL53" s="44">
        <f t="shared" si="89"/>
        <v>-100000</v>
      </c>
      <c r="FM53" s="44">
        <f t="shared" si="90"/>
        <v>-100000</v>
      </c>
      <c r="FN53" s="44"/>
      <c r="FO53" s="9"/>
    </row>
    <row r="54" spans="1:171" ht="12.75">
      <c r="A54" s="22" t="s">
        <v>33</v>
      </c>
      <c r="B54" s="23"/>
      <c r="C54" s="61" t="s">
        <v>139</v>
      </c>
      <c r="D54" s="25">
        <v>895367</v>
      </c>
      <c r="E54" s="26">
        <v>991367</v>
      </c>
      <c r="F54" s="26">
        <v>486227</v>
      </c>
      <c r="G54" s="26">
        <v>386227</v>
      </c>
      <c r="H54" s="27"/>
      <c r="I54" s="26">
        <f t="shared" si="0"/>
        <v>386227</v>
      </c>
      <c r="J54" s="27"/>
      <c r="K54" s="27"/>
      <c r="L54" s="27">
        <f t="shared" si="1"/>
        <v>0</v>
      </c>
      <c r="M54" s="28">
        <f t="shared" si="9"/>
        <v>386227</v>
      </c>
      <c r="N54" s="28">
        <v>386227</v>
      </c>
      <c r="O54" s="28">
        <v>353227</v>
      </c>
      <c r="P54" s="28">
        <v>353227</v>
      </c>
      <c r="Q54" s="28">
        <v>386227</v>
      </c>
      <c r="R54" s="28">
        <v>353227</v>
      </c>
      <c r="S54" s="28">
        <v>0.6</v>
      </c>
      <c r="T54" s="28">
        <f t="shared" si="91"/>
        <v>-211936.19999999998</v>
      </c>
      <c r="U54" s="28">
        <f t="shared" si="92"/>
        <v>141290.80000000002</v>
      </c>
      <c r="V54" s="28">
        <f t="shared" si="103"/>
        <v>-244936.19999999998</v>
      </c>
      <c r="W54" s="29">
        <f xml:space="preserve"> 353227</f>
        <v>353227</v>
      </c>
      <c r="X54" s="29"/>
      <c r="Y54" s="29">
        <f t="shared" si="10"/>
        <v>353227</v>
      </c>
      <c r="Z54" s="30">
        <v>353227</v>
      </c>
      <c r="AA54" s="30">
        <f t="shared" si="11"/>
        <v>0</v>
      </c>
      <c r="AB54" s="30">
        <v>353227</v>
      </c>
      <c r="AC54" s="34">
        <v>753227</v>
      </c>
      <c r="AD54" s="32">
        <v>346162</v>
      </c>
      <c r="AE54" s="30">
        <f t="shared" si="101"/>
        <v>400000</v>
      </c>
      <c r="AF54" s="30">
        <f>AC54-W54+X54</f>
        <v>400000</v>
      </c>
      <c r="AG54" s="30">
        <f>AC54-Z54</f>
        <v>400000</v>
      </c>
      <c r="AH54" s="32">
        <v>746162</v>
      </c>
      <c r="AI54" s="32">
        <v>746162</v>
      </c>
      <c r="AJ54" s="34">
        <f t="shared" si="98"/>
        <v>-7065</v>
      </c>
      <c r="AK54" s="34">
        <f t="shared" si="12"/>
        <v>-7065</v>
      </c>
      <c r="AL54" s="34">
        <f t="shared" si="13"/>
        <v>-407065</v>
      </c>
      <c r="AM54" s="32">
        <f t="shared" si="14"/>
        <v>392935</v>
      </c>
      <c r="AN54" s="32">
        <f t="shared" si="15"/>
        <v>392935</v>
      </c>
      <c r="AO54" s="32">
        <f t="shared" si="4"/>
        <v>-7065</v>
      </c>
      <c r="AP54" s="34">
        <v>746162</v>
      </c>
      <c r="AQ54" s="34">
        <f t="shared" si="5"/>
        <v>392935</v>
      </c>
      <c r="AR54" s="34">
        <f t="shared" si="16"/>
        <v>392935</v>
      </c>
      <c r="AS54" s="34">
        <f t="shared" si="17"/>
        <v>392935</v>
      </c>
      <c r="AT54" s="34"/>
      <c r="AU54" s="34">
        <f t="shared" si="18"/>
        <v>746162</v>
      </c>
      <c r="AV54" s="34">
        <v>737022</v>
      </c>
      <c r="AW54" s="34">
        <f t="shared" si="19"/>
        <v>-9140</v>
      </c>
      <c r="AX54" s="34">
        <v>746162</v>
      </c>
      <c r="AY54" s="31">
        <f t="shared" si="93"/>
        <v>0</v>
      </c>
      <c r="AZ54" s="31">
        <f t="shared" si="94"/>
        <v>9140</v>
      </c>
      <c r="BA54" s="34">
        <v>746162</v>
      </c>
      <c r="BB54" s="34">
        <f t="shared" si="20"/>
        <v>0</v>
      </c>
      <c r="BC54" s="34">
        <f t="shared" si="21"/>
        <v>9140</v>
      </c>
      <c r="BD54" s="34">
        <f t="shared" si="22"/>
        <v>0</v>
      </c>
      <c r="BE54" s="34">
        <v>346162</v>
      </c>
      <c r="BF54" s="34">
        <v>346162</v>
      </c>
      <c r="BG54" s="34">
        <v>346162</v>
      </c>
      <c r="BH54" s="30">
        <f t="shared" si="23"/>
        <v>-400000</v>
      </c>
      <c r="BI54" s="30">
        <f t="shared" si="24"/>
        <v>-390860</v>
      </c>
      <c r="BJ54" s="30">
        <f t="shared" si="25"/>
        <v>-400000</v>
      </c>
      <c r="BK54" s="8">
        <f t="shared" si="26"/>
        <v>0</v>
      </c>
      <c r="BL54" s="34"/>
      <c r="BM54" s="30">
        <f t="shared" si="27"/>
        <v>346162</v>
      </c>
      <c r="BN54" s="44">
        <v>346162</v>
      </c>
      <c r="BO54" s="31">
        <f t="shared" si="28"/>
        <v>0</v>
      </c>
      <c r="BP54" s="44">
        <v>0</v>
      </c>
      <c r="BQ54" s="8">
        <f t="shared" si="29"/>
        <v>-346162</v>
      </c>
      <c r="BR54" s="8">
        <f t="shared" si="30"/>
        <v>-346162</v>
      </c>
      <c r="BS54" s="44">
        <f>BP54</f>
        <v>0</v>
      </c>
      <c r="BT54" s="47">
        <f t="shared" si="31"/>
        <v>-346162</v>
      </c>
      <c r="BU54" s="47">
        <f t="shared" si="32"/>
        <v>-346162</v>
      </c>
      <c r="BV54" s="47">
        <f t="shared" si="33"/>
        <v>0</v>
      </c>
      <c r="BW54" s="45">
        <v>346162</v>
      </c>
      <c r="BX54" s="8">
        <f t="shared" si="34"/>
        <v>0</v>
      </c>
      <c r="BY54" s="8">
        <f t="shared" si="35"/>
        <v>0</v>
      </c>
      <c r="BZ54" s="8">
        <f t="shared" si="36"/>
        <v>346162</v>
      </c>
      <c r="CA54" s="45">
        <v>346162</v>
      </c>
      <c r="CB54" s="8">
        <f t="shared" si="37"/>
        <v>0</v>
      </c>
      <c r="CC54" s="8">
        <f t="shared" si="38"/>
        <v>0</v>
      </c>
      <c r="CD54" s="8">
        <f t="shared" si="6"/>
        <v>346162</v>
      </c>
      <c r="CE54" s="8">
        <f t="shared" si="39"/>
        <v>0</v>
      </c>
      <c r="CF54" s="45">
        <v>200000</v>
      </c>
      <c r="CG54" s="8">
        <f t="shared" si="40"/>
        <v>-146162</v>
      </c>
      <c r="CH54" s="8">
        <f t="shared" si="41"/>
        <v>-146162</v>
      </c>
      <c r="CI54" s="8">
        <f t="shared" si="42"/>
        <v>200000</v>
      </c>
      <c r="CJ54" s="8">
        <f t="shared" si="43"/>
        <v>-146162</v>
      </c>
      <c r="CK54" s="45">
        <v>200000</v>
      </c>
      <c r="CL54" s="8">
        <f t="shared" si="7"/>
        <v>-146162</v>
      </c>
      <c r="CM54" s="8">
        <f t="shared" si="44"/>
        <v>-146162</v>
      </c>
      <c r="CN54" s="8">
        <f t="shared" si="45"/>
        <v>0</v>
      </c>
      <c r="CO54" s="45">
        <v>200000</v>
      </c>
      <c r="CP54" s="45">
        <f t="shared" si="46"/>
        <v>-146162</v>
      </c>
      <c r="CQ54" s="8">
        <f t="shared" si="47"/>
        <v>0</v>
      </c>
      <c r="CR54" s="45">
        <v>200000</v>
      </c>
      <c r="CS54" s="32"/>
      <c r="CT54" s="45">
        <f t="shared" si="48"/>
        <v>200000</v>
      </c>
      <c r="CU54" s="8">
        <f t="shared" si="49"/>
        <v>0</v>
      </c>
      <c r="CV54" s="45">
        <f t="shared" si="50"/>
        <v>0</v>
      </c>
      <c r="CW54" s="45">
        <f t="shared" si="51"/>
        <v>0</v>
      </c>
      <c r="CX54" s="45">
        <v>200000</v>
      </c>
      <c r="CY54" s="8">
        <f t="shared" si="52"/>
        <v>0</v>
      </c>
      <c r="CZ54" s="45">
        <f t="shared" si="53"/>
        <v>0</v>
      </c>
      <c r="DA54" s="45">
        <f t="shared" si="54"/>
        <v>0</v>
      </c>
      <c r="DB54" s="45">
        <v>200000</v>
      </c>
      <c r="DC54" s="8">
        <f t="shared" si="55"/>
        <v>0</v>
      </c>
      <c r="DD54" s="45">
        <f t="shared" si="56"/>
        <v>0</v>
      </c>
      <c r="DE54" s="45">
        <f t="shared" si="57"/>
        <v>0</v>
      </c>
      <c r="DF54" s="45">
        <f t="shared" si="58"/>
        <v>0</v>
      </c>
      <c r="DG54" s="45">
        <v>200000</v>
      </c>
      <c r="DH54" s="47">
        <f t="shared" si="59"/>
        <v>0</v>
      </c>
      <c r="DI54" s="45">
        <f t="shared" si="60"/>
        <v>0</v>
      </c>
      <c r="DJ54" s="45">
        <f t="shared" si="61"/>
        <v>0</v>
      </c>
      <c r="DK54" s="45">
        <f t="shared" si="62"/>
        <v>0</v>
      </c>
      <c r="DL54" s="45"/>
      <c r="DM54" s="45">
        <f t="shared" si="63"/>
        <v>200000</v>
      </c>
      <c r="DN54" s="45">
        <v>200000</v>
      </c>
      <c r="DO54" s="45">
        <f t="shared" si="64"/>
        <v>0</v>
      </c>
      <c r="DP54" s="45"/>
      <c r="DQ54" s="45">
        <v>0</v>
      </c>
      <c r="DR54" s="45">
        <f t="shared" si="65"/>
        <v>200000</v>
      </c>
      <c r="DS54" s="45">
        <f t="shared" si="66"/>
        <v>0</v>
      </c>
      <c r="DT54" s="45">
        <v>-188000</v>
      </c>
      <c r="DU54" s="45">
        <f t="shared" si="67"/>
        <v>12000</v>
      </c>
      <c r="DV54" s="45">
        <f t="shared" si="68"/>
        <v>-188000</v>
      </c>
      <c r="DW54" s="45">
        <v>12000</v>
      </c>
      <c r="DX54" s="45">
        <v>0</v>
      </c>
      <c r="DY54" s="9"/>
      <c r="DZ54" s="8">
        <f t="shared" si="69"/>
        <v>-12000</v>
      </c>
      <c r="EA54" s="47">
        <v>0</v>
      </c>
      <c r="EB54" s="8">
        <f t="shared" si="70"/>
        <v>-12000</v>
      </c>
      <c r="EC54" s="8">
        <f t="shared" si="71"/>
        <v>0</v>
      </c>
      <c r="ED54" s="73"/>
      <c r="EE54" s="44">
        <v>0</v>
      </c>
      <c r="EF54" s="30">
        <f t="shared" si="72"/>
        <v>-12000</v>
      </c>
      <c r="EG54" s="30">
        <f t="shared" si="73"/>
        <v>0</v>
      </c>
      <c r="EH54" s="30">
        <f t="shared" si="74"/>
        <v>0</v>
      </c>
      <c r="EI54" s="44">
        <v>200000</v>
      </c>
      <c r="EJ54" s="30">
        <f t="shared" si="75"/>
        <v>188000</v>
      </c>
      <c r="EK54" s="30">
        <f t="shared" si="76"/>
        <v>200000</v>
      </c>
      <c r="EL54" s="30">
        <f t="shared" si="77"/>
        <v>200000</v>
      </c>
      <c r="EM54" s="44">
        <v>200000</v>
      </c>
      <c r="EN54" s="30">
        <f t="shared" si="95"/>
        <v>188000</v>
      </c>
      <c r="EO54" s="30">
        <f t="shared" si="96"/>
        <v>200000</v>
      </c>
      <c r="EP54" s="30">
        <f t="shared" si="97"/>
        <v>200000</v>
      </c>
      <c r="EQ54" s="30">
        <f t="shared" si="78"/>
        <v>0</v>
      </c>
      <c r="ER54" s="44">
        <v>200000</v>
      </c>
      <c r="ES54" s="30">
        <f t="shared" si="79"/>
        <v>188000</v>
      </c>
      <c r="ET54" s="30">
        <f t="shared" si="80"/>
        <v>200000</v>
      </c>
      <c r="EU54" s="30">
        <f t="shared" si="81"/>
        <v>200000</v>
      </c>
      <c r="EV54" s="30">
        <f t="shared" si="82"/>
        <v>0</v>
      </c>
      <c r="EW54" s="44">
        <v>200000</v>
      </c>
      <c r="EX54" s="30">
        <f t="shared" si="83"/>
        <v>188000</v>
      </c>
      <c r="EY54" s="30">
        <f t="shared" si="84"/>
        <v>0</v>
      </c>
      <c r="EZ54" s="30">
        <f t="shared" si="102"/>
        <v>0</v>
      </c>
      <c r="FA54" s="44">
        <v>200000</v>
      </c>
      <c r="FB54" s="30">
        <f t="shared" si="85"/>
        <v>188000</v>
      </c>
      <c r="FC54" s="30"/>
      <c r="FD54" s="30">
        <f t="shared" si="86"/>
        <v>200000</v>
      </c>
      <c r="FE54" s="30"/>
      <c r="FF54" s="30"/>
      <c r="FG54" s="30">
        <f t="shared" si="87"/>
        <v>200000</v>
      </c>
      <c r="FH54" s="31">
        <v>0</v>
      </c>
      <c r="FI54" s="30">
        <f t="shared" si="88"/>
        <v>-200000</v>
      </c>
      <c r="FJ54" s="30"/>
      <c r="FK54" s="30">
        <v>0</v>
      </c>
      <c r="FL54" s="44">
        <f t="shared" si="89"/>
        <v>-200000</v>
      </c>
      <c r="FM54" s="44">
        <f t="shared" si="90"/>
        <v>0</v>
      </c>
      <c r="FN54" s="44"/>
      <c r="FO54" s="9"/>
    </row>
    <row r="55" spans="1:171" ht="12.75">
      <c r="A55" s="22" t="s">
        <v>109</v>
      </c>
      <c r="B55" s="23"/>
      <c r="C55" s="61" t="s">
        <v>140</v>
      </c>
      <c r="D55" s="25"/>
      <c r="E55" s="26"/>
      <c r="F55" s="26"/>
      <c r="G55" s="26"/>
      <c r="H55" s="27"/>
      <c r="I55" s="26"/>
      <c r="J55" s="27"/>
      <c r="K55" s="27"/>
      <c r="L55" s="27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9"/>
      <c r="X55" s="29"/>
      <c r="Y55" s="29">
        <f t="shared" si="10"/>
        <v>0</v>
      </c>
      <c r="Z55" s="30"/>
      <c r="AA55" s="30"/>
      <c r="AB55" s="30"/>
      <c r="AC55" s="30">
        <v>300000</v>
      </c>
      <c r="AD55" s="31">
        <v>0</v>
      </c>
      <c r="AE55" s="30">
        <f t="shared" si="101"/>
        <v>300000</v>
      </c>
      <c r="AF55" s="30">
        <f>AC55-W55+X55</f>
        <v>300000</v>
      </c>
      <c r="AG55" s="30">
        <f>AC55-Z55</f>
        <v>300000</v>
      </c>
      <c r="AH55" s="32">
        <v>300000</v>
      </c>
      <c r="AI55" s="32">
        <v>300000</v>
      </c>
      <c r="AJ55" s="30">
        <f t="shared" si="98"/>
        <v>0</v>
      </c>
      <c r="AK55" s="30">
        <f t="shared" si="12"/>
        <v>0</v>
      </c>
      <c r="AL55" s="30">
        <f t="shared" si="13"/>
        <v>-300000</v>
      </c>
      <c r="AM55" s="31">
        <f t="shared" si="14"/>
        <v>300000</v>
      </c>
      <c r="AN55" s="31">
        <f t="shared" si="15"/>
        <v>300000</v>
      </c>
      <c r="AO55" s="31">
        <f t="shared" si="4"/>
        <v>0</v>
      </c>
      <c r="AP55" s="30">
        <v>300000</v>
      </c>
      <c r="AQ55" s="30">
        <f t="shared" si="5"/>
        <v>300000</v>
      </c>
      <c r="AR55" s="30">
        <f t="shared" si="16"/>
        <v>300000</v>
      </c>
      <c r="AS55" s="30">
        <f t="shared" si="17"/>
        <v>300000</v>
      </c>
      <c r="AT55" s="30"/>
      <c r="AU55" s="30">
        <f t="shared" si="18"/>
        <v>300000</v>
      </c>
      <c r="AV55" s="30">
        <v>0</v>
      </c>
      <c r="AW55" s="30">
        <f t="shared" si="19"/>
        <v>-300000</v>
      </c>
      <c r="AX55" s="30">
        <v>0</v>
      </c>
      <c r="AY55" s="31">
        <f>AX55-AP55-AT55</f>
        <v>-300000</v>
      </c>
      <c r="AZ55" s="31">
        <f>AX55-AV55</f>
        <v>0</v>
      </c>
      <c r="BA55" s="30">
        <v>251950</v>
      </c>
      <c r="BB55" s="30">
        <f t="shared" si="20"/>
        <v>-48050</v>
      </c>
      <c r="BC55" s="30">
        <f t="shared" si="21"/>
        <v>251950</v>
      </c>
      <c r="BD55" s="30">
        <f t="shared" si="22"/>
        <v>251950</v>
      </c>
      <c r="BE55" s="30">
        <v>251950</v>
      </c>
      <c r="BF55" s="30">
        <v>251950</v>
      </c>
      <c r="BG55" s="30">
        <v>251950</v>
      </c>
      <c r="BH55" s="30">
        <f t="shared" si="23"/>
        <v>-48050</v>
      </c>
      <c r="BI55" s="30">
        <f t="shared" si="24"/>
        <v>251950</v>
      </c>
      <c r="BJ55" s="30">
        <f t="shared" si="25"/>
        <v>0</v>
      </c>
      <c r="BK55" s="8">
        <f t="shared" si="26"/>
        <v>0</v>
      </c>
      <c r="BL55" s="30"/>
      <c r="BM55" s="30">
        <f t="shared" si="27"/>
        <v>251950</v>
      </c>
      <c r="BN55" s="44">
        <v>251950</v>
      </c>
      <c r="BO55" s="31">
        <f t="shared" si="28"/>
        <v>0</v>
      </c>
      <c r="BP55" s="44">
        <v>0</v>
      </c>
      <c r="BQ55" s="8">
        <f t="shared" si="29"/>
        <v>-251950</v>
      </c>
      <c r="BR55" s="8">
        <f t="shared" si="30"/>
        <v>-251950</v>
      </c>
      <c r="BS55" s="44">
        <f>BP55</f>
        <v>0</v>
      </c>
      <c r="BT55" s="47">
        <f t="shared" si="31"/>
        <v>-251950</v>
      </c>
      <c r="BU55" s="47">
        <f t="shared" si="32"/>
        <v>-251950</v>
      </c>
      <c r="BV55" s="47">
        <f t="shared" si="33"/>
        <v>0</v>
      </c>
      <c r="BW55" s="45">
        <v>251950</v>
      </c>
      <c r="BX55" s="8">
        <f t="shared" si="34"/>
        <v>0</v>
      </c>
      <c r="BY55" s="8">
        <f t="shared" si="35"/>
        <v>0</v>
      </c>
      <c r="BZ55" s="8">
        <f t="shared" si="36"/>
        <v>251950</v>
      </c>
      <c r="CA55" s="45">
        <v>251950</v>
      </c>
      <c r="CB55" s="8">
        <f t="shared" si="37"/>
        <v>0</v>
      </c>
      <c r="CC55" s="8">
        <f t="shared" si="38"/>
        <v>0</v>
      </c>
      <c r="CD55" s="8">
        <f t="shared" si="6"/>
        <v>251950</v>
      </c>
      <c r="CE55" s="8">
        <f t="shared" si="39"/>
        <v>0</v>
      </c>
      <c r="CF55" s="45">
        <v>251950</v>
      </c>
      <c r="CG55" s="8">
        <f t="shared" si="40"/>
        <v>0</v>
      </c>
      <c r="CH55" s="8">
        <f t="shared" si="41"/>
        <v>0</v>
      </c>
      <c r="CI55" s="8">
        <f t="shared" si="42"/>
        <v>251950</v>
      </c>
      <c r="CJ55" s="8">
        <f t="shared" si="43"/>
        <v>0</v>
      </c>
      <c r="CK55" s="45">
        <v>251950</v>
      </c>
      <c r="CL55" s="8">
        <f t="shared" si="7"/>
        <v>0</v>
      </c>
      <c r="CM55" s="8">
        <f t="shared" si="44"/>
        <v>0</v>
      </c>
      <c r="CN55" s="8">
        <f t="shared" si="45"/>
        <v>0</v>
      </c>
      <c r="CO55" s="45">
        <f>CK55</f>
        <v>251950</v>
      </c>
      <c r="CP55" s="45">
        <f t="shared" si="46"/>
        <v>0</v>
      </c>
      <c r="CQ55" s="8">
        <f t="shared" si="47"/>
        <v>0</v>
      </c>
      <c r="CR55" s="45">
        <v>0</v>
      </c>
      <c r="CS55" s="32">
        <v>280000</v>
      </c>
      <c r="CT55" s="45">
        <f t="shared" si="48"/>
        <v>280000</v>
      </c>
      <c r="CU55" s="8">
        <f t="shared" si="49"/>
        <v>28050</v>
      </c>
      <c r="CV55" s="45">
        <f t="shared" si="50"/>
        <v>28050</v>
      </c>
      <c r="CW55" s="45">
        <f t="shared" si="51"/>
        <v>280000</v>
      </c>
      <c r="CX55" s="45">
        <v>280000</v>
      </c>
      <c r="CY55" s="8">
        <f t="shared" si="52"/>
        <v>28050</v>
      </c>
      <c r="CZ55" s="45">
        <f t="shared" si="53"/>
        <v>28050</v>
      </c>
      <c r="DA55" s="45">
        <f t="shared" si="54"/>
        <v>0</v>
      </c>
      <c r="DB55" s="45">
        <v>280000</v>
      </c>
      <c r="DC55" s="8">
        <f t="shared" si="55"/>
        <v>28050</v>
      </c>
      <c r="DD55" s="45">
        <f t="shared" si="56"/>
        <v>28050</v>
      </c>
      <c r="DE55" s="45">
        <f t="shared" si="57"/>
        <v>0</v>
      </c>
      <c r="DF55" s="45">
        <f t="shared" si="58"/>
        <v>0</v>
      </c>
      <c r="DG55" s="45">
        <v>280000</v>
      </c>
      <c r="DH55" s="47">
        <f t="shared" si="59"/>
        <v>28050</v>
      </c>
      <c r="DI55" s="45">
        <f t="shared" si="60"/>
        <v>28050</v>
      </c>
      <c r="DJ55" s="45">
        <f t="shared" si="61"/>
        <v>0</v>
      </c>
      <c r="DK55" s="45">
        <f t="shared" si="62"/>
        <v>0</v>
      </c>
      <c r="DL55" s="45"/>
      <c r="DM55" s="45">
        <f t="shared" si="63"/>
        <v>280000</v>
      </c>
      <c r="DN55" s="45">
        <v>280000</v>
      </c>
      <c r="DO55" s="45">
        <f t="shared" si="64"/>
        <v>28050</v>
      </c>
      <c r="DP55" s="45"/>
      <c r="DQ55" s="45">
        <v>-4200</v>
      </c>
      <c r="DR55" s="45">
        <f t="shared" si="65"/>
        <v>275800</v>
      </c>
      <c r="DS55" s="45">
        <f t="shared" si="66"/>
        <v>23850</v>
      </c>
      <c r="DT55" s="45"/>
      <c r="DU55" s="45">
        <f t="shared" si="67"/>
        <v>275800</v>
      </c>
      <c r="DV55" s="45">
        <f t="shared" si="68"/>
        <v>23850</v>
      </c>
      <c r="DW55" s="45">
        <v>275800</v>
      </c>
      <c r="DX55" s="45">
        <v>0</v>
      </c>
      <c r="DY55" s="9"/>
      <c r="DZ55" s="8">
        <f t="shared" si="69"/>
        <v>-275800</v>
      </c>
      <c r="EA55" s="47">
        <v>0</v>
      </c>
      <c r="EB55" s="8">
        <f t="shared" si="70"/>
        <v>-275800</v>
      </c>
      <c r="EC55" s="8">
        <f t="shared" si="71"/>
        <v>0</v>
      </c>
      <c r="ED55" s="73"/>
      <c r="EE55" s="44">
        <v>100000</v>
      </c>
      <c r="EF55" s="30">
        <f t="shared" si="72"/>
        <v>-175800</v>
      </c>
      <c r="EG55" s="30">
        <f t="shared" si="73"/>
        <v>100000</v>
      </c>
      <c r="EH55" s="30">
        <f t="shared" si="74"/>
        <v>100000</v>
      </c>
      <c r="EI55" s="44">
        <v>275800</v>
      </c>
      <c r="EJ55" s="30">
        <f t="shared" si="75"/>
        <v>0</v>
      </c>
      <c r="EK55" s="30">
        <f t="shared" si="76"/>
        <v>275800</v>
      </c>
      <c r="EL55" s="30">
        <f t="shared" si="77"/>
        <v>175800</v>
      </c>
      <c r="EM55" s="44">
        <v>275800</v>
      </c>
      <c r="EN55" s="30">
        <f t="shared" si="95"/>
        <v>0</v>
      </c>
      <c r="EO55" s="30">
        <f t="shared" si="96"/>
        <v>275800</v>
      </c>
      <c r="EP55" s="30">
        <f t="shared" si="97"/>
        <v>175800</v>
      </c>
      <c r="EQ55" s="30">
        <f t="shared" si="78"/>
        <v>0</v>
      </c>
      <c r="ER55" s="44">
        <v>275800</v>
      </c>
      <c r="ES55" s="30">
        <f t="shared" si="79"/>
        <v>0</v>
      </c>
      <c r="ET55" s="30">
        <f t="shared" si="80"/>
        <v>275800</v>
      </c>
      <c r="EU55" s="30">
        <f t="shared" si="81"/>
        <v>175800</v>
      </c>
      <c r="EV55" s="30">
        <f t="shared" si="82"/>
        <v>0</v>
      </c>
      <c r="EW55" s="44">
        <v>275800</v>
      </c>
      <c r="EX55" s="30">
        <f t="shared" si="83"/>
        <v>0</v>
      </c>
      <c r="EY55" s="30">
        <f t="shared" si="84"/>
        <v>0</v>
      </c>
      <c r="EZ55" s="30">
        <f t="shared" si="102"/>
        <v>0</v>
      </c>
      <c r="FA55" s="44">
        <v>275800</v>
      </c>
      <c r="FB55" s="30">
        <f t="shared" si="85"/>
        <v>0</v>
      </c>
      <c r="FC55" s="30"/>
      <c r="FD55" s="30">
        <f t="shared" si="86"/>
        <v>275800</v>
      </c>
      <c r="FE55" s="30"/>
      <c r="FF55" s="30"/>
      <c r="FG55" s="30">
        <f t="shared" si="87"/>
        <v>275800</v>
      </c>
      <c r="FH55" s="31">
        <v>110000</v>
      </c>
      <c r="FI55" s="30">
        <f t="shared" si="88"/>
        <v>-165800</v>
      </c>
      <c r="FJ55" s="30"/>
      <c r="FK55" s="30">
        <v>0</v>
      </c>
      <c r="FL55" s="44">
        <f t="shared" si="89"/>
        <v>-275800</v>
      </c>
      <c r="FM55" s="44">
        <f t="shared" si="90"/>
        <v>-110000</v>
      </c>
      <c r="FN55" s="44"/>
      <c r="FO55" s="9"/>
    </row>
    <row r="56" spans="1:171" ht="12.75">
      <c r="A56" s="46" t="s">
        <v>200</v>
      </c>
      <c r="B56" s="23"/>
      <c r="C56" s="60" t="s">
        <v>296</v>
      </c>
      <c r="D56" s="25"/>
      <c r="E56" s="26"/>
      <c r="F56" s="26"/>
      <c r="G56" s="26"/>
      <c r="H56" s="27"/>
      <c r="I56" s="26"/>
      <c r="J56" s="27"/>
      <c r="K56" s="27"/>
      <c r="L56" s="27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9"/>
      <c r="X56" s="29"/>
      <c r="Y56" s="29"/>
      <c r="Z56" s="30"/>
      <c r="AA56" s="30"/>
      <c r="AB56" s="30"/>
      <c r="AC56" s="30"/>
      <c r="AD56" s="31"/>
      <c r="AE56" s="30"/>
      <c r="AF56" s="30"/>
      <c r="AG56" s="30"/>
      <c r="AH56" s="32"/>
      <c r="AI56" s="32"/>
      <c r="AJ56" s="30"/>
      <c r="AK56" s="30"/>
      <c r="AL56" s="30"/>
      <c r="AM56" s="31"/>
      <c r="AN56" s="31"/>
      <c r="AO56" s="31"/>
      <c r="AP56" s="30"/>
      <c r="AQ56" s="30"/>
      <c r="AR56" s="30"/>
      <c r="AS56" s="30"/>
      <c r="AT56" s="30"/>
      <c r="AU56" s="30"/>
      <c r="AV56" s="30"/>
      <c r="AW56" s="30"/>
      <c r="AX56" s="30"/>
      <c r="AY56" s="31"/>
      <c r="AZ56" s="31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8"/>
      <c r="BL56" s="30"/>
      <c r="BM56" s="30"/>
      <c r="BN56" s="44"/>
      <c r="BO56" s="31"/>
      <c r="BP56" s="44"/>
      <c r="BQ56" s="8"/>
      <c r="BR56" s="8"/>
      <c r="BS56" s="44"/>
      <c r="BT56" s="47"/>
      <c r="BU56" s="47"/>
      <c r="BV56" s="47"/>
      <c r="BW56" s="45"/>
      <c r="BX56" s="8"/>
      <c r="BY56" s="8"/>
      <c r="BZ56" s="8"/>
      <c r="CA56" s="45">
        <v>200000</v>
      </c>
      <c r="CB56" s="8">
        <f t="shared" ref="CB56" si="106">CA56-BM56</f>
        <v>200000</v>
      </c>
      <c r="CC56" s="8">
        <f t="shared" ref="CC56" si="107">CA56-BN56</f>
        <v>200000</v>
      </c>
      <c r="CD56" s="8">
        <f t="shared" ref="CD56" si="108">CA56-BS56</f>
        <v>200000</v>
      </c>
      <c r="CE56" s="8">
        <f t="shared" ref="CE56" si="109">CA56-BW56</f>
        <v>200000</v>
      </c>
      <c r="CF56" s="45">
        <v>125000</v>
      </c>
      <c r="CG56" s="8">
        <f t="shared" si="40"/>
        <v>125000</v>
      </c>
      <c r="CH56" s="8">
        <f t="shared" si="41"/>
        <v>125000</v>
      </c>
      <c r="CI56" s="8">
        <f t="shared" si="42"/>
        <v>125000</v>
      </c>
      <c r="CJ56" s="8">
        <f t="shared" si="43"/>
        <v>-75000</v>
      </c>
      <c r="CK56" s="45">
        <v>125000</v>
      </c>
      <c r="CL56" s="8">
        <f t="shared" si="7"/>
        <v>125000</v>
      </c>
      <c r="CM56" s="8">
        <f t="shared" si="44"/>
        <v>125000</v>
      </c>
      <c r="CN56" s="8">
        <f t="shared" si="45"/>
        <v>0</v>
      </c>
      <c r="CO56" s="45">
        <v>0</v>
      </c>
      <c r="CP56" s="45">
        <f t="shared" si="46"/>
        <v>0</v>
      </c>
      <c r="CQ56" s="8">
        <f t="shared" si="47"/>
        <v>-125000</v>
      </c>
      <c r="CR56" s="45">
        <v>0</v>
      </c>
      <c r="CS56" s="32"/>
      <c r="CT56" s="45">
        <f t="shared" si="48"/>
        <v>0</v>
      </c>
      <c r="CU56" s="8">
        <f t="shared" si="49"/>
        <v>-125000</v>
      </c>
      <c r="CV56" s="45">
        <f t="shared" si="50"/>
        <v>0</v>
      </c>
      <c r="CW56" s="45">
        <f t="shared" si="51"/>
        <v>0</v>
      </c>
      <c r="CX56" s="45">
        <v>125000</v>
      </c>
      <c r="CY56" s="8">
        <f t="shared" si="52"/>
        <v>0</v>
      </c>
      <c r="CZ56" s="45">
        <f t="shared" si="53"/>
        <v>125000</v>
      </c>
      <c r="DA56" s="45">
        <f t="shared" si="54"/>
        <v>125000</v>
      </c>
      <c r="DB56" s="45">
        <v>200000</v>
      </c>
      <c r="DC56" s="8">
        <f t="shared" si="55"/>
        <v>75000</v>
      </c>
      <c r="DD56" s="45">
        <f t="shared" si="56"/>
        <v>200000</v>
      </c>
      <c r="DE56" s="45">
        <f t="shared" si="57"/>
        <v>200000</v>
      </c>
      <c r="DF56" s="45">
        <f t="shared" si="58"/>
        <v>75000</v>
      </c>
      <c r="DG56" s="45">
        <v>200000</v>
      </c>
      <c r="DH56" s="47">
        <f t="shared" si="59"/>
        <v>75000</v>
      </c>
      <c r="DI56" s="45">
        <f t="shared" si="60"/>
        <v>200000</v>
      </c>
      <c r="DJ56" s="45">
        <f t="shared" si="61"/>
        <v>200000</v>
      </c>
      <c r="DK56" s="45">
        <f t="shared" si="62"/>
        <v>0</v>
      </c>
      <c r="DL56" s="45"/>
      <c r="DM56" s="45">
        <f t="shared" si="63"/>
        <v>200000</v>
      </c>
      <c r="DN56" s="45">
        <v>200000</v>
      </c>
      <c r="DO56" s="45">
        <f t="shared" si="64"/>
        <v>75000</v>
      </c>
      <c r="DP56" s="45"/>
      <c r="DQ56" s="45">
        <v>0</v>
      </c>
      <c r="DR56" s="45">
        <f t="shared" si="65"/>
        <v>200000</v>
      </c>
      <c r="DS56" s="45">
        <f t="shared" si="66"/>
        <v>75000</v>
      </c>
      <c r="DT56" s="45"/>
      <c r="DU56" s="45">
        <f t="shared" si="67"/>
        <v>200000</v>
      </c>
      <c r="DV56" s="45">
        <f t="shared" si="68"/>
        <v>75000</v>
      </c>
      <c r="DW56" s="45">
        <v>200000</v>
      </c>
      <c r="DX56" s="45">
        <v>0</v>
      </c>
      <c r="DY56" s="9"/>
      <c r="DZ56" s="8">
        <f t="shared" si="69"/>
        <v>-200000</v>
      </c>
      <c r="EA56" s="47">
        <v>0</v>
      </c>
      <c r="EB56" s="8">
        <f t="shared" si="70"/>
        <v>-200000</v>
      </c>
      <c r="EC56" s="8">
        <f t="shared" si="71"/>
        <v>0</v>
      </c>
      <c r="ED56" s="73"/>
      <c r="EE56" s="44">
        <v>0</v>
      </c>
      <c r="EF56" s="30">
        <f t="shared" si="72"/>
        <v>-200000</v>
      </c>
      <c r="EG56" s="30">
        <f t="shared" si="73"/>
        <v>0</v>
      </c>
      <c r="EH56" s="30">
        <f t="shared" si="74"/>
        <v>0</v>
      </c>
      <c r="EI56" s="44">
        <v>200000</v>
      </c>
      <c r="EJ56" s="30">
        <f t="shared" si="75"/>
        <v>0</v>
      </c>
      <c r="EK56" s="30">
        <f t="shared" si="76"/>
        <v>200000</v>
      </c>
      <c r="EL56" s="30">
        <f t="shared" si="77"/>
        <v>200000</v>
      </c>
      <c r="EM56" s="44">
        <v>200000</v>
      </c>
      <c r="EN56" s="30">
        <f t="shared" si="95"/>
        <v>0</v>
      </c>
      <c r="EO56" s="30">
        <f t="shared" si="96"/>
        <v>200000</v>
      </c>
      <c r="EP56" s="30">
        <f t="shared" si="97"/>
        <v>200000</v>
      </c>
      <c r="EQ56" s="30">
        <f t="shared" si="78"/>
        <v>0</v>
      </c>
      <c r="ER56" s="44">
        <v>200000</v>
      </c>
      <c r="ES56" s="30">
        <f t="shared" si="79"/>
        <v>0</v>
      </c>
      <c r="ET56" s="30">
        <f t="shared" si="80"/>
        <v>200000</v>
      </c>
      <c r="EU56" s="30">
        <f t="shared" si="81"/>
        <v>200000</v>
      </c>
      <c r="EV56" s="30">
        <f t="shared" si="82"/>
        <v>0</v>
      </c>
      <c r="EW56" s="44">
        <f>200000-200000</f>
        <v>0</v>
      </c>
      <c r="EX56" s="30">
        <f t="shared" si="83"/>
        <v>-200000</v>
      </c>
      <c r="EY56" s="30">
        <f t="shared" si="84"/>
        <v>-200000</v>
      </c>
      <c r="EZ56" s="30">
        <f t="shared" si="102"/>
        <v>200000</v>
      </c>
      <c r="FA56" s="44">
        <f>200000</f>
        <v>200000</v>
      </c>
      <c r="FB56" s="30">
        <f t="shared" si="85"/>
        <v>0</v>
      </c>
      <c r="FC56" s="30"/>
      <c r="FD56" s="30">
        <f t="shared" si="86"/>
        <v>200000</v>
      </c>
      <c r="FE56" s="30"/>
      <c r="FF56" s="30"/>
      <c r="FG56" s="30">
        <f t="shared" si="87"/>
        <v>200000</v>
      </c>
      <c r="FH56" s="31">
        <v>0</v>
      </c>
      <c r="FI56" s="30">
        <f t="shared" si="88"/>
        <v>-200000</v>
      </c>
      <c r="FJ56" s="30"/>
      <c r="FK56" s="30">
        <v>0</v>
      </c>
      <c r="FL56" s="44">
        <f t="shared" si="89"/>
        <v>-200000</v>
      </c>
      <c r="FM56" s="44">
        <f t="shared" si="90"/>
        <v>0</v>
      </c>
      <c r="FN56" s="44"/>
      <c r="FO56" s="9"/>
    </row>
    <row r="57" spans="1:171" ht="12.75">
      <c r="A57" s="46" t="s">
        <v>293</v>
      </c>
      <c r="B57" s="23"/>
      <c r="C57" s="60" t="s">
        <v>280</v>
      </c>
      <c r="D57" s="25"/>
      <c r="E57" s="26"/>
      <c r="F57" s="26"/>
      <c r="G57" s="26"/>
      <c r="H57" s="27"/>
      <c r="I57" s="26"/>
      <c r="J57" s="27"/>
      <c r="K57" s="27"/>
      <c r="L57" s="27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9"/>
      <c r="X57" s="29"/>
      <c r="Y57" s="29"/>
      <c r="Z57" s="30"/>
      <c r="AA57" s="30"/>
      <c r="AB57" s="30"/>
      <c r="AC57" s="30"/>
      <c r="AD57" s="31"/>
      <c r="AE57" s="30"/>
      <c r="AF57" s="30"/>
      <c r="AG57" s="30"/>
      <c r="AH57" s="32"/>
      <c r="AI57" s="32"/>
      <c r="AJ57" s="30"/>
      <c r="AK57" s="30"/>
      <c r="AL57" s="30"/>
      <c r="AM57" s="31"/>
      <c r="AN57" s="31"/>
      <c r="AO57" s="31"/>
      <c r="AP57" s="30"/>
      <c r="AQ57" s="30"/>
      <c r="AR57" s="30"/>
      <c r="AS57" s="30"/>
      <c r="AT57" s="30"/>
      <c r="AU57" s="30"/>
      <c r="AV57" s="30"/>
      <c r="AW57" s="30"/>
      <c r="AX57" s="30"/>
      <c r="AY57" s="31"/>
      <c r="AZ57" s="31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8"/>
      <c r="BL57" s="30"/>
      <c r="BM57" s="30"/>
      <c r="BN57" s="44"/>
      <c r="BO57" s="31"/>
      <c r="BP57" s="44"/>
      <c r="BQ57" s="8"/>
      <c r="BR57" s="8"/>
      <c r="BS57" s="44"/>
      <c r="BT57" s="47"/>
      <c r="BU57" s="47"/>
      <c r="BV57" s="47"/>
      <c r="BW57" s="45"/>
      <c r="BX57" s="8"/>
      <c r="BY57" s="8"/>
      <c r="BZ57" s="8"/>
      <c r="CA57" s="45"/>
      <c r="CB57" s="8"/>
      <c r="CC57" s="8"/>
      <c r="CD57" s="8"/>
      <c r="CE57" s="8"/>
      <c r="CF57" s="45"/>
      <c r="CG57" s="8"/>
      <c r="CH57" s="8"/>
      <c r="CI57" s="8"/>
      <c r="CJ57" s="8"/>
      <c r="CK57" s="45"/>
      <c r="CL57" s="8"/>
      <c r="CM57" s="8"/>
      <c r="CN57" s="8"/>
      <c r="CO57" s="45"/>
      <c r="CP57" s="45"/>
      <c r="CQ57" s="8"/>
      <c r="CR57" s="45"/>
      <c r="CS57" s="32"/>
      <c r="CT57" s="45"/>
      <c r="CU57" s="8"/>
      <c r="CV57" s="45"/>
      <c r="CW57" s="45"/>
      <c r="CX57" s="45"/>
      <c r="CY57" s="8"/>
      <c r="CZ57" s="45"/>
      <c r="DA57" s="45"/>
      <c r="DB57" s="45"/>
      <c r="DC57" s="8"/>
      <c r="DD57" s="45"/>
      <c r="DE57" s="45"/>
      <c r="DF57" s="45"/>
      <c r="DG57" s="45"/>
      <c r="DH57" s="47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9"/>
      <c r="DZ57" s="8"/>
      <c r="EA57" s="47"/>
      <c r="EB57" s="8"/>
      <c r="EC57" s="8"/>
      <c r="ED57" s="73"/>
      <c r="EE57" s="44"/>
      <c r="EF57" s="30"/>
      <c r="EG57" s="30"/>
      <c r="EH57" s="30"/>
      <c r="EI57" s="44"/>
      <c r="EJ57" s="30"/>
      <c r="EK57" s="30"/>
      <c r="EL57" s="30"/>
      <c r="EM57" s="44">
        <v>150000</v>
      </c>
      <c r="EN57" s="30">
        <f t="shared" si="95"/>
        <v>150000</v>
      </c>
      <c r="EO57" s="30">
        <f t="shared" si="96"/>
        <v>150000</v>
      </c>
      <c r="EP57" s="30">
        <f t="shared" si="97"/>
        <v>150000</v>
      </c>
      <c r="EQ57" s="30">
        <f t="shared" si="78"/>
        <v>150000</v>
      </c>
      <c r="ER57" s="44">
        <v>150000</v>
      </c>
      <c r="ES57" s="30">
        <f t="shared" si="79"/>
        <v>150000</v>
      </c>
      <c r="ET57" s="30">
        <f t="shared" si="80"/>
        <v>150000</v>
      </c>
      <c r="EU57" s="30">
        <f t="shared" si="81"/>
        <v>150000</v>
      </c>
      <c r="EV57" s="30">
        <f t="shared" si="82"/>
        <v>0</v>
      </c>
      <c r="EW57" s="44">
        <v>150000</v>
      </c>
      <c r="EX57" s="30">
        <f t="shared" si="83"/>
        <v>150000</v>
      </c>
      <c r="EY57" s="30">
        <f t="shared" si="84"/>
        <v>0</v>
      </c>
      <c r="EZ57" s="30">
        <f t="shared" si="102"/>
        <v>0</v>
      </c>
      <c r="FA57" s="44">
        <v>150000</v>
      </c>
      <c r="FB57" s="30">
        <f t="shared" si="85"/>
        <v>150000</v>
      </c>
      <c r="FC57" s="30"/>
      <c r="FD57" s="30">
        <f t="shared" si="86"/>
        <v>150000</v>
      </c>
      <c r="FE57" s="30"/>
      <c r="FF57" s="30"/>
      <c r="FG57" s="30">
        <f t="shared" si="87"/>
        <v>150000</v>
      </c>
      <c r="FH57" s="31">
        <v>150000</v>
      </c>
      <c r="FI57" s="30">
        <f t="shared" si="88"/>
        <v>0</v>
      </c>
      <c r="FJ57" s="30"/>
      <c r="FK57" s="30">
        <v>0</v>
      </c>
      <c r="FL57" s="44">
        <f t="shared" si="89"/>
        <v>-150000</v>
      </c>
      <c r="FM57" s="44">
        <f t="shared" si="90"/>
        <v>-150000</v>
      </c>
      <c r="FN57" s="44"/>
      <c r="FO57" s="9"/>
    </row>
    <row r="58" spans="1:171" ht="14.25" hidden="1" customHeight="1">
      <c r="A58" s="46" t="s">
        <v>263</v>
      </c>
      <c r="B58" s="70" t="s">
        <v>264</v>
      </c>
      <c r="C58" s="84"/>
      <c r="D58" s="69"/>
      <c r="E58" s="9"/>
      <c r="F58" s="9"/>
      <c r="G58" s="9"/>
      <c r="H58" s="9"/>
      <c r="I58" s="9"/>
      <c r="J58" s="68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30"/>
      <c r="AB58" s="9"/>
      <c r="AC58" s="9"/>
      <c r="AD58" s="17"/>
      <c r="AE58" s="9"/>
      <c r="AF58" s="9"/>
      <c r="AG58" s="9"/>
      <c r="AH58" s="9"/>
      <c r="AI58" s="9"/>
      <c r="AJ58" s="9"/>
      <c r="AK58" s="9"/>
      <c r="AL58" s="9"/>
      <c r="AM58" s="17"/>
      <c r="AN58" s="17"/>
      <c r="AO58" s="17"/>
      <c r="AP58" s="9"/>
      <c r="AQ58" s="9"/>
      <c r="AR58" s="9"/>
      <c r="AS58" s="9"/>
      <c r="AT58" s="9"/>
      <c r="AU58" s="9"/>
      <c r="AV58" s="17"/>
      <c r="AW58" s="9"/>
      <c r="AX58" s="9"/>
      <c r="AY58" s="17"/>
      <c r="AZ58" s="17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30"/>
      <c r="BO58" s="30"/>
      <c r="BP58" s="30"/>
      <c r="BQ58" s="9"/>
      <c r="BR58" s="9"/>
      <c r="BS58" s="30"/>
      <c r="BT58" s="9"/>
      <c r="BU58" s="9"/>
      <c r="BV58" s="9"/>
      <c r="BW58" s="30"/>
      <c r="BX58" s="9"/>
      <c r="BY58" s="9"/>
      <c r="BZ58" s="9"/>
      <c r="CA58" s="30"/>
      <c r="CB58" s="9"/>
      <c r="CC58" s="9"/>
      <c r="CD58" s="9"/>
      <c r="CE58" s="9"/>
      <c r="CF58" s="30"/>
      <c r="CG58" s="9"/>
      <c r="CH58" s="9"/>
      <c r="CI58" s="9"/>
      <c r="CJ58" s="9"/>
      <c r="CK58" s="30"/>
      <c r="CL58" s="9"/>
      <c r="CM58" s="9"/>
      <c r="CN58" s="9"/>
      <c r="CO58" s="30"/>
      <c r="CP58" s="30"/>
      <c r="CQ58" s="9"/>
      <c r="CR58" s="30"/>
      <c r="CS58" s="30"/>
      <c r="CT58" s="30"/>
      <c r="CU58" s="9"/>
      <c r="CV58" s="30"/>
      <c r="CW58" s="30"/>
      <c r="CX58" s="30"/>
      <c r="CY58" s="9"/>
      <c r="CZ58" s="30"/>
      <c r="DA58" s="30"/>
      <c r="DB58" s="30"/>
      <c r="DC58" s="9"/>
      <c r="DD58" s="30"/>
      <c r="DE58" s="30"/>
      <c r="DF58" s="30"/>
      <c r="DG58" s="30"/>
      <c r="DH58" s="9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44">
        <v>1379000</v>
      </c>
      <c r="DY58" s="9"/>
      <c r="DZ58" s="8">
        <f t="shared" si="69"/>
        <v>1379000</v>
      </c>
      <c r="EA58" s="47">
        <v>0</v>
      </c>
      <c r="EB58" s="8">
        <f t="shared" si="70"/>
        <v>0</v>
      </c>
      <c r="EC58" s="8">
        <f t="shared" si="71"/>
        <v>-1379000</v>
      </c>
      <c r="ED58" s="71" t="s">
        <v>269</v>
      </c>
      <c r="EE58" s="44">
        <v>0</v>
      </c>
      <c r="EF58" s="30">
        <f t="shared" si="72"/>
        <v>0</v>
      </c>
      <c r="EG58" s="30">
        <f t="shared" si="73"/>
        <v>-1379000</v>
      </c>
      <c r="EH58" s="30">
        <f t="shared" si="74"/>
        <v>0</v>
      </c>
      <c r="EI58" s="44">
        <v>0</v>
      </c>
      <c r="EJ58" s="30">
        <f t="shared" si="75"/>
        <v>0</v>
      </c>
      <c r="EK58" s="30">
        <f t="shared" si="76"/>
        <v>-1379000</v>
      </c>
      <c r="EL58" s="30">
        <f t="shared" si="77"/>
        <v>0</v>
      </c>
      <c r="EM58" s="44">
        <v>0</v>
      </c>
      <c r="EN58" s="30">
        <f t="shared" si="95"/>
        <v>0</v>
      </c>
      <c r="EO58" s="30">
        <f t="shared" si="96"/>
        <v>-1379000</v>
      </c>
      <c r="EP58" s="30">
        <f t="shared" si="97"/>
        <v>0</v>
      </c>
      <c r="EQ58" s="30">
        <f t="shared" si="78"/>
        <v>0</v>
      </c>
      <c r="ER58" s="31">
        <v>0</v>
      </c>
      <c r="ES58" s="30">
        <f t="shared" si="79"/>
        <v>0</v>
      </c>
      <c r="ET58" s="30">
        <f t="shared" si="80"/>
        <v>-1379000</v>
      </c>
      <c r="EU58" s="30">
        <f t="shared" si="81"/>
        <v>0</v>
      </c>
      <c r="EV58" s="30">
        <f t="shared" si="82"/>
        <v>0</v>
      </c>
      <c r="EW58" s="31">
        <v>0</v>
      </c>
      <c r="EX58" s="30">
        <f t="shared" si="83"/>
        <v>0</v>
      </c>
      <c r="EY58" s="30">
        <f t="shared" si="84"/>
        <v>0</v>
      </c>
      <c r="EZ58" s="30">
        <f t="shared" si="102"/>
        <v>0</v>
      </c>
      <c r="FA58" s="31">
        <v>0</v>
      </c>
      <c r="FB58" s="30"/>
      <c r="FC58" s="30"/>
      <c r="FD58" s="30">
        <f t="shared" si="86"/>
        <v>0</v>
      </c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9"/>
    </row>
    <row r="59" spans="1:171" ht="12.75">
      <c r="A59" s="42" t="s">
        <v>169</v>
      </c>
      <c r="B59" s="24"/>
      <c r="C59" s="82"/>
      <c r="D59" s="35">
        <f t="shared" ref="D59:L59" si="110">SUM(D9:D54)</f>
        <v>4291565177</v>
      </c>
      <c r="E59" s="36">
        <f t="shared" si="110"/>
        <v>4551124520</v>
      </c>
      <c r="F59" s="36">
        <f t="shared" si="110"/>
        <v>4100990904</v>
      </c>
      <c r="G59" s="36">
        <f t="shared" si="110"/>
        <v>4310153596</v>
      </c>
      <c r="H59" s="37">
        <f t="shared" si="110"/>
        <v>-2250000</v>
      </c>
      <c r="I59" s="36">
        <f t="shared" si="110"/>
        <v>4307903596</v>
      </c>
      <c r="J59" s="37">
        <f t="shared" si="110"/>
        <v>-13378636</v>
      </c>
      <c r="K59" s="37">
        <f t="shared" si="110"/>
        <v>0</v>
      </c>
      <c r="L59" s="37">
        <f t="shared" si="110"/>
        <v>-13378636</v>
      </c>
      <c r="M59" s="38">
        <f t="shared" ref="M59:AR59" si="111">SUM(M9:M55)</f>
        <v>4294524960</v>
      </c>
      <c r="N59" s="38">
        <f t="shared" si="111"/>
        <v>4475708972</v>
      </c>
      <c r="O59" s="38">
        <f t="shared" si="111"/>
        <v>4278073976</v>
      </c>
      <c r="P59" s="38">
        <f t="shared" si="111"/>
        <v>4275882835</v>
      </c>
      <c r="Q59" s="38">
        <f t="shared" si="111"/>
        <v>4292443683</v>
      </c>
      <c r="R59" s="38">
        <f t="shared" si="111"/>
        <v>4290394190</v>
      </c>
      <c r="S59" s="38">
        <f t="shared" si="111"/>
        <v>4.5271800000000004</v>
      </c>
      <c r="T59" s="38">
        <f t="shared" si="111"/>
        <v>-25839554.999050006</v>
      </c>
      <c r="U59" s="38">
        <f t="shared" si="111"/>
        <v>4264554635.0009508</v>
      </c>
      <c r="V59" s="38">
        <f t="shared" si="111"/>
        <v>-29970324.999049995</v>
      </c>
      <c r="W59" s="38">
        <f t="shared" si="111"/>
        <v>4264601913</v>
      </c>
      <c r="X59" s="38">
        <f t="shared" si="111"/>
        <v>2000000</v>
      </c>
      <c r="Y59" s="38">
        <f t="shared" si="111"/>
        <v>4266601913</v>
      </c>
      <c r="Z59" s="38">
        <f t="shared" si="111"/>
        <v>4484465653</v>
      </c>
      <c r="AA59" s="38">
        <f t="shared" si="111"/>
        <v>219863740</v>
      </c>
      <c r="AB59" s="38">
        <f t="shared" si="111"/>
        <v>4480669977</v>
      </c>
      <c r="AC59" s="38">
        <f t="shared" si="111"/>
        <v>4486000305</v>
      </c>
      <c r="AD59" s="38">
        <f t="shared" si="111"/>
        <v>4448424876</v>
      </c>
      <c r="AE59" s="38">
        <f t="shared" si="111"/>
        <v>5330328</v>
      </c>
      <c r="AF59" s="38">
        <f t="shared" si="111"/>
        <v>219398392</v>
      </c>
      <c r="AG59" s="38">
        <f t="shared" si="111"/>
        <v>1534652</v>
      </c>
      <c r="AH59" s="38">
        <f t="shared" si="111"/>
        <v>4463917728</v>
      </c>
      <c r="AI59" s="38">
        <f t="shared" si="111"/>
        <v>4487041280</v>
      </c>
      <c r="AJ59" s="38">
        <f t="shared" si="111"/>
        <v>181822963</v>
      </c>
      <c r="AK59" s="38">
        <f t="shared" si="111"/>
        <v>-36040777</v>
      </c>
      <c r="AL59" s="38">
        <f t="shared" si="111"/>
        <v>-37575429</v>
      </c>
      <c r="AM59" s="38">
        <f t="shared" si="111"/>
        <v>197315815</v>
      </c>
      <c r="AN59" s="38">
        <f t="shared" si="111"/>
        <v>-20547925</v>
      </c>
      <c r="AO59" s="38">
        <f t="shared" si="111"/>
        <v>-22082577</v>
      </c>
      <c r="AP59" s="38">
        <f t="shared" si="111"/>
        <v>4487041280</v>
      </c>
      <c r="AQ59" s="38">
        <f t="shared" si="111"/>
        <v>220439367</v>
      </c>
      <c r="AR59" s="38">
        <f t="shared" si="111"/>
        <v>2575627</v>
      </c>
      <c r="AS59" s="38">
        <f t="shared" ref="AS59:AT59" si="112">SUM(AS9:AS55)</f>
        <v>220439367</v>
      </c>
      <c r="AT59" s="38">
        <f t="shared" si="112"/>
        <v>3000000</v>
      </c>
      <c r="AU59" s="38">
        <f>SUM(AU9:AU56)</f>
        <v>4490041280</v>
      </c>
      <c r="AV59" s="38">
        <f t="shared" ref="AV59:CE59" si="113">SUM(AV9:AV56)</f>
        <v>4647281619</v>
      </c>
      <c r="AW59" s="38">
        <f t="shared" si="113"/>
        <v>157240339</v>
      </c>
      <c r="AX59" s="38">
        <f t="shared" si="113"/>
        <v>4675077596</v>
      </c>
      <c r="AY59" s="38">
        <f t="shared" si="113"/>
        <v>185036316</v>
      </c>
      <c r="AZ59" s="38">
        <f t="shared" si="113"/>
        <v>27795977</v>
      </c>
      <c r="BA59" s="38">
        <f t="shared" si="113"/>
        <v>4682763339</v>
      </c>
      <c r="BB59" s="38">
        <f t="shared" si="113"/>
        <v>192722059</v>
      </c>
      <c r="BC59" s="38">
        <f t="shared" si="113"/>
        <v>35481720</v>
      </c>
      <c r="BD59" s="38">
        <f t="shared" si="113"/>
        <v>7685743</v>
      </c>
      <c r="BE59" s="38">
        <f t="shared" si="113"/>
        <v>4708480378</v>
      </c>
      <c r="BF59" s="38">
        <f t="shared" si="113"/>
        <v>4723601975</v>
      </c>
      <c r="BG59" s="38">
        <f t="shared" si="113"/>
        <v>4723601975</v>
      </c>
      <c r="BH59" s="38">
        <f t="shared" si="113"/>
        <v>233560695</v>
      </c>
      <c r="BI59" s="38">
        <f t="shared" si="113"/>
        <v>76320356</v>
      </c>
      <c r="BJ59" s="38">
        <f t="shared" si="113"/>
        <v>40838636</v>
      </c>
      <c r="BK59" s="38">
        <f t="shared" si="113"/>
        <v>15121597</v>
      </c>
      <c r="BL59" s="38">
        <f t="shared" si="113"/>
        <v>21677486</v>
      </c>
      <c r="BM59" s="38">
        <f t="shared" si="113"/>
        <v>4727674489</v>
      </c>
      <c r="BN59" s="38">
        <f t="shared" si="113"/>
        <v>4954764325</v>
      </c>
      <c r="BO59" s="38">
        <f t="shared" si="113"/>
        <v>227089836</v>
      </c>
      <c r="BP59" s="38">
        <f t="shared" si="113"/>
        <v>4806178326</v>
      </c>
      <c r="BQ59" s="38">
        <f t="shared" si="113"/>
        <v>78503837</v>
      </c>
      <c r="BR59" s="38">
        <f t="shared" si="113"/>
        <v>-148585999</v>
      </c>
      <c r="BS59" s="38">
        <f t="shared" si="113"/>
        <v>4822755174</v>
      </c>
      <c r="BT59" s="38">
        <f t="shared" si="113"/>
        <v>95080685</v>
      </c>
      <c r="BU59" s="38">
        <f t="shared" si="113"/>
        <v>-132009151</v>
      </c>
      <c r="BV59" s="38">
        <f t="shared" si="113"/>
        <v>16576848</v>
      </c>
      <c r="BW59" s="38">
        <f t="shared" si="113"/>
        <v>4862516920</v>
      </c>
      <c r="BX59" s="38">
        <f t="shared" si="113"/>
        <v>134842431</v>
      </c>
      <c r="BY59" s="38">
        <f t="shared" si="113"/>
        <v>-92247405</v>
      </c>
      <c r="BZ59" s="38">
        <f t="shared" si="113"/>
        <v>39761746</v>
      </c>
      <c r="CA59" s="38">
        <f t="shared" si="113"/>
        <v>4872261601</v>
      </c>
      <c r="CB59" s="38">
        <f t="shared" si="113"/>
        <v>144587112</v>
      </c>
      <c r="CC59" s="38">
        <f t="shared" si="113"/>
        <v>-82502724</v>
      </c>
      <c r="CD59" s="38">
        <f t="shared" si="113"/>
        <v>49506427</v>
      </c>
      <c r="CE59" s="38">
        <f t="shared" si="113"/>
        <v>9744681</v>
      </c>
      <c r="CF59" s="38">
        <f t="shared" ref="CF59:CJ59" si="114">SUM(CF9:CF56)</f>
        <v>4874766789</v>
      </c>
      <c r="CG59" s="38">
        <f t="shared" si="114"/>
        <v>147092300</v>
      </c>
      <c r="CH59" s="38">
        <f t="shared" si="114"/>
        <v>-79997536</v>
      </c>
      <c r="CI59" s="38">
        <f t="shared" si="114"/>
        <v>52011615</v>
      </c>
      <c r="CJ59" s="38">
        <f t="shared" si="114"/>
        <v>2505188</v>
      </c>
      <c r="CK59" s="38">
        <f>SUM(CK9:CK56)</f>
        <v>4902931863</v>
      </c>
      <c r="CL59" s="38">
        <f t="shared" ref="CL59:CN59" si="115">SUM(CL9:CL56)</f>
        <v>175257374</v>
      </c>
      <c r="CM59" s="38">
        <f t="shared" si="115"/>
        <v>-51832462</v>
      </c>
      <c r="CN59" s="38">
        <f t="shared" si="115"/>
        <v>28165074</v>
      </c>
      <c r="CO59" s="38">
        <f>SUM(CO9:CO56)</f>
        <v>5005489259</v>
      </c>
      <c r="CP59" s="38">
        <f>SUM(CP9:CP56)</f>
        <v>50724934</v>
      </c>
      <c r="CQ59" s="53">
        <f t="shared" si="47"/>
        <v>102557396</v>
      </c>
      <c r="CR59" s="38">
        <f>SUM(CR9:CR56)</f>
        <v>4977080254</v>
      </c>
      <c r="CS59" s="38">
        <f>SUM(CS9:CS56)</f>
        <v>7470693</v>
      </c>
      <c r="CT59" s="32">
        <f>+CS59+CR59</f>
        <v>4984550947</v>
      </c>
      <c r="CU59" s="32">
        <f t="shared" ref="CU59:CW59" si="116">+CT59+CS59</f>
        <v>4992021640</v>
      </c>
      <c r="CV59" s="32">
        <f t="shared" si="116"/>
        <v>9976572587</v>
      </c>
      <c r="CW59" s="32">
        <f t="shared" si="116"/>
        <v>14968594227</v>
      </c>
      <c r="CX59" s="38">
        <f>SUM(CX9:CX56)</f>
        <v>5005239030.5</v>
      </c>
      <c r="CY59" s="38">
        <f t="shared" ref="CY59:DA59" si="117">SUM(CY9:CY56)</f>
        <v>102307167.5</v>
      </c>
      <c r="CZ59" s="38">
        <f t="shared" si="117"/>
        <v>-250228.5</v>
      </c>
      <c r="DA59" s="38">
        <f t="shared" si="117"/>
        <v>20688083.5</v>
      </c>
      <c r="DB59" s="38">
        <f>SUM(DB9:DB56)</f>
        <v>5007464030.5</v>
      </c>
      <c r="DC59" s="38">
        <f t="shared" ref="DC59:DE59" si="118">SUM(DC9:DC56)</f>
        <v>104532167.5</v>
      </c>
      <c r="DD59" s="38">
        <f t="shared" si="118"/>
        <v>1974771.5</v>
      </c>
      <c r="DE59" s="38">
        <f t="shared" si="118"/>
        <v>22913083.5</v>
      </c>
      <c r="DF59" s="38">
        <f t="shared" ref="DF59" si="119">SUM(DF9:DF56)</f>
        <v>2225000</v>
      </c>
      <c r="DG59" s="38">
        <f>SUM(DG9:DG56)</f>
        <v>5012091563.5</v>
      </c>
      <c r="DH59" s="38">
        <f t="shared" ref="DH59:DM59" si="120">SUM(DH9:DH56)</f>
        <v>109159700.5</v>
      </c>
      <c r="DI59" s="38">
        <f t="shared" si="120"/>
        <v>6602304.5</v>
      </c>
      <c r="DJ59" s="38">
        <f t="shared" si="120"/>
        <v>27540616.5</v>
      </c>
      <c r="DK59" s="38">
        <f t="shared" si="120"/>
        <v>4627533</v>
      </c>
      <c r="DL59" s="38">
        <f t="shared" si="120"/>
        <v>-2205000</v>
      </c>
      <c r="DM59" s="38">
        <f t="shared" si="120"/>
        <v>5009886563.5</v>
      </c>
      <c r="DN59" s="38">
        <f>SUM(DN9:DN56)</f>
        <v>5013091563.5</v>
      </c>
      <c r="DO59" s="38">
        <f>SUM(DO9:DO56)</f>
        <v>109159700.5</v>
      </c>
      <c r="DP59" s="38">
        <f t="shared" ref="DP59:DT59" si="121">SUM(DP9:DP56)</f>
        <v>1100000</v>
      </c>
      <c r="DQ59" s="38">
        <f t="shared" si="121"/>
        <v>-34414227</v>
      </c>
      <c r="DR59" s="38">
        <f t="shared" si="121"/>
        <v>4979777336.5</v>
      </c>
      <c r="DS59" s="38">
        <f t="shared" si="121"/>
        <v>76845473.5</v>
      </c>
      <c r="DT59" s="38">
        <f t="shared" si="121"/>
        <v>-16618704</v>
      </c>
      <c r="DU59" s="38">
        <f t="shared" ref="DU59:DY59" si="122">SUM(DU9:DU56)</f>
        <v>4963158632.5</v>
      </c>
      <c r="DV59" s="38">
        <f t="shared" si="122"/>
        <v>60226769.5</v>
      </c>
      <c r="DW59" s="38">
        <f t="shared" si="122"/>
        <v>4968158632.5</v>
      </c>
      <c r="DX59" s="38">
        <f>SUM(DX9:DX58)</f>
        <v>5054911587</v>
      </c>
      <c r="DY59" s="38">
        <f t="shared" si="122"/>
        <v>0</v>
      </c>
      <c r="DZ59" s="38">
        <f>SUM(DZ9:DZ58)</f>
        <v>91752954.5</v>
      </c>
      <c r="EA59" s="38">
        <f>SUM(EA9:EA58)</f>
        <v>5076886234</v>
      </c>
      <c r="EB59" s="38">
        <f t="shared" ref="EB59:EH59" si="123">SUM(EB9:EB58)</f>
        <v>113727601.5</v>
      </c>
      <c r="EC59" s="38">
        <f t="shared" si="123"/>
        <v>21974647</v>
      </c>
      <c r="ED59" s="38">
        <f t="shared" si="123"/>
        <v>0</v>
      </c>
      <c r="EE59" s="38">
        <f t="shared" si="123"/>
        <v>5084671681</v>
      </c>
      <c r="EF59" s="38">
        <f>SUM(EF9:EF58)</f>
        <v>121513048.5</v>
      </c>
      <c r="EG59" s="38">
        <f t="shared" si="123"/>
        <v>29760094</v>
      </c>
      <c r="EH59" s="38">
        <f t="shared" si="123"/>
        <v>7785447</v>
      </c>
      <c r="EI59" s="38">
        <f t="shared" ref="EI59" si="124">SUM(EI9:EI58)</f>
        <v>5089443856</v>
      </c>
      <c r="EJ59" s="38">
        <f>SUM(EJ9:EJ58)</f>
        <v>126285223.5</v>
      </c>
      <c r="EK59" s="38">
        <f t="shared" ref="EK59:EM59" si="125">SUM(EK9:EK58)</f>
        <v>34532269</v>
      </c>
      <c r="EL59" s="38">
        <f t="shared" si="125"/>
        <v>4772175</v>
      </c>
      <c r="EM59" s="38">
        <f t="shared" si="125"/>
        <v>5102908856</v>
      </c>
      <c r="EN59" s="38">
        <f>SUM(EN9:EN58)</f>
        <v>139750223.5</v>
      </c>
      <c r="EO59" s="38">
        <f t="shared" ref="EO59:ER59" si="126">SUM(EO9:EO58)</f>
        <v>47997269</v>
      </c>
      <c r="EP59" s="38">
        <f t="shared" si="126"/>
        <v>18237175</v>
      </c>
      <c r="EQ59" s="38">
        <f t="shared" si="126"/>
        <v>13465000</v>
      </c>
      <c r="ER59" s="38">
        <f t="shared" si="126"/>
        <v>5113644536</v>
      </c>
      <c r="ES59" s="38">
        <f>SUM(ES9:ES58)</f>
        <v>145485903.5</v>
      </c>
      <c r="ET59" s="38">
        <f t="shared" ref="ET59:EU59" si="127">SUM(ET9:ET58)</f>
        <v>58732949</v>
      </c>
      <c r="EU59" s="38">
        <f t="shared" si="127"/>
        <v>28972855</v>
      </c>
      <c r="EV59" s="38">
        <f>SUM(EV9:EV58)</f>
        <v>10735680</v>
      </c>
      <c r="EW59" s="38">
        <f t="shared" ref="EW59" si="128">SUM(EW9:EW58)</f>
        <v>5093981823</v>
      </c>
      <c r="EX59" s="38">
        <f>SUM(EX9:EX58)</f>
        <v>125823190.5</v>
      </c>
      <c r="EY59" s="38">
        <f t="shared" ref="EY59:FA59" si="129">SUM(EY9:EY58)</f>
        <v>-19662713</v>
      </c>
      <c r="EZ59" s="38">
        <f t="shared" ref="EZ59" si="130">SUM(EZ9:EZ58)</f>
        <v>19662713</v>
      </c>
      <c r="FA59" s="38">
        <f t="shared" si="129"/>
        <v>5113644536</v>
      </c>
      <c r="FB59" s="38">
        <f t="shared" ref="FB59:FG59" si="131">SUM(FB9:FB58)</f>
        <v>145485903.5</v>
      </c>
      <c r="FC59" s="38">
        <f t="shared" si="131"/>
        <v>6338715</v>
      </c>
      <c r="FD59" s="38">
        <f t="shared" si="131"/>
        <v>5119983251</v>
      </c>
      <c r="FE59" s="38">
        <f t="shared" si="131"/>
        <v>-1854731</v>
      </c>
      <c r="FF59" s="38">
        <f t="shared" si="131"/>
        <v>-1015000</v>
      </c>
      <c r="FG59" s="38">
        <f t="shared" si="131"/>
        <v>5117113520</v>
      </c>
      <c r="FH59" s="38">
        <f t="shared" ref="FH59:FM59" si="132">SUM(FH9:FH58)</f>
        <v>5200384426</v>
      </c>
      <c r="FI59" s="38">
        <f t="shared" si="132"/>
        <v>83270906</v>
      </c>
      <c r="FJ59" s="38"/>
      <c r="FK59" s="38">
        <f t="shared" si="132"/>
        <v>5209678824</v>
      </c>
      <c r="FL59" s="38">
        <f t="shared" si="132"/>
        <v>92565304</v>
      </c>
      <c r="FM59" s="38">
        <f t="shared" si="132"/>
        <v>9294398</v>
      </c>
      <c r="FN59" s="38"/>
      <c r="FO59" s="9"/>
    </row>
    <row r="60" spans="1:171" ht="12.75">
      <c r="A60" s="90"/>
      <c r="B60" s="89"/>
      <c r="C60" s="112"/>
      <c r="D60" s="113"/>
      <c r="E60" s="114"/>
      <c r="F60" s="114"/>
      <c r="G60" s="114"/>
      <c r="H60" s="115"/>
      <c r="I60" s="114"/>
      <c r="J60" s="115"/>
      <c r="K60" s="115"/>
      <c r="L60" s="115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116"/>
      <c r="CR60" s="88"/>
      <c r="CS60" s="88"/>
      <c r="CT60" s="117"/>
      <c r="CU60" s="117"/>
      <c r="CV60" s="117"/>
      <c r="CW60" s="117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</row>
    <row r="61" spans="1:171" ht="12.75">
      <c r="A61" s="108"/>
      <c r="B61" s="91"/>
      <c r="C61" s="11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FI61" s="120"/>
    </row>
    <row r="62" spans="1:171" ht="12.75">
      <c r="A62" s="109"/>
      <c r="B62" s="91"/>
      <c r="C62" s="11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</row>
    <row r="63" spans="1:171" ht="14.25" customHeight="1">
      <c r="A63" s="110"/>
      <c r="B63" s="91"/>
      <c r="C63" s="11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</row>
    <row r="64" spans="1:171" ht="14.25" customHeight="1">
      <c r="A64" s="110"/>
      <c r="B64" s="91"/>
      <c r="C64" s="11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</row>
    <row r="65" spans="1:170" ht="14.25" customHeight="1">
      <c r="A65" s="108"/>
      <c r="B65" s="91"/>
      <c r="C65" s="11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</row>
    <row r="66" spans="1:170" ht="12.75">
      <c r="A66" s="108"/>
      <c r="B66" s="91"/>
      <c r="C66" s="11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</row>
    <row r="67" spans="1:170" ht="12.75">
      <c r="A67" s="108"/>
      <c r="B67" s="91"/>
      <c r="C67" s="11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</row>
    <row r="68" spans="1:170" ht="12.75">
      <c r="A68" s="108"/>
      <c r="B68" s="91"/>
      <c r="C68" s="11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</row>
    <row r="69" spans="1:170" ht="12.75">
      <c r="A69" s="108"/>
      <c r="B69" s="91"/>
      <c r="C69" s="11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</row>
    <row r="70" spans="1:170" ht="12.75">
      <c r="A70" s="110"/>
      <c r="B70" s="91"/>
      <c r="C70" s="11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</row>
    <row r="71" spans="1:170" ht="12.75">
      <c r="A71" s="92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</row>
    <row r="72" spans="1:170" ht="12.75">
      <c r="A72" s="10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  <c r="EO72" s="91"/>
      <c r="EP72" s="91"/>
      <c r="EQ72" s="91"/>
      <c r="ER72" s="91"/>
      <c r="ES72" s="91"/>
      <c r="ET72" s="91"/>
      <c r="EU72" s="91"/>
      <c r="EV72" s="91"/>
    </row>
    <row r="73" spans="1:170" ht="15">
      <c r="A73" s="101"/>
      <c r="B73" s="91"/>
      <c r="C73" s="107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G73" s="91"/>
      <c r="DH73" s="91"/>
      <c r="DI73" s="91"/>
      <c r="DJ73" s="91"/>
      <c r="DK73" s="91"/>
      <c r="DL73" s="91"/>
      <c r="DM73" s="91"/>
      <c r="DN73" s="91"/>
      <c r="DO73" s="91"/>
      <c r="DP73" s="91"/>
      <c r="DQ73" s="91"/>
      <c r="DR73" s="91"/>
      <c r="DS73" s="91"/>
      <c r="DT73" s="91"/>
      <c r="DU73" s="91"/>
      <c r="DV73" s="91"/>
      <c r="DW73" s="91"/>
      <c r="DX73" s="91"/>
      <c r="DY73" s="91"/>
      <c r="DZ73" s="91"/>
      <c r="EA73" s="91"/>
      <c r="EB73" s="91"/>
      <c r="EC73" s="91"/>
      <c r="ED73" s="91"/>
      <c r="EE73" s="91"/>
      <c r="EF73" s="91"/>
      <c r="EG73" s="91"/>
      <c r="EH73" s="91"/>
      <c r="EI73" s="91"/>
      <c r="EJ73" s="91"/>
      <c r="EK73" s="91"/>
      <c r="EL73" s="91"/>
      <c r="EM73" s="91"/>
      <c r="EN73" s="91"/>
      <c r="EO73" s="91"/>
      <c r="EP73" s="91"/>
      <c r="EQ73" s="91"/>
      <c r="ER73" s="91"/>
      <c r="ES73" s="91"/>
      <c r="ET73" s="91"/>
      <c r="EU73" s="91"/>
      <c r="EV73" s="91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130"/>
      <c r="FL73" s="86"/>
      <c r="FM73" s="86"/>
      <c r="FN73" s="86"/>
    </row>
    <row r="74" spans="1:170" ht="12.75">
      <c r="A74" s="100"/>
      <c r="B74" s="98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131"/>
      <c r="CH74" s="131"/>
      <c r="CI74" s="131"/>
      <c r="CJ74" s="131"/>
      <c r="CK74" s="131"/>
      <c r="CL74" s="131"/>
      <c r="CM74" s="131"/>
      <c r="CN74" s="131"/>
      <c r="CO74" s="131"/>
      <c r="CP74" s="131"/>
      <c r="CQ74" s="131"/>
      <c r="CR74" s="131"/>
      <c r="CS74" s="131"/>
      <c r="CT74" s="131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130"/>
      <c r="FL74" s="86"/>
      <c r="FM74" s="86"/>
      <c r="FN74" s="86"/>
    </row>
    <row r="75" spans="1:170" ht="12.75">
      <c r="A75" s="100"/>
      <c r="B75" s="98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  <c r="BM75" s="131"/>
      <c r="BN75" s="131"/>
      <c r="BO75" s="131"/>
      <c r="BP75" s="131"/>
      <c r="BQ75" s="131"/>
      <c r="BR75" s="131"/>
      <c r="BS75" s="131"/>
      <c r="BT75" s="131"/>
      <c r="BU75" s="131"/>
      <c r="BV75" s="131"/>
      <c r="BW75" s="131"/>
      <c r="BX75" s="131"/>
      <c r="BY75" s="131"/>
      <c r="BZ75" s="131"/>
      <c r="CA75" s="131"/>
      <c r="CB75" s="131"/>
      <c r="CC75" s="131"/>
      <c r="CD75" s="131"/>
      <c r="CE75" s="131"/>
      <c r="CF75" s="131"/>
      <c r="CG75" s="131"/>
      <c r="CH75" s="131"/>
      <c r="CI75" s="131"/>
      <c r="CJ75" s="131"/>
      <c r="CK75" s="131"/>
      <c r="CL75" s="131"/>
      <c r="CM75" s="131"/>
      <c r="CN75" s="131"/>
      <c r="CO75" s="131"/>
      <c r="CP75" s="131"/>
      <c r="CQ75" s="131"/>
      <c r="CR75" s="131"/>
      <c r="CS75" s="131"/>
      <c r="CT75" s="131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78"/>
      <c r="EX75" s="78"/>
      <c r="EY75" s="78"/>
      <c r="EZ75" s="78"/>
      <c r="FA75" s="78"/>
      <c r="FB75" s="78"/>
      <c r="FC75" s="93"/>
      <c r="FD75" s="93"/>
      <c r="FE75" s="93"/>
      <c r="FF75" s="93"/>
      <c r="FG75" s="93"/>
      <c r="FH75" s="93"/>
      <c r="FI75" s="93"/>
      <c r="FJ75" s="93"/>
      <c r="FK75" s="93"/>
      <c r="FL75" s="93"/>
      <c r="FM75" s="93"/>
      <c r="FN75" s="93"/>
    </row>
    <row r="76" spans="1:170" ht="12.7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5"/>
      <c r="DW76" s="105"/>
      <c r="DX76" s="106"/>
      <c r="DY76" s="105"/>
      <c r="DZ76" s="105"/>
      <c r="EA76" s="105"/>
      <c r="EB76" s="105"/>
      <c r="EC76" s="105"/>
      <c r="ED76" s="105"/>
      <c r="EE76" s="105"/>
      <c r="EF76" s="105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S76" s="105"/>
      <c r="ET76" s="105"/>
      <c r="EU76" s="105"/>
      <c r="EV76" s="105"/>
      <c r="EW76" s="79"/>
      <c r="EX76" s="78"/>
      <c r="EY76" s="78"/>
      <c r="EZ76" s="78"/>
      <c r="FA76" s="79"/>
      <c r="FB76" s="78"/>
      <c r="FC76" s="93"/>
      <c r="FD76" s="93"/>
      <c r="FE76" s="93"/>
      <c r="FF76" s="93"/>
      <c r="FG76" s="93"/>
      <c r="FH76" s="93"/>
      <c r="FI76" s="93"/>
      <c r="FJ76" s="93"/>
      <c r="FK76" s="93"/>
      <c r="FL76" s="93"/>
      <c r="FM76" s="93"/>
      <c r="FN76" s="93"/>
    </row>
    <row r="77" spans="1:170" ht="12.75">
      <c r="A77" s="101"/>
      <c r="B77" s="99"/>
      <c r="C77" s="103"/>
      <c r="D77" s="91"/>
      <c r="E77" s="92"/>
      <c r="F77" s="92"/>
      <c r="G77" s="92"/>
      <c r="H77" s="92"/>
      <c r="I77" s="92"/>
      <c r="J77" s="95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3"/>
      <c r="AB77" s="92"/>
      <c r="AC77" s="92"/>
      <c r="AD77" s="91"/>
      <c r="AE77" s="92"/>
      <c r="AF77" s="92"/>
      <c r="AG77" s="92"/>
      <c r="AH77" s="92"/>
      <c r="AI77" s="92"/>
      <c r="AJ77" s="92"/>
      <c r="AK77" s="92"/>
      <c r="AL77" s="92"/>
      <c r="AM77" s="91"/>
      <c r="AN77" s="91"/>
      <c r="AO77" s="91"/>
      <c r="AP77" s="92"/>
      <c r="AQ77" s="92"/>
      <c r="AR77" s="92"/>
      <c r="AS77" s="92"/>
      <c r="AT77" s="92"/>
      <c r="AU77" s="92"/>
      <c r="AV77" s="91"/>
      <c r="AW77" s="92"/>
      <c r="AX77" s="92"/>
      <c r="AY77" s="91"/>
      <c r="AZ77" s="91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3"/>
      <c r="BO77" s="93"/>
      <c r="BP77" s="93"/>
      <c r="BQ77" s="92"/>
      <c r="BR77" s="92"/>
      <c r="BS77" s="93"/>
      <c r="BT77" s="92"/>
      <c r="BU77" s="92"/>
      <c r="BV77" s="92"/>
      <c r="BW77" s="93"/>
      <c r="BX77" s="92"/>
      <c r="BY77" s="92"/>
      <c r="BZ77" s="92"/>
      <c r="CA77" s="93"/>
      <c r="CB77" s="92"/>
      <c r="CC77" s="92"/>
      <c r="CD77" s="92"/>
      <c r="CE77" s="92"/>
      <c r="CF77" s="93"/>
      <c r="CG77" s="92"/>
      <c r="CH77" s="92"/>
      <c r="CI77" s="92"/>
      <c r="CJ77" s="92"/>
      <c r="CK77" s="93"/>
      <c r="CL77" s="92"/>
      <c r="CM77" s="92"/>
      <c r="CN77" s="92"/>
      <c r="CO77" s="93"/>
      <c r="CP77" s="93"/>
      <c r="CQ77" s="92"/>
      <c r="CR77" s="93"/>
      <c r="CS77" s="93"/>
      <c r="CT77" s="93"/>
      <c r="CU77" s="92"/>
      <c r="CV77" s="93"/>
      <c r="CW77" s="93"/>
      <c r="CX77" s="93"/>
      <c r="CY77" s="92"/>
      <c r="CZ77" s="93"/>
      <c r="DA77" s="93"/>
      <c r="DB77" s="93"/>
      <c r="DC77" s="92"/>
      <c r="DD77" s="93"/>
      <c r="DE77" s="93"/>
      <c r="DF77" s="93"/>
      <c r="DG77" s="93"/>
      <c r="DH77" s="92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2"/>
      <c r="DZ77" s="92"/>
      <c r="EA77" s="92"/>
      <c r="EB77" s="92"/>
      <c r="EC77" s="92"/>
      <c r="ED77" s="97"/>
      <c r="EE77" s="93"/>
      <c r="EF77" s="93"/>
      <c r="EG77" s="93"/>
      <c r="EH77" s="93"/>
      <c r="EI77" s="93"/>
      <c r="EJ77" s="93"/>
      <c r="EK77" s="93"/>
      <c r="EL77" s="93"/>
      <c r="EM77" s="93"/>
      <c r="EN77" s="93"/>
      <c r="EO77" s="93"/>
      <c r="EP77" s="93"/>
      <c r="EQ77" s="93"/>
      <c r="ER77" s="93"/>
      <c r="ES77" s="93"/>
      <c r="ET77" s="93"/>
      <c r="EU77" s="93"/>
      <c r="EV77" s="93"/>
      <c r="EW77" s="1"/>
      <c r="EX77" s="78"/>
      <c r="EY77" s="78"/>
      <c r="EZ77" s="78"/>
      <c r="FA77" s="1"/>
      <c r="FB77" s="78"/>
      <c r="FC77" s="93"/>
      <c r="FD77" s="93"/>
      <c r="FE77" s="93"/>
      <c r="FF77" s="93"/>
      <c r="FG77" s="93"/>
      <c r="FH77" s="93"/>
      <c r="FI77" s="93"/>
      <c r="FJ77" s="93"/>
      <c r="FK77" s="93"/>
      <c r="FL77" s="93"/>
      <c r="FM77" s="93"/>
      <c r="FN77" s="93"/>
    </row>
    <row r="78" spans="1:170" ht="12.75">
      <c r="A78" s="101"/>
      <c r="B78" s="99"/>
      <c r="C78" s="103"/>
      <c r="D78" s="91"/>
      <c r="E78" s="92"/>
      <c r="F78" s="92"/>
      <c r="G78" s="92"/>
      <c r="H78" s="92"/>
      <c r="I78" s="92"/>
      <c r="J78" s="95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3"/>
      <c r="AB78" s="92"/>
      <c r="AC78" s="92"/>
      <c r="AD78" s="91"/>
      <c r="AE78" s="92"/>
      <c r="AF78" s="92"/>
      <c r="AG78" s="92"/>
      <c r="AH78" s="92"/>
      <c r="AI78" s="92"/>
      <c r="AJ78" s="92"/>
      <c r="AK78" s="92"/>
      <c r="AL78" s="92"/>
      <c r="AM78" s="91"/>
      <c r="AN78" s="91"/>
      <c r="AO78" s="91"/>
      <c r="AP78" s="92"/>
      <c r="AQ78" s="92"/>
      <c r="AR78" s="92"/>
      <c r="AS78" s="92"/>
      <c r="AT78" s="92"/>
      <c r="AU78" s="92"/>
      <c r="AV78" s="91"/>
      <c r="AW78" s="92"/>
      <c r="AX78" s="92"/>
      <c r="AY78" s="91"/>
      <c r="AZ78" s="91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3"/>
      <c r="BO78" s="93"/>
      <c r="BP78" s="93"/>
      <c r="BQ78" s="92"/>
      <c r="BR78" s="92"/>
      <c r="BS78" s="93"/>
      <c r="BT78" s="92"/>
      <c r="BU78" s="92"/>
      <c r="BV78" s="92"/>
      <c r="BW78" s="93"/>
      <c r="BX78" s="92"/>
      <c r="BY78" s="92"/>
      <c r="BZ78" s="92"/>
      <c r="CA78" s="93"/>
      <c r="CB78" s="92"/>
      <c r="CC78" s="92"/>
      <c r="CD78" s="92"/>
      <c r="CE78" s="92"/>
      <c r="CF78" s="93"/>
      <c r="CG78" s="92"/>
      <c r="CH78" s="92"/>
      <c r="CI78" s="92"/>
      <c r="CJ78" s="92"/>
      <c r="CK78" s="93"/>
      <c r="CL78" s="92"/>
      <c r="CM78" s="92"/>
      <c r="CN78" s="92"/>
      <c r="CO78" s="93"/>
      <c r="CP78" s="93"/>
      <c r="CQ78" s="92"/>
      <c r="CR78" s="93"/>
      <c r="CS78" s="93"/>
      <c r="CT78" s="93"/>
      <c r="CU78" s="92"/>
      <c r="CV78" s="93"/>
      <c r="CW78" s="93"/>
      <c r="CX78" s="93"/>
      <c r="CY78" s="92"/>
      <c r="CZ78" s="93"/>
      <c r="DA78" s="93"/>
      <c r="DB78" s="93"/>
      <c r="DC78" s="92"/>
      <c r="DD78" s="93"/>
      <c r="DE78" s="93"/>
      <c r="DF78" s="93"/>
      <c r="DG78" s="93"/>
      <c r="DH78" s="92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2"/>
      <c r="DZ78" s="92"/>
      <c r="EA78" s="92"/>
      <c r="EB78" s="92"/>
      <c r="EC78" s="92"/>
      <c r="ED78" s="97"/>
      <c r="EE78" s="93"/>
      <c r="EF78" s="93"/>
      <c r="EG78" s="93"/>
      <c r="EH78" s="93"/>
      <c r="EI78" s="93"/>
      <c r="EJ78" s="93"/>
      <c r="EK78" s="93"/>
      <c r="EL78" s="93"/>
      <c r="EM78" s="104"/>
      <c r="EN78" s="93"/>
      <c r="EO78" s="93"/>
      <c r="EP78" s="93"/>
      <c r="EQ78" s="93"/>
      <c r="ER78" s="104"/>
      <c r="ES78" s="93"/>
      <c r="ET78" s="93"/>
      <c r="EU78" s="93"/>
      <c r="EV78" s="93"/>
      <c r="EW78" s="78"/>
      <c r="EX78" s="78"/>
      <c r="EY78" s="78"/>
      <c r="EZ78" s="78"/>
      <c r="FA78" s="78"/>
      <c r="FB78" s="78"/>
      <c r="FC78" s="93"/>
      <c r="FD78" s="93"/>
      <c r="FE78" s="93"/>
      <c r="FF78" s="93"/>
      <c r="FG78" s="93"/>
      <c r="FH78" s="93"/>
      <c r="FI78" s="93"/>
      <c r="FJ78" s="93"/>
      <c r="FK78" s="93"/>
      <c r="FL78" s="93"/>
      <c r="FM78" s="93"/>
      <c r="FN78" s="93"/>
    </row>
    <row r="79" spans="1:170" ht="12.75">
      <c r="A79" s="100"/>
      <c r="B79" s="92"/>
      <c r="C79" s="103"/>
      <c r="D79" s="92"/>
      <c r="E79" s="91"/>
      <c r="F79" s="91"/>
      <c r="G79" s="91"/>
      <c r="H79" s="91"/>
      <c r="I79" s="91"/>
      <c r="J79" s="92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2"/>
      <c r="AB79" s="91"/>
      <c r="AC79" s="91"/>
      <c r="AD79" s="92"/>
      <c r="AE79" s="91"/>
      <c r="AF79" s="91"/>
      <c r="AG79" s="91"/>
      <c r="AH79" s="91"/>
      <c r="AI79" s="91"/>
      <c r="AJ79" s="91"/>
      <c r="AK79" s="91"/>
      <c r="AL79" s="91"/>
      <c r="AM79" s="92"/>
      <c r="AN79" s="92"/>
      <c r="AO79" s="92"/>
      <c r="AP79" s="91"/>
      <c r="AQ79" s="91"/>
      <c r="AR79" s="91"/>
      <c r="AS79" s="91"/>
      <c r="AT79" s="91"/>
      <c r="AU79" s="91"/>
      <c r="AV79" s="92"/>
      <c r="AW79" s="91"/>
      <c r="AX79" s="91"/>
      <c r="AY79" s="92"/>
      <c r="AZ79" s="92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2"/>
      <c r="BO79" s="92"/>
      <c r="BP79" s="92"/>
      <c r="BQ79" s="91"/>
      <c r="BR79" s="91"/>
      <c r="BS79" s="92"/>
      <c r="BT79" s="91"/>
      <c r="BU79" s="91"/>
      <c r="BV79" s="91"/>
      <c r="BW79" s="92"/>
      <c r="BX79" s="91"/>
      <c r="BY79" s="91"/>
      <c r="BZ79" s="91"/>
      <c r="CA79" s="92"/>
      <c r="CB79" s="91"/>
      <c r="CC79" s="91"/>
      <c r="CD79" s="91"/>
      <c r="CE79" s="91"/>
      <c r="CF79" s="92"/>
      <c r="CG79" s="91"/>
      <c r="CH79" s="91"/>
      <c r="CI79" s="91"/>
      <c r="CJ79" s="91"/>
      <c r="CK79" s="92"/>
      <c r="CL79" s="91"/>
      <c r="CM79" s="91"/>
      <c r="CN79" s="91"/>
      <c r="CO79" s="92"/>
      <c r="CP79" s="92"/>
      <c r="CQ79" s="91"/>
      <c r="CR79" s="92"/>
      <c r="CS79" s="92"/>
      <c r="CT79" s="92"/>
      <c r="CU79" s="91"/>
      <c r="CV79" s="92"/>
      <c r="CW79" s="92"/>
      <c r="CX79" s="92"/>
      <c r="CY79" s="91"/>
      <c r="CZ79" s="92"/>
      <c r="DA79" s="92"/>
      <c r="DB79" s="92"/>
      <c r="DC79" s="91"/>
      <c r="DD79" s="92"/>
      <c r="DE79" s="92"/>
      <c r="DF79" s="92"/>
      <c r="DG79" s="92"/>
      <c r="DH79" s="91"/>
      <c r="DI79" s="92"/>
      <c r="DJ79" s="92"/>
      <c r="DK79" s="92"/>
      <c r="DL79" s="92"/>
      <c r="DM79" s="92"/>
      <c r="DN79" s="92"/>
      <c r="DO79" s="92"/>
      <c r="DP79" s="92"/>
      <c r="DQ79" s="92"/>
      <c r="DR79" s="92"/>
      <c r="DS79" s="92"/>
      <c r="DT79" s="92"/>
      <c r="DU79" s="92"/>
      <c r="DV79" s="92"/>
      <c r="DW79" s="92"/>
      <c r="DX79" s="92"/>
      <c r="DY79" s="91"/>
      <c r="DZ79" s="91"/>
      <c r="EA79" s="91"/>
      <c r="EB79" s="91"/>
      <c r="EC79" s="91"/>
      <c r="ED79" s="92"/>
      <c r="EE79" s="92"/>
      <c r="EF79" s="92"/>
      <c r="EG79" s="92"/>
      <c r="EH79" s="92"/>
      <c r="EI79" s="92"/>
      <c r="EJ79" s="92"/>
      <c r="EK79" s="92"/>
      <c r="EL79" s="92"/>
      <c r="EM79" s="92"/>
      <c r="EN79" s="92"/>
      <c r="EO79" s="92"/>
      <c r="EP79" s="92"/>
      <c r="EQ79" s="92"/>
      <c r="ER79" s="92"/>
      <c r="ES79" s="93"/>
      <c r="ET79" s="93"/>
      <c r="EU79" s="93"/>
      <c r="EV79" s="93"/>
      <c r="EW79" s="78"/>
      <c r="EX79" s="78"/>
      <c r="EY79" s="78"/>
      <c r="EZ79" s="78"/>
      <c r="FA79" s="78"/>
      <c r="FB79" s="78"/>
      <c r="FC79" s="93"/>
      <c r="FD79" s="93"/>
      <c r="FE79" s="93"/>
      <c r="FF79" s="93"/>
      <c r="FG79" s="93"/>
      <c r="FH79" s="93"/>
      <c r="FI79" s="93"/>
      <c r="FJ79" s="93"/>
      <c r="FK79" s="93"/>
      <c r="FL79" s="93"/>
      <c r="FM79" s="93"/>
      <c r="FN79" s="93"/>
    </row>
    <row r="80" spans="1:170" ht="12.75">
      <c r="A80" s="100"/>
      <c r="B80" s="99"/>
      <c r="C80" s="102"/>
      <c r="D80" s="91"/>
      <c r="E80" s="92"/>
      <c r="F80" s="92"/>
      <c r="G80" s="92"/>
      <c r="H80" s="92"/>
      <c r="I80" s="92"/>
      <c r="J80" s="95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3"/>
      <c r="AB80" s="92"/>
      <c r="AC80" s="92"/>
      <c r="AD80" s="91"/>
      <c r="AE80" s="92"/>
      <c r="AF80" s="92"/>
      <c r="AG80" s="92"/>
      <c r="AH80" s="92"/>
      <c r="AI80" s="92"/>
      <c r="AJ80" s="92"/>
      <c r="AK80" s="92"/>
      <c r="AL80" s="92"/>
      <c r="AM80" s="91"/>
      <c r="AN80" s="91"/>
      <c r="AO80" s="91"/>
      <c r="AP80" s="92"/>
      <c r="AQ80" s="92"/>
      <c r="AR80" s="92"/>
      <c r="AS80" s="92"/>
      <c r="AT80" s="92"/>
      <c r="AU80" s="92"/>
      <c r="AV80" s="91"/>
      <c r="AW80" s="92"/>
      <c r="AX80" s="92"/>
      <c r="AY80" s="91"/>
      <c r="AZ80" s="91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3"/>
      <c r="BO80" s="93"/>
      <c r="BP80" s="93"/>
      <c r="BQ80" s="92"/>
      <c r="BR80" s="92"/>
      <c r="BS80" s="93"/>
      <c r="BT80" s="92"/>
      <c r="BU80" s="92"/>
      <c r="BV80" s="92"/>
      <c r="BW80" s="93"/>
      <c r="BX80" s="92"/>
      <c r="BY80" s="92"/>
      <c r="BZ80" s="92"/>
      <c r="CA80" s="93"/>
      <c r="CB80" s="92"/>
      <c r="CC80" s="92"/>
      <c r="CD80" s="92"/>
      <c r="CE80" s="92"/>
      <c r="CF80" s="93"/>
      <c r="CG80" s="92"/>
      <c r="CH80" s="92"/>
      <c r="CI80" s="92"/>
      <c r="CJ80" s="92"/>
      <c r="CK80" s="93"/>
      <c r="CL80" s="92"/>
      <c r="CM80" s="92"/>
      <c r="CN80" s="92"/>
      <c r="CO80" s="93"/>
      <c r="CP80" s="93"/>
      <c r="CQ80" s="92"/>
      <c r="CR80" s="93"/>
      <c r="CS80" s="93"/>
      <c r="CT80" s="93"/>
      <c r="CU80" s="92"/>
      <c r="CV80" s="93"/>
      <c r="CW80" s="93"/>
      <c r="CX80" s="93"/>
      <c r="CY80" s="92"/>
      <c r="CZ80" s="93"/>
      <c r="DA80" s="93"/>
      <c r="DB80" s="93"/>
      <c r="DC80" s="92"/>
      <c r="DD80" s="93"/>
      <c r="DE80" s="93"/>
      <c r="DF80" s="93"/>
      <c r="DG80" s="93"/>
      <c r="DH80" s="92"/>
      <c r="DI80" s="93"/>
      <c r="DJ80" s="93"/>
      <c r="DK80" s="93"/>
      <c r="DL80" s="93"/>
      <c r="DM80" s="93"/>
      <c r="DN80" s="93"/>
      <c r="DO80" s="93"/>
      <c r="DP80" s="93"/>
      <c r="DQ80" s="93"/>
      <c r="DR80" s="93"/>
      <c r="DS80" s="93"/>
      <c r="DT80" s="93"/>
      <c r="DU80" s="93"/>
      <c r="DV80" s="93"/>
      <c r="DW80" s="93"/>
      <c r="DX80" s="93"/>
      <c r="DY80" s="92"/>
      <c r="DZ80" s="92"/>
      <c r="EA80" s="92"/>
      <c r="EB80" s="92"/>
      <c r="EC80" s="92"/>
      <c r="ED80" s="97"/>
      <c r="EE80" s="93"/>
      <c r="EF80" s="93"/>
      <c r="EG80" s="93"/>
      <c r="EH80" s="93"/>
      <c r="EI80" s="93"/>
      <c r="EJ80" s="93"/>
      <c r="EK80" s="93"/>
      <c r="EL80" s="93"/>
      <c r="EM80" s="93"/>
      <c r="EN80" s="93"/>
      <c r="EO80" s="93"/>
      <c r="EP80" s="93"/>
      <c r="EQ80" s="93"/>
      <c r="ER80" s="93"/>
      <c r="ES80" s="93"/>
      <c r="ET80" s="93"/>
      <c r="EU80" s="93"/>
      <c r="EV80" s="93"/>
    </row>
    <row r="81" spans="1:152" ht="12.75">
      <c r="A81" s="100"/>
      <c r="B81" s="99"/>
      <c r="C81" s="102"/>
      <c r="D81" s="91"/>
      <c r="E81" s="92"/>
      <c r="F81" s="92"/>
      <c r="G81" s="92"/>
      <c r="H81" s="92"/>
      <c r="I81" s="92"/>
      <c r="J81" s="95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3"/>
      <c r="AB81" s="92"/>
      <c r="AC81" s="92"/>
      <c r="AD81" s="91"/>
      <c r="AE81" s="92"/>
      <c r="AF81" s="92"/>
      <c r="AG81" s="92"/>
      <c r="AH81" s="92"/>
      <c r="AI81" s="92"/>
      <c r="AJ81" s="92"/>
      <c r="AK81" s="92"/>
      <c r="AL81" s="92"/>
      <c r="AM81" s="91"/>
      <c r="AN81" s="91"/>
      <c r="AO81" s="91"/>
      <c r="AP81" s="92"/>
      <c r="AQ81" s="92"/>
      <c r="AR81" s="92"/>
      <c r="AS81" s="92"/>
      <c r="AT81" s="92"/>
      <c r="AU81" s="92"/>
      <c r="AV81" s="91"/>
      <c r="AW81" s="92"/>
      <c r="AX81" s="92"/>
      <c r="AY81" s="91"/>
      <c r="AZ81" s="91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3"/>
      <c r="BO81" s="93"/>
      <c r="BP81" s="93"/>
      <c r="BQ81" s="92"/>
      <c r="BR81" s="92"/>
      <c r="BS81" s="93"/>
      <c r="BT81" s="92"/>
      <c r="BU81" s="92"/>
      <c r="BV81" s="92"/>
      <c r="BW81" s="93"/>
      <c r="BX81" s="92"/>
      <c r="BY81" s="92"/>
      <c r="BZ81" s="92"/>
      <c r="CA81" s="93"/>
      <c r="CB81" s="92"/>
      <c r="CC81" s="92"/>
      <c r="CD81" s="92"/>
      <c r="CE81" s="92"/>
      <c r="CF81" s="93"/>
      <c r="CG81" s="92"/>
      <c r="CH81" s="92"/>
      <c r="CI81" s="92"/>
      <c r="CJ81" s="92"/>
      <c r="CK81" s="93"/>
      <c r="CL81" s="92"/>
      <c r="CM81" s="92"/>
      <c r="CN81" s="92"/>
      <c r="CO81" s="93"/>
      <c r="CP81" s="93"/>
      <c r="CQ81" s="92"/>
      <c r="CR81" s="93"/>
      <c r="CS81" s="93"/>
      <c r="CT81" s="93"/>
      <c r="CU81" s="92"/>
      <c r="CV81" s="93"/>
      <c r="CW81" s="93"/>
      <c r="CX81" s="93"/>
      <c r="CY81" s="92"/>
      <c r="CZ81" s="93"/>
      <c r="DA81" s="93"/>
      <c r="DB81" s="93"/>
      <c r="DC81" s="92"/>
      <c r="DD81" s="93"/>
      <c r="DE81" s="93"/>
      <c r="DF81" s="93"/>
      <c r="DG81" s="93"/>
      <c r="DH81" s="92"/>
      <c r="DI81" s="93"/>
      <c r="DJ81" s="93"/>
      <c r="DK81" s="93"/>
      <c r="DL81" s="93"/>
      <c r="DM81" s="93"/>
      <c r="DN81" s="93"/>
      <c r="DO81" s="93"/>
      <c r="DP81" s="93"/>
      <c r="DQ81" s="93"/>
      <c r="DR81" s="93"/>
      <c r="DS81" s="93"/>
      <c r="DT81" s="93"/>
      <c r="DU81" s="93"/>
      <c r="DV81" s="93"/>
      <c r="DW81" s="93"/>
      <c r="DX81" s="93"/>
      <c r="DY81" s="92"/>
      <c r="DZ81" s="92"/>
      <c r="EA81" s="92"/>
      <c r="EB81" s="92"/>
      <c r="EC81" s="92"/>
      <c r="ED81" s="97"/>
      <c r="EE81" s="93"/>
      <c r="EF81" s="93"/>
      <c r="EG81" s="93"/>
      <c r="EH81" s="93"/>
      <c r="EI81" s="93"/>
      <c r="EJ81" s="93"/>
      <c r="EK81" s="93"/>
      <c r="EL81" s="93"/>
      <c r="EM81" s="93"/>
      <c r="EN81" s="93"/>
      <c r="EO81" s="93"/>
      <c r="EP81" s="93"/>
      <c r="EQ81" s="93"/>
      <c r="ER81" s="93"/>
      <c r="ES81" s="93"/>
      <c r="ET81" s="93"/>
      <c r="EU81" s="93"/>
      <c r="EV81" s="93"/>
    </row>
    <row r="82" spans="1:152" ht="12.75">
      <c r="A82" s="100"/>
      <c r="B82" s="99"/>
      <c r="C82" s="102"/>
      <c r="D82" s="91"/>
      <c r="E82" s="92"/>
      <c r="F82" s="92"/>
      <c r="G82" s="92"/>
      <c r="H82" s="92"/>
      <c r="I82" s="92"/>
      <c r="J82" s="95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3"/>
      <c r="AB82" s="92"/>
      <c r="AC82" s="92"/>
      <c r="AD82" s="91"/>
      <c r="AE82" s="92"/>
      <c r="AF82" s="92"/>
      <c r="AG82" s="92"/>
      <c r="AH82" s="92"/>
      <c r="AI82" s="92"/>
      <c r="AJ82" s="92"/>
      <c r="AK82" s="92"/>
      <c r="AL82" s="92"/>
      <c r="AM82" s="91"/>
      <c r="AN82" s="91"/>
      <c r="AO82" s="91"/>
      <c r="AP82" s="92"/>
      <c r="AQ82" s="92"/>
      <c r="AR82" s="92"/>
      <c r="AS82" s="92"/>
      <c r="AT82" s="92"/>
      <c r="AU82" s="92"/>
      <c r="AV82" s="91"/>
      <c r="AW82" s="92"/>
      <c r="AX82" s="92"/>
      <c r="AY82" s="91"/>
      <c r="AZ82" s="91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3"/>
      <c r="BO82" s="93"/>
      <c r="BP82" s="93"/>
      <c r="BQ82" s="92"/>
      <c r="BR82" s="92"/>
      <c r="BS82" s="93"/>
      <c r="BT82" s="92"/>
      <c r="BU82" s="92"/>
      <c r="BV82" s="92"/>
      <c r="BW82" s="93"/>
      <c r="BX82" s="92"/>
      <c r="BY82" s="92"/>
      <c r="BZ82" s="92"/>
      <c r="CA82" s="93"/>
      <c r="CB82" s="92"/>
      <c r="CC82" s="92"/>
      <c r="CD82" s="92"/>
      <c r="CE82" s="92"/>
      <c r="CF82" s="93"/>
      <c r="CG82" s="92"/>
      <c r="CH82" s="92"/>
      <c r="CI82" s="92"/>
      <c r="CJ82" s="92"/>
      <c r="CK82" s="93"/>
      <c r="CL82" s="92"/>
      <c r="CM82" s="92"/>
      <c r="CN82" s="92"/>
      <c r="CO82" s="93"/>
      <c r="CP82" s="93"/>
      <c r="CQ82" s="92"/>
      <c r="CR82" s="93"/>
      <c r="CS82" s="93"/>
      <c r="CT82" s="93"/>
      <c r="CU82" s="92"/>
      <c r="CV82" s="93"/>
      <c r="CW82" s="93"/>
      <c r="CX82" s="93"/>
      <c r="CY82" s="92"/>
      <c r="CZ82" s="93"/>
      <c r="DA82" s="93"/>
      <c r="DB82" s="93"/>
      <c r="DC82" s="92"/>
      <c r="DD82" s="93"/>
      <c r="DE82" s="93"/>
      <c r="DF82" s="93"/>
      <c r="DG82" s="93"/>
      <c r="DH82" s="92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2"/>
      <c r="DZ82" s="92"/>
      <c r="EA82" s="92"/>
      <c r="EB82" s="92"/>
      <c r="EC82" s="92"/>
      <c r="ED82" s="97"/>
      <c r="EE82" s="93"/>
      <c r="EF82" s="93"/>
      <c r="EG82" s="93"/>
      <c r="EH82" s="93"/>
      <c r="EI82" s="93"/>
      <c r="EJ82" s="93"/>
      <c r="EK82" s="93"/>
      <c r="EL82" s="93"/>
      <c r="EM82" s="93"/>
      <c r="EN82" s="93"/>
      <c r="EO82" s="93"/>
      <c r="EP82" s="93"/>
      <c r="EQ82" s="93"/>
      <c r="ER82" s="93"/>
      <c r="ES82" s="91"/>
      <c r="ET82" s="91"/>
      <c r="EU82" s="91"/>
      <c r="EV82" s="91"/>
    </row>
    <row r="83" spans="1:152" ht="12.75">
      <c r="A83" s="100"/>
      <c r="B83" s="92"/>
      <c r="C83" s="102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</row>
    <row r="84" spans="1:152" ht="12.75">
      <c r="A84" s="101"/>
      <c r="B84" s="91"/>
      <c r="C84" s="103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4"/>
      <c r="Q84" s="94"/>
      <c r="R84" s="94"/>
      <c r="S84" s="94"/>
      <c r="T84" s="94"/>
      <c r="U84" s="94"/>
      <c r="V84" s="94"/>
    </row>
  </sheetData>
  <mergeCells count="5">
    <mergeCell ref="C74:EV75"/>
    <mergeCell ref="B6:B8"/>
    <mergeCell ref="J5:L5"/>
    <mergeCell ref="A1:FJ1"/>
    <mergeCell ref="A2:FJ2"/>
  </mergeCells>
  <phoneticPr fontId="5" type="noConversion"/>
  <pageMargins left="0.7" right="0.7" top="0.2" bottom="0.5" header="0.18" footer="0.22"/>
  <pageSetup scale="68" orientation="landscape" r:id="rId1"/>
  <headerFooter alignWithMargins="0">
    <oddFooter>&amp;R&amp;F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workbookViewId="0"/>
  </sheetViews>
  <sheetFormatPr defaultColWidth="8.85546875" defaultRowHeight="12.75"/>
  <cols>
    <col min="1" max="3" width="18.42578125" bestFit="1" customWidth="1"/>
  </cols>
  <sheetData>
    <row r="1" spans="1:4">
      <c r="A1" s="1"/>
      <c r="B1" s="1"/>
      <c r="C1" s="1"/>
      <c r="D1" s="1"/>
    </row>
    <row r="2" spans="1:4">
      <c r="A2" s="67" t="s">
        <v>284</v>
      </c>
      <c r="B2" s="67" t="s">
        <v>291</v>
      </c>
      <c r="C2" s="67" t="s">
        <v>290</v>
      </c>
      <c r="D2" s="1"/>
    </row>
    <row r="3" spans="1:4">
      <c r="A3" s="30">
        <v>60000</v>
      </c>
      <c r="B3" s="30">
        <v>250000</v>
      </c>
      <c r="C3" s="30">
        <v>100000</v>
      </c>
      <c r="D3" s="1"/>
    </row>
    <row r="4" spans="1:4">
      <c r="A4" s="30">
        <v>90000</v>
      </c>
      <c r="B4" s="30">
        <v>50000</v>
      </c>
      <c r="C4" s="30">
        <v>15000</v>
      </c>
      <c r="D4" s="1"/>
    </row>
    <row r="5" spans="1:4">
      <c r="A5" s="30">
        <v>100000</v>
      </c>
      <c r="B5" s="30">
        <v>50000</v>
      </c>
      <c r="C5" s="30">
        <v>10000</v>
      </c>
      <c r="D5" s="1"/>
    </row>
    <row r="6" spans="1:4">
      <c r="A6" s="44">
        <v>88000</v>
      </c>
      <c r="B6" s="44">
        <v>25000</v>
      </c>
      <c r="C6" s="44">
        <v>60000</v>
      </c>
      <c r="D6" s="1"/>
    </row>
    <row r="7" spans="1:4">
      <c r="A7" s="44">
        <v>30000</v>
      </c>
      <c r="B7" s="30"/>
      <c r="C7" s="44">
        <v>25000</v>
      </c>
      <c r="D7" s="1"/>
    </row>
    <row r="8" spans="1:4">
      <c r="A8" s="44">
        <v>20000</v>
      </c>
      <c r="B8" s="30"/>
      <c r="C8" s="44">
        <v>100000</v>
      </c>
      <c r="D8" s="1"/>
    </row>
    <row r="9" spans="1:4">
      <c r="A9" s="44">
        <v>25000</v>
      </c>
      <c r="B9" s="30"/>
      <c r="C9" s="30"/>
      <c r="D9" s="1"/>
    </row>
    <row r="10" spans="1:4">
      <c r="A10" s="44">
        <v>12000</v>
      </c>
      <c r="B10" s="30"/>
      <c r="C10" s="30"/>
      <c r="D10" s="1"/>
    </row>
    <row r="11" spans="1:4">
      <c r="A11" s="44">
        <v>60000</v>
      </c>
      <c r="B11" s="30"/>
      <c r="C11" s="30"/>
      <c r="D11" s="1"/>
    </row>
    <row r="12" spans="1:4">
      <c r="A12" s="44">
        <v>100000</v>
      </c>
      <c r="B12" s="30"/>
      <c r="C12" s="30"/>
      <c r="D12" s="1"/>
    </row>
    <row r="13" spans="1:4">
      <c r="A13" s="44">
        <v>100000</v>
      </c>
      <c r="B13" s="30"/>
      <c r="C13" s="30"/>
      <c r="D13" s="1"/>
    </row>
    <row r="14" spans="1:4">
      <c r="A14" s="44">
        <v>300000</v>
      </c>
      <c r="B14" s="30"/>
      <c r="C14" s="30"/>
      <c r="D14" s="1"/>
    </row>
    <row r="15" spans="1:4">
      <c r="A15" s="44">
        <v>220000</v>
      </c>
      <c r="B15" s="30"/>
      <c r="C15" s="30"/>
      <c r="D15" s="1"/>
    </row>
    <row r="16" spans="1:4">
      <c r="A16" s="30">
        <f>SUM(A3:A15)</f>
        <v>1205000</v>
      </c>
      <c r="B16" s="30">
        <f>SUM(B3:B15)</f>
        <v>375000</v>
      </c>
      <c r="C16" s="30">
        <f>SUM(C3:C15)</f>
        <v>310000</v>
      </c>
      <c r="D16" s="1"/>
    </row>
    <row r="20" spans="1:1">
      <c r="A20" s="87">
        <f>A16-1193000</f>
        <v>12000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DESE-231-24396</_dlc_DocId>
    <_dlc_DocIdUrl xmlns="733efe1c-5bbe-4968-87dc-d400e65c879f">
      <Url>https://sharepoint.doemass.org/ese/webteam/cps/_layouts/DocIdRedir.aspx?ID=DESE-231-24396</Url>
      <Description>DESE-231-24396</Description>
    </_dlc_DocIdUrl>
  </documentManagement>
</p:properties>
</file>

<file path=customXml/itemProps1.xml><?xml version="1.0" encoding="utf-8"?>
<ds:datastoreItem xmlns:ds="http://schemas.openxmlformats.org/officeDocument/2006/customXml" ds:itemID="{05192948-AB5A-4F66-8F3E-3DAB01F7982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0D5442A-EB28-43C6-B8FB-9E53E73E8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7E3E02-E7B8-4FE1-9F9E-67F583B58C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19260D-B0E8-4F02-8A4E-16FE34A5EDE2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BOE's FY17 Maintenance Budgets and Expansion Budget Recommendations, April 2016</dc:title>
  <dc:creator>APD</dc:creator>
  <cp:lastModifiedBy>dzou</cp:lastModifiedBy>
  <cp:lastPrinted>2016-04-19T20:30:00Z</cp:lastPrinted>
  <dcterms:created xsi:type="dcterms:W3CDTF">2003-04-23T14:43:01Z</dcterms:created>
  <dcterms:modified xsi:type="dcterms:W3CDTF">2016-04-19T20:48:24Z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3b96c543-d726-4c63-838d-16de724212ec</vt:lpwstr>
  </property>
</Properties>
</file>