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mc:AlternateContent xmlns:mc="http://schemas.openxmlformats.org/markup-compatibility/2006">
    <mc:Choice Requires="x15">
      <x15ac:absPath xmlns:x15ac="http://schemas.microsoft.com/office/spreadsheetml/2010/11/ac" url="W:\bese\docs\fy2019\2019-04\"/>
    </mc:Choice>
  </mc:AlternateContent>
  <xr:revisionPtr revIDLastSave="0" documentId="13_ncr:1_{86421DBB-A427-469E-8308-5428B0948832}" xr6:coauthVersionLast="36" xr6:coauthVersionMax="36" xr10:uidLastSave="{00000000-0000-0000-0000-000000000000}"/>
  <bookViews>
    <workbookView xWindow="8295" yWindow="0" windowWidth="6105" windowHeight="11640" tabRatio="702" xr2:uid="{00000000-000D-0000-FFFF-FFFF00000000}"/>
  </bookViews>
  <sheets>
    <sheet name="Summary" sheetId="5" r:id="rId1"/>
    <sheet name="HWM earmarks" sheetId="12" r:id="rId2"/>
    <sheet name="FY19 GAA Earmarks" sheetId="11" state="hidden" r:id="rId3"/>
    <sheet name="Senate Earmarks" sheetId="10" state="hidden" r:id="rId4"/>
    <sheet name="House Earmarks" sheetId="9" state="hidden" r:id="rId5"/>
    <sheet name="FY18 earmarks" sheetId="8" state="hidden" r:id="rId6"/>
  </sheets>
  <definedNames>
    <definedName name="_xlnm._FilterDatabase" localSheetId="2" hidden="1">'FY19 GAA Earmarks'!$A$5:$R$5</definedName>
    <definedName name="_xlnm._FilterDatabase" localSheetId="0" hidden="1">Summary!$A$7:$FG$69</definedName>
    <definedName name="OLE_LINK7" localSheetId="3">'Senate Earmarks'!$C$37</definedName>
    <definedName name="_xlnm.Print_Area" localSheetId="0">Summary!$A$1:$FD$75</definedName>
    <definedName name="_xlnm.Print_Titles" localSheetId="2">'FY19 GAA Earmarks'!$5:$5</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C9" i="5" l="1"/>
  <c r="FC10" i="5"/>
  <c r="FC11" i="5"/>
  <c r="FC12" i="5"/>
  <c r="FC13" i="5"/>
  <c r="FC14" i="5"/>
  <c r="FC15" i="5"/>
  <c r="FC16" i="5"/>
  <c r="FC17" i="5"/>
  <c r="FC18" i="5"/>
  <c r="FC19" i="5"/>
  <c r="FC20" i="5"/>
  <c r="FC21" i="5"/>
  <c r="FC22" i="5"/>
  <c r="FC23" i="5"/>
  <c r="FC24" i="5"/>
  <c r="FC25" i="5"/>
  <c r="FC26" i="5"/>
  <c r="FC27" i="5"/>
  <c r="FC28" i="5"/>
  <c r="FC29" i="5"/>
  <c r="FC30" i="5"/>
  <c r="FC31" i="5"/>
  <c r="FC32" i="5"/>
  <c r="FC33" i="5"/>
  <c r="FC34" i="5"/>
  <c r="FC35" i="5"/>
  <c r="FC36" i="5"/>
  <c r="FC37" i="5"/>
  <c r="FC38" i="5"/>
  <c r="FC39" i="5"/>
  <c r="FC40" i="5"/>
  <c r="FC41" i="5"/>
  <c r="FC42" i="5"/>
  <c r="FC43" i="5"/>
  <c r="FC44" i="5"/>
  <c r="FC45" i="5"/>
  <c r="FC46" i="5"/>
  <c r="FC47" i="5"/>
  <c r="FC48" i="5"/>
  <c r="FC49" i="5"/>
  <c r="FC50" i="5"/>
  <c r="FC51" i="5"/>
  <c r="FC52" i="5"/>
  <c r="FC53" i="5"/>
  <c r="FC54" i="5"/>
  <c r="FC55" i="5"/>
  <c r="FC56" i="5"/>
  <c r="FC57" i="5"/>
  <c r="FC58" i="5"/>
  <c r="FC59" i="5"/>
  <c r="FC60" i="5"/>
  <c r="FC61" i="5"/>
  <c r="FC62" i="5"/>
  <c r="FC63" i="5"/>
  <c r="FC64" i="5"/>
  <c r="FC65" i="5"/>
  <c r="FC66" i="5"/>
  <c r="FC67" i="5"/>
  <c r="FC68" i="5"/>
  <c r="FA69" i="5" l="1"/>
  <c r="FB17" i="5" l="1"/>
  <c r="FB63" i="5"/>
  <c r="FB62" i="5"/>
  <c r="FB35" i="5"/>
  <c r="FC8" i="5" l="1"/>
  <c r="FB8" i="5"/>
  <c r="FB73" i="5"/>
  <c r="FB72" i="5"/>
  <c r="FA74" i="5"/>
  <c r="FC73" i="5"/>
  <c r="FC72" i="5"/>
  <c r="FB74" i="5" l="1"/>
  <c r="FC74" i="5"/>
  <c r="FC69" i="5"/>
  <c r="EY72" i="5"/>
  <c r="EY73" i="5"/>
  <c r="DM74" i="5"/>
  <c r="DN74" i="5"/>
  <c r="DO74" i="5"/>
  <c r="DP74" i="5"/>
  <c r="DQ74" i="5"/>
  <c r="DR74" i="5"/>
  <c r="DS74" i="5"/>
  <c r="DT74" i="5"/>
  <c r="DU74" i="5"/>
  <c r="DV74" i="5"/>
  <c r="DW74" i="5"/>
  <c r="DX74" i="5"/>
  <c r="DY74" i="5"/>
  <c r="DZ74" i="5"/>
  <c r="EA74" i="5"/>
  <c r="EB74" i="5"/>
  <c r="EC74" i="5"/>
  <c r="ED74" i="5"/>
  <c r="EE74" i="5"/>
  <c r="EF74" i="5"/>
  <c r="EG74" i="5"/>
  <c r="EH74" i="5"/>
  <c r="EI74" i="5"/>
  <c r="EJ74" i="5"/>
  <c r="EK74" i="5"/>
  <c r="EL74" i="5"/>
  <c r="EM74" i="5"/>
  <c r="EN74" i="5"/>
  <c r="EO74" i="5"/>
  <c r="EP74" i="5"/>
  <c r="EQ74" i="5"/>
  <c r="ER74" i="5"/>
  <c r="ES74" i="5"/>
  <c r="ET74" i="5"/>
  <c r="EU74" i="5"/>
  <c r="EV74" i="5"/>
  <c r="EX74" i="5"/>
  <c r="DL74" i="5"/>
  <c r="EY8" i="5"/>
  <c r="EX69" i="5"/>
  <c r="EY74" i="5" l="1"/>
  <c r="ES46" i="5"/>
  <c r="DL46" i="5"/>
  <c r="EY46" i="5" l="1"/>
  <c r="FB46" i="5"/>
  <c r="DN69" i="5"/>
  <c r="DP69" i="5"/>
  <c r="DQ69" i="5"/>
  <c r="DX69" i="5"/>
  <c r="DY69" i="5"/>
  <c r="DZ69" i="5"/>
  <c r="EF69" i="5"/>
  <c r="EO69" i="5"/>
  <c r="EP69" i="5"/>
  <c r="EV69" i="5"/>
  <c r="DK69" i="5" l="1"/>
  <c r="DK74" i="5" s="1"/>
  <c r="DI69" i="5"/>
  <c r="DI74" i="5" s="1"/>
  <c r="ER48" i="5" l="1"/>
  <c r="ER69" i="5" s="1"/>
  <c r="ES10" i="5" l="1"/>
  <c r="FB10" i="5" s="1"/>
  <c r="ES11" i="5"/>
  <c r="FB11" i="5" s="1"/>
  <c r="ES12" i="5"/>
  <c r="FB12" i="5" s="1"/>
  <c r="ES13" i="5"/>
  <c r="FB13" i="5" s="1"/>
  <c r="ES14" i="5"/>
  <c r="FB14" i="5" s="1"/>
  <c r="ES15" i="5"/>
  <c r="FB15" i="5" s="1"/>
  <c r="ES16" i="5"/>
  <c r="FB16" i="5" s="1"/>
  <c r="ES18" i="5"/>
  <c r="ES19" i="5"/>
  <c r="FB19" i="5" s="1"/>
  <c r="ES20" i="5"/>
  <c r="FB20" i="5" s="1"/>
  <c r="ES21" i="5"/>
  <c r="FB21" i="5" s="1"/>
  <c r="ES22" i="5"/>
  <c r="ES23" i="5"/>
  <c r="FB23" i="5" s="1"/>
  <c r="ES24" i="5"/>
  <c r="FB24" i="5" s="1"/>
  <c r="ES25" i="5"/>
  <c r="FB25" i="5" s="1"/>
  <c r="ES26" i="5"/>
  <c r="ES27" i="5"/>
  <c r="FB27" i="5" s="1"/>
  <c r="ES28" i="5"/>
  <c r="FB28" i="5" s="1"/>
  <c r="ES29" i="5"/>
  <c r="FB29" i="5" s="1"/>
  <c r="ES30" i="5"/>
  <c r="ES31" i="5"/>
  <c r="FB31" i="5" s="1"/>
  <c r="ES32" i="5"/>
  <c r="FB32" i="5" s="1"/>
  <c r="ES33" i="5"/>
  <c r="FB33" i="5" s="1"/>
  <c r="ES34" i="5"/>
  <c r="ES36" i="5"/>
  <c r="FB36" i="5" s="1"/>
  <c r="ES37" i="5"/>
  <c r="FB37" i="5" s="1"/>
  <c r="ES38" i="5"/>
  <c r="FB38" i="5" s="1"/>
  <c r="ES39" i="5"/>
  <c r="ES40" i="5"/>
  <c r="FB40" i="5" s="1"/>
  <c r="ES41" i="5"/>
  <c r="FB41" i="5" s="1"/>
  <c r="ES42" i="5"/>
  <c r="FB42" i="5" s="1"/>
  <c r="ES43" i="5"/>
  <c r="ES44" i="5"/>
  <c r="FB44" i="5" s="1"/>
  <c r="ES47" i="5"/>
  <c r="ES48" i="5"/>
  <c r="FB48" i="5" s="1"/>
  <c r="ES49" i="5"/>
  <c r="FB49" i="5" s="1"/>
  <c r="ES50" i="5"/>
  <c r="ES51" i="5"/>
  <c r="FB51" i="5" s="1"/>
  <c r="ES52" i="5"/>
  <c r="FB52" i="5" s="1"/>
  <c r="ES53" i="5"/>
  <c r="FB53" i="5" s="1"/>
  <c r="ES54" i="5"/>
  <c r="ES55" i="5"/>
  <c r="FB55" i="5" s="1"/>
  <c r="ES56" i="5"/>
  <c r="ES57" i="5"/>
  <c r="FB57" i="5" s="1"/>
  <c r="ES58" i="5"/>
  <c r="FB58" i="5" s="1"/>
  <c r="ES59" i="5"/>
  <c r="FB59" i="5" s="1"/>
  <c r="ES60" i="5"/>
  <c r="ES61" i="5"/>
  <c r="FB61" i="5" s="1"/>
  <c r="ES64" i="5"/>
  <c r="FB64" i="5" s="1"/>
  <c r="ES65" i="5"/>
  <c r="FB65" i="5" s="1"/>
  <c r="ES66" i="5"/>
  <c r="ES67" i="5"/>
  <c r="FB67" i="5" s="1"/>
  <c r="ES68" i="5"/>
  <c r="FB68" i="5" s="1"/>
  <c r="ES9" i="5"/>
  <c r="EY43" i="5" l="1"/>
  <c r="FB43" i="5"/>
  <c r="FB9" i="5"/>
  <c r="EY18" i="5"/>
  <c r="FB18" i="5"/>
  <c r="EY50" i="5"/>
  <c r="FB50" i="5"/>
  <c r="EY26" i="5"/>
  <c r="FB26" i="5"/>
  <c r="EY60" i="5"/>
  <c r="FB60" i="5"/>
  <c r="EY30" i="5"/>
  <c r="FB30" i="5"/>
  <c r="EY54" i="5"/>
  <c r="FB54" i="5"/>
  <c r="EY34" i="5"/>
  <c r="FB34" i="5"/>
  <c r="EY39" i="5"/>
  <c r="FB39" i="5"/>
  <c r="EY22" i="5"/>
  <c r="FB22" i="5"/>
  <c r="EY13" i="5"/>
  <c r="EY66" i="5"/>
  <c r="FB66" i="5"/>
  <c r="EY56" i="5"/>
  <c r="FB56" i="5"/>
  <c r="EY47" i="5"/>
  <c r="FB47" i="5"/>
  <c r="ET39" i="5"/>
  <c r="ET34" i="5"/>
  <c r="ET60" i="5"/>
  <c r="ET26" i="5"/>
  <c r="ET56" i="5"/>
  <c r="ET22" i="5"/>
  <c r="ET64" i="5"/>
  <c r="EY64" i="5"/>
  <c r="ET58" i="5"/>
  <c r="EY58" i="5"/>
  <c r="ET38" i="5"/>
  <c r="EY38" i="5"/>
  <c r="ET29" i="5"/>
  <c r="EY29" i="5"/>
  <c r="ET21" i="5"/>
  <c r="EY21" i="5"/>
  <c r="ET12" i="5"/>
  <c r="EY12" i="5"/>
  <c r="ET57" i="5"/>
  <c r="EY57" i="5"/>
  <c r="ET49" i="5"/>
  <c r="EY49" i="5"/>
  <c r="ET41" i="5"/>
  <c r="EY41" i="5"/>
  <c r="ET32" i="5"/>
  <c r="EY32" i="5"/>
  <c r="ET24" i="5"/>
  <c r="EY24" i="5"/>
  <c r="ET48" i="5"/>
  <c r="EY48" i="5"/>
  <c r="ET31" i="5"/>
  <c r="EY31" i="5"/>
  <c r="ET19" i="5"/>
  <c r="EY19" i="5"/>
  <c r="ET14" i="5"/>
  <c r="EY14" i="5"/>
  <c r="ET10" i="5"/>
  <c r="EY10" i="5"/>
  <c r="ET47" i="5"/>
  <c r="EU32" i="5"/>
  <c r="ET18" i="5"/>
  <c r="EU68" i="5"/>
  <c r="EY68" i="5"/>
  <c r="ET46" i="5"/>
  <c r="ET42" i="5"/>
  <c r="EY42" i="5"/>
  <c r="ET33" i="5"/>
  <c r="EY33" i="5"/>
  <c r="ET25" i="5"/>
  <c r="EY25" i="5"/>
  <c r="ET16" i="5"/>
  <c r="EY16" i="5"/>
  <c r="ET67" i="5"/>
  <c r="EY67" i="5"/>
  <c r="ET61" i="5"/>
  <c r="EY61" i="5"/>
  <c r="ET53" i="5"/>
  <c r="EY53" i="5"/>
  <c r="ET37" i="5"/>
  <c r="EY37" i="5"/>
  <c r="ET28" i="5"/>
  <c r="EY28" i="5"/>
  <c r="ET20" i="5"/>
  <c r="EY20" i="5"/>
  <c r="ET15" i="5"/>
  <c r="EY15" i="5"/>
  <c r="ET11" i="5"/>
  <c r="EY11" i="5"/>
  <c r="ET52" i="5"/>
  <c r="EY52" i="5"/>
  <c r="ET44" i="5"/>
  <c r="EY44" i="5"/>
  <c r="ET40" i="5"/>
  <c r="EY40" i="5"/>
  <c r="ET36" i="5"/>
  <c r="EY36" i="5"/>
  <c r="ET27" i="5"/>
  <c r="EY27" i="5"/>
  <c r="ET23" i="5"/>
  <c r="EY23" i="5"/>
  <c r="EY9" i="5"/>
  <c r="ET65" i="5"/>
  <c r="EY65" i="5"/>
  <c r="ET59" i="5"/>
  <c r="EY59" i="5"/>
  <c r="ET55" i="5"/>
  <c r="EY55" i="5"/>
  <c r="ET51" i="5"/>
  <c r="EY51" i="5"/>
  <c r="ET66" i="5"/>
  <c r="ET43" i="5"/>
  <c r="ET30" i="5"/>
  <c r="ET13" i="5"/>
  <c r="ET68" i="5"/>
  <c r="ET54" i="5"/>
  <c r="ET50" i="5"/>
  <c r="EU67" i="5"/>
  <c r="EU53" i="5"/>
  <c r="EU33" i="5"/>
  <c r="EU16" i="5"/>
  <c r="ET9" i="5"/>
  <c r="B88" i="11"/>
  <c r="J12" i="11"/>
  <c r="EQ45" i="5" l="1"/>
  <c r="ES45" i="5" l="1"/>
  <c r="EQ69" i="5"/>
  <c r="FB45" i="5" l="1"/>
  <c r="FB69" i="5" s="1"/>
  <c r="ES69" i="5"/>
  <c r="EY45" i="5"/>
  <c r="EY69" i="5" s="1"/>
  <c r="ET45" i="5"/>
  <c r="ET69" i="5" s="1"/>
  <c r="EH34" i="5"/>
  <c r="B72" i="10" l="1"/>
  <c r="B66" i="10"/>
  <c r="EG54" i="5"/>
  <c r="B49" i="10"/>
  <c r="B42" i="10"/>
  <c r="B38" i="10"/>
  <c r="B32" i="10"/>
  <c r="B26" i="10" l="1"/>
  <c r="EG9" i="5"/>
  <c r="B72" i="9" l="1"/>
  <c r="EM68" i="5" l="1"/>
  <c r="EM67" i="5"/>
  <c r="EL68" i="5"/>
  <c r="EL67" i="5"/>
  <c r="EK68" i="5"/>
  <c r="EK67" i="5"/>
  <c r="EG18" i="5"/>
  <c r="EN68" i="5"/>
  <c r="EN67" i="5"/>
  <c r="CA69" i="5"/>
  <c r="CA74" i="5" s="1"/>
  <c r="CC69" i="5"/>
  <c r="CC74" i="5" s="1"/>
  <c r="CD69" i="5"/>
  <c r="CD74" i="5" s="1"/>
  <c r="CG69" i="5"/>
  <c r="CG74" i="5" s="1"/>
  <c r="CL69" i="5"/>
  <c r="CL74" i="5" s="1"/>
  <c r="CM69" i="5"/>
  <c r="CM74" i="5" s="1"/>
  <c r="CQ69" i="5"/>
  <c r="CQ74" i="5" s="1"/>
  <c r="CW69" i="5"/>
  <c r="CW74" i="5" s="1"/>
  <c r="CX69" i="5"/>
  <c r="CX74" i="5" s="1"/>
  <c r="DC69" i="5"/>
  <c r="DC74" i="5" s="1"/>
  <c r="DD69" i="5"/>
  <c r="DD74" i="5" s="1"/>
  <c r="DH69" i="5"/>
  <c r="DH74" i="5" s="1"/>
  <c r="DJ69" i="5"/>
  <c r="DJ74" i="5" s="1"/>
  <c r="EG10" i="5"/>
  <c r="EG23" i="5"/>
  <c r="EG29" i="5"/>
  <c r="EG24" i="5"/>
  <c r="EG48" i="5"/>
  <c r="EG60" i="5" l="1"/>
  <c r="EG69" i="5" s="1"/>
  <c r="EH10" i="5" l="1"/>
  <c r="EH11" i="5"/>
  <c r="EH12" i="5"/>
  <c r="EH13" i="5"/>
  <c r="EH14" i="5"/>
  <c r="EH15" i="5"/>
  <c r="EH16" i="5"/>
  <c r="EH18" i="5"/>
  <c r="EH19" i="5"/>
  <c r="EH20" i="5"/>
  <c r="EH21" i="5"/>
  <c r="EH22" i="5"/>
  <c r="EH23" i="5"/>
  <c r="EH24" i="5"/>
  <c r="EH25" i="5"/>
  <c r="EH26" i="5"/>
  <c r="EH27" i="5"/>
  <c r="EH28" i="5"/>
  <c r="EH29" i="5"/>
  <c r="EH30" i="5"/>
  <c r="EH33" i="5"/>
  <c r="EH36" i="5"/>
  <c r="EH37" i="5"/>
  <c r="EH38" i="5"/>
  <c r="EH39" i="5"/>
  <c r="EH40" i="5"/>
  <c r="EH41" i="5"/>
  <c r="EH42" i="5"/>
  <c r="EH43" i="5"/>
  <c r="EH44" i="5"/>
  <c r="EH45" i="5"/>
  <c r="EH46" i="5"/>
  <c r="EH47" i="5"/>
  <c r="EH48" i="5"/>
  <c r="EH49" i="5"/>
  <c r="EH50" i="5"/>
  <c r="EH51" i="5"/>
  <c r="EH52" i="5"/>
  <c r="EH53" i="5"/>
  <c r="EH54" i="5"/>
  <c r="EH55" i="5"/>
  <c r="EH56" i="5"/>
  <c r="EH57" i="5"/>
  <c r="EH58" i="5"/>
  <c r="EH59" i="5"/>
  <c r="EH60" i="5"/>
  <c r="EH61" i="5"/>
  <c r="EH64" i="5"/>
  <c r="EH65" i="5"/>
  <c r="EH66" i="5"/>
  <c r="EH9" i="5"/>
  <c r="DL41" i="5"/>
  <c r="EU41" i="5" s="1"/>
  <c r="DL34" i="5"/>
  <c r="EU34" i="5" s="1"/>
  <c r="EH69" i="5" l="1"/>
  <c r="EL26" i="5"/>
  <c r="EL30" i="5"/>
  <c r="EL46" i="5"/>
  <c r="EN50" i="5"/>
  <c r="EL38" i="5"/>
  <c r="EN38" i="5"/>
  <c r="EL24" i="5"/>
  <c r="EN24" i="5"/>
  <c r="EM15" i="5"/>
  <c r="EN15" i="5"/>
  <c r="EL11" i="5"/>
  <c r="EN11" i="5"/>
  <c r="EK53" i="5"/>
  <c r="EN53" i="5"/>
  <c r="EK41" i="5"/>
  <c r="EN41" i="5"/>
  <c r="EL37" i="5"/>
  <c r="EN37" i="5"/>
  <c r="EL27" i="5"/>
  <c r="EN27" i="5"/>
  <c r="EN23" i="5"/>
  <c r="EL19" i="5"/>
  <c r="EN19" i="5"/>
  <c r="EL14" i="5"/>
  <c r="EN14" i="5"/>
  <c r="EL10" i="5"/>
  <c r="EN10" i="5"/>
  <c r="EL64" i="5"/>
  <c r="EN64" i="5"/>
  <c r="EN46" i="5"/>
  <c r="EK33" i="5"/>
  <c r="EN33" i="5"/>
  <c r="EL20" i="5"/>
  <c r="EN20" i="5"/>
  <c r="EL50" i="5"/>
  <c r="EL57" i="5"/>
  <c r="EN57" i="5"/>
  <c r="EL45" i="5"/>
  <c r="EN45" i="5"/>
  <c r="EL31" i="5"/>
  <c r="EN31" i="5"/>
  <c r="EN66" i="5"/>
  <c r="EN60" i="5"/>
  <c r="EL56" i="5"/>
  <c r="EN56" i="5"/>
  <c r="EL52" i="5"/>
  <c r="EN52" i="5"/>
  <c r="EN48" i="5"/>
  <c r="EN44" i="5"/>
  <c r="EN40" i="5"/>
  <c r="EN36" i="5"/>
  <c r="EN30" i="5"/>
  <c r="EN26" i="5"/>
  <c r="EL22" i="5"/>
  <c r="EN22" i="5"/>
  <c r="EN13" i="5"/>
  <c r="EL66" i="5"/>
  <c r="EL40" i="5"/>
  <c r="EL15" i="5"/>
  <c r="EL58" i="5"/>
  <c r="EN58" i="5"/>
  <c r="EL42" i="5"/>
  <c r="EN42" i="5"/>
  <c r="EL28" i="5"/>
  <c r="EN28" i="5"/>
  <c r="EL61" i="5"/>
  <c r="EN61" i="5"/>
  <c r="EL49" i="5"/>
  <c r="EN49" i="5"/>
  <c r="EL65" i="5"/>
  <c r="EN65" i="5"/>
  <c r="EL59" i="5"/>
  <c r="EN59" i="5"/>
  <c r="EN55" i="5"/>
  <c r="EL51" i="5"/>
  <c r="EN51" i="5"/>
  <c r="EL47" i="5"/>
  <c r="EN47" i="5"/>
  <c r="EL43" i="5"/>
  <c r="EN43" i="5"/>
  <c r="EL39" i="5"/>
  <c r="EN39" i="5"/>
  <c r="EN34" i="5"/>
  <c r="EK34" i="5"/>
  <c r="EL29" i="5"/>
  <c r="EN29" i="5"/>
  <c r="EL25" i="5"/>
  <c r="EN25" i="5"/>
  <c r="EL21" i="5"/>
  <c r="EN21" i="5"/>
  <c r="EK16" i="5"/>
  <c r="EN16" i="5"/>
  <c r="EL12" i="5"/>
  <c r="EN12" i="5"/>
  <c r="EL53" i="5"/>
  <c r="EL36" i="5"/>
  <c r="EL13" i="5"/>
  <c r="EN54" i="5"/>
  <c r="EL18" i="5"/>
  <c r="EN18" i="5"/>
  <c r="EN9" i="5"/>
  <c r="EL48" i="5"/>
  <c r="EL9" i="5"/>
  <c r="EL33" i="5"/>
  <c r="EL16" i="5"/>
  <c r="EM14" i="5"/>
  <c r="EL44" i="5"/>
  <c r="EL41" i="5"/>
  <c r="EL23" i="5"/>
  <c r="EL54" i="5"/>
  <c r="EL55" i="5"/>
  <c r="EL34" i="5"/>
  <c r="EL60" i="5"/>
  <c r="ED10" i="5"/>
  <c r="ED11" i="5"/>
  <c r="ED12" i="5"/>
  <c r="ED13" i="5"/>
  <c r="ED14" i="5"/>
  <c r="EE14" i="5"/>
  <c r="ED15" i="5"/>
  <c r="EE15" i="5"/>
  <c r="EC16" i="5"/>
  <c r="ED16" i="5"/>
  <c r="ED18" i="5"/>
  <c r="ED19" i="5"/>
  <c r="ED20" i="5"/>
  <c r="ED21" i="5"/>
  <c r="ED22" i="5"/>
  <c r="ED23" i="5"/>
  <c r="ED24" i="5"/>
  <c r="ED25" i="5"/>
  <c r="ED26" i="5"/>
  <c r="ED27" i="5"/>
  <c r="ED28" i="5"/>
  <c r="ED29" i="5"/>
  <c r="ED30" i="5"/>
  <c r="ED31" i="5"/>
  <c r="EC33" i="5"/>
  <c r="ED33" i="5"/>
  <c r="EC34" i="5"/>
  <c r="ED34" i="5"/>
  <c r="ED36" i="5"/>
  <c r="ED37" i="5"/>
  <c r="ED38" i="5"/>
  <c r="ED39" i="5"/>
  <c r="ED40" i="5"/>
  <c r="EC41" i="5"/>
  <c r="ED41" i="5"/>
  <c r="ED42" i="5"/>
  <c r="ED43" i="5"/>
  <c r="ED44" i="5"/>
  <c r="ED45" i="5"/>
  <c r="ED46" i="5"/>
  <c r="ED47" i="5"/>
  <c r="ED48" i="5"/>
  <c r="ED49" i="5"/>
  <c r="ED50" i="5"/>
  <c r="ED51" i="5"/>
  <c r="ED52" i="5"/>
  <c r="EC53" i="5"/>
  <c r="ED53" i="5"/>
  <c r="ED54" i="5"/>
  <c r="ED55" i="5"/>
  <c r="ED56" i="5"/>
  <c r="ED57" i="5"/>
  <c r="ED58" i="5"/>
  <c r="ED59" i="5"/>
  <c r="ED60" i="5"/>
  <c r="ED61" i="5"/>
  <c r="ED64" i="5"/>
  <c r="ED65" i="5"/>
  <c r="ED66" i="5"/>
  <c r="ED9" i="5"/>
  <c r="EL69" i="5" l="1"/>
  <c r="ED69" i="5"/>
  <c r="EN69" i="5"/>
  <c r="EI14" i="5"/>
  <c r="EI15" i="5"/>
  <c r="EA15" i="5" l="1"/>
  <c r="EA14" i="5"/>
  <c r="DW15" i="5" l="1"/>
  <c r="DW14" i="5"/>
  <c r="DS66" i="5"/>
  <c r="DS65" i="5"/>
  <c r="DS64" i="5"/>
  <c r="DS61" i="5"/>
  <c r="DS60" i="5"/>
  <c r="DS59" i="5"/>
  <c r="DS58" i="5"/>
  <c r="DS57" i="5"/>
  <c r="DS56" i="5"/>
  <c r="DS55" i="5"/>
  <c r="DS54" i="5"/>
  <c r="DS53" i="5"/>
  <c r="DS52" i="5"/>
  <c r="DS51" i="5"/>
  <c r="DS50" i="5"/>
  <c r="DS49" i="5"/>
  <c r="DS48" i="5"/>
  <c r="DS47" i="5"/>
  <c r="DS46" i="5"/>
  <c r="DS45" i="5"/>
  <c r="DS44" i="5"/>
  <c r="DS43" i="5"/>
  <c r="DS42" i="5"/>
  <c r="DS41" i="5"/>
  <c r="DS40" i="5"/>
  <c r="DS39" i="5"/>
  <c r="DS38" i="5"/>
  <c r="DS37" i="5"/>
  <c r="DS36" i="5"/>
  <c r="DS34" i="5"/>
  <c r="DS33" i="5"/>
  <c r="DS31" i="5"/>
  <c r="DS30" i="5"/>
  <c r="DS29" i="5"/>
  <c r="DS28" i="5"/>
  <c r="DS27" i="5"/>
  <c r="DS26" i="5"/>
  <c r="DS25" i="5"/>
  <c r="DS24" i="5"/>
  <c r="DS23" i="5"/>
  <c r="DS22" i="5"/>
  <c r="DS21" i="5"/>
  <c r="DS20" i="5"/>
  <c r="DS19" i="5"/>
  <c r="DS18" i="5"/>
  <c r="DS16" i="5"/>
  <c r="DS12" i="5"/>
  <c r="DS11" i="5"/>
  <c r="DS10" i="5"/>
  <c r="DS9" i="5"/>
  <c r="DR13" i="5"/>
  <c r="DR69" i="5" s="1"/>
  <c r="DW10" i="5" l="1"/>
  <c r="DW19" i="5"/>
  <c r="DW27" i="5"/>
  <c r="DW37" i="5"/>
  <c r="DW45" i="5"/>
  <c r="DW53" i="5"/>
  <c r="DW61" i="5"/>
  <c r="DW12" i="5"/>
  <c r="DW33" i="5"/>
  <c r="DS13" i="5"/>
  <c r="DS69" i="5" s="1"/>
  <c r="DW16" i="5"/>
  <c r="EE16" i="5"/>
  <c r="EM16" i="5"/>
  <c r="EM11" i="5"/>
  <c r="EE11" i="5"/>
  <c r="EA11" i="5"/>
  <c r="EM20" i="5"/>
  <c r="EE20" i="5"/>
  <c r="EA20" i="5"/>
  <c r="EM28" i="5"/>
  <c r="EE28" i="5"/>
  <c r="EA28" i="5"/>
  <c r="EM38" i="5"/>
  <c r="EE38" i="5"/>
  <c r="EA38" i="5"/>
  <c r="EM50" i="5"/>
  <c r="EE50" i="5"/>
  <c r="EA50" i="5"/>
  <c r="EM58" i="5"/>
  <c r="EE58" i="5"/>
  <c r="EA58" i="5"/>
  <c r="DW50" i="5"/>
  <c r="DW29" i="5"/>
  <c r="EM29" i="5"/>
  <c r="EE29" i="5"/>
  <c r="EA29" i="5"/>
  <c r="DW39" i="5"/>
  <c r="EM39" i="5"/>
  <c r="EE39" i="5"/>
  <c r="EA39" i="5"/>
  <c r="DW43" i="5"/>
  <c r="EM43" i="5"/>
  <c r="EE43" i="5"/>
  <c r="EA43" i="5"/>
  <c r="DW47" i="5"/>
  <c r="EM47" i="5"/>
  <c r="EE47" i="5"/>
  <c r="EA47" i="5"/>
  <c r="DW51" i="5"/>
  <c r="EM51" i="5"/>
  <c r="EE51" i="5"/>
  <c r="EA51" i="5"/>
  <c r="DW55" i="5"/>
  <c r="EM55" i="5"/>
  <c r="EE55" i="5"/>
  <c r="EA55" i="5"/>
  <c r="DW59" i="5"/>
  <c r="EM59" i="5"/>
  <c r="EE59" i="5"/>
  <c r="EA59" i="5"/>
  <c r="DW65" i="5"/>
  <c r="EM65" i="5"/>
  <c r="EE65" i="5"/>
  <c r="EA65" i="5"/>
  <c r="EM12" i="5"/>
  <c r="EE12" i="5"/>
  <c r="EA12" i="5"/>
  <c r="EM24" i="5"/>
  <c r="EE24" i="5"/>
  <c r="EA24" i="5"/>
  <c r="EM33" i="5"/>
  <c r="EE33" i="5"/>
  <c r="EA33" i="5"/>
  <c r="EM42" i="5"/>
  <c r="EE42" i="5"/>
  <c r="EA42" i="5"/>
  <c r="EM46" i="5"/>
  <c r="EE46" i="5"/>
  <c r="EA46" i="5"/>
  <c r="EM54" i="5"/>
  <c r="EE54" i="5"/>
  <c r="EA54" i="5"/>
  <c r="EM64" i="5"/>
  <c r="EE64" i="5"/>
  <c r="EA64" i="5"/>
  <c r="DW11" i="5"/>
  <c r="DW24" i="5"/>
  <c r="DW42" i="5"/>
  <c r="DW58" i="5"/>
  <c r="EM9" i="5"/>
  <c r="EE9" i="5"/>
  <c r="EA9" i="5"/>
  <c r="EA69" i="5" s="1"/>
  <c r="DW21" i="5"/>
  <c r="EM21" i="5"/>
  <c r="EE21" i="5"/>
  <c r="EA21" i="5"/>
  <c r="DW25" i="5"/>
  <c r="EM25" i="5"/>
  <c r="EE25" i="5"/>
  <c r="EA25" i="5"/>
  <c r="EM34" i="5"/>
  <c r="EE34" i="5"/>
  <c r="EA34" i="5"/>
  <c r="EM10" i="5"/>
  <c r="EE10" i="5"/>
  <c r="EA10" i="5"/>
  <c r="DW18" i="5"/>
  <c r="EM18" i="5"/>
  <c r="EE18" i="5"/>
  <c r="EA18" i="5"/>
  <c r="DW22" i="5"/>
  <c r="EM22" i="5"/>
  <c r="EE22" i="5"/>
  <c r="EA22" i="5"/>
  <c r="DW26" i="5"/>
  <c r="EM26" i="5"/>
  <c r="EE26" i="5"/>
  <c r="EA26" i="5"/>
  <c r="DW30" i="5"/>
  <c r="EM30" i="5"/>
  <c r="EE30" i="5"/>
  <c r="EA30" i="5"/>
  <c r="DW36" i="5"/>
  <c r="EM36" i="5"/>
  <c r="EE36" i="5"/>
  <c r="EA36" i="5"/>
  <c r="DW40" i="5"/>
  <c r="EM40" i="5"/>
  <c r="EE40" i="5"/>
  <c r="EA40" i="5"/>
  <c r="DW44" i="5"/>
  <c r="EM44" i="5"/>
  <c r="EE44" i="5"/>
  <c r="EA44" i="5"/>
  <c r="DW48" i="5"/>
  <c r="EM48" i="5"/>
  <c r="EE48" i="5"/>
  <c r="EA48" i="5"/>
  <c r="DW52" i="5"/>
  <c r="EM52" i="5"/>
  <c r="EE52" i="5"/>
  <c r="EA52" i="5"/>
  <c r="DW56" i="5"/>
  <c r="EM56" i="5"/>
  <c r="EE56" i="5"/>
  <c r="EA56" i="5"/>
  <c r="DW60" i="5"/>
  <c r="EM60" i="5"/>
  <c r="EE60" i="5"/>
  <c r="EA60" i="5"/>
  <c r="DW66" i="5"/>
  <c r="EM66" i="5"/>
  <c r="EE66" i="5"/>
  <c r="EA66" i="5"/>
  <c r="DW20" i="5"/>
  <c r="DW28" i="5"/>
  <c r="DW38" i="5"/>
  <c r="DW46" i="5"/>
  <c r="DW54" i="5"/>
  <c r="DW64" i="5"/>
  <c r="EM19" i="5"/>
  <c r="EE19" i="5"/>
  <c r="EA19" i="5"/>
  <c r="EM23" i="5"/>
  <c r="EE23" i="5"/>
  <c r="EA23" i="5"/>
  <c r="EM27" i="5"/>
  <c r="EE27" i="5"/>
  <c r="EA27" i="5"/>
  <c r="EM31" i="5"/>
  <c r="EE31" i="5"/>
  <c r="EA31" i="5"/>
  <c r="EM37" i="5"/>
  <c r="EE37" i="5"/>
  <c r="EA37" i="5"/>
  <c r="EM41" i="5"/>
  <c r="EE41" i="5"/>
  <c r="EA41" i="5"/>
  <c r="EM45" i="5"/>
  <c r="EE45" i="5"/>
  <c r="EA45" i="5"/>
  <c r="EM49" i="5"/>
  <c r="EE49" i="5"/>
  <c r="EA49" i="5"/>
  <c r="DV53" i="5"/>
  <c r="EM53" i="5"/>
  <c r="EE53" i="5"/>
  <c r="EA53" i="5"/>
  <c r="EM57" i="5"/>
  <c r="EE57" i="5"/>
  <c r="EA57" i="5"/>
  <c r="EM61" i="5"/>
  <c r="EE61" i="5"/>
  <c r="EA61" i="5"/>
  <c r="DW23" i="5"/>
  <c r="DW31" i="5"/>
  <c r="DW41" i="5"/>
  <c r="DW49" i="5"/>
  <c r="DW57" i="5"/>
  <c r="DV33" i="5"/>
  <c r="DW34" i="5"/>
  <c r="DV16" i="5"/>
  <c r="DW9" i="5"/>
  <c r="DU10" i="5"/>
  <c r="EB10" i="5" s="1"/>
  <c r="DU11" i="5"/>
  <c r="EB11" i="5" s="1"/>
  <c r="DU12" i="5"/>
  <c r="EB12" i="5" s="1"/>
  <c r="DU13" i="5"/>
  <c r="EB13" i="5" s="1"/>
  <c r="DU14" i="5"/>
  <c r="EB14" i="5" s="1"/>
  <c r="EJ14" i="5" s="1"/>
  <c r="DU15" i="5"/>
  <c r="EB15" i="5" s="1"/>
  <c r="EJ15" i="5" s="1"/>
  <c r="DU18" i="5"/>
  <c r="EB18" i="5" s="1"/>
  <c r="DU19" i="5"/>
  <c r="EB19" i="5" s="1"/>
  <c r="DU20" i="5"/>
  <c r="EB20" i="5" s="1"/>
  <c r="DU21" i="5"/>
  <c r="EB21" i="5" s="1"/>
  <c r="DU22" i="5"/>
  <c r="EB22" i="5" s="1"/>
  <c r="DU23" i="5"/>
  <c r="EB23" i="5" s="1"/>
  <c r="DU24" i="5"/>
  <c r="EB24" i="5" s="1"/>
  <c r="DU25" i="5"/>
  <c r="EB25" i="5" s="1"/>
  <c r="DU26" i="5"/>
  <c r="EB26" i="5" s="1"/>
  <c r="DU27" i="5"/>
  <c r="EB27" i="5" s="1"/>
  <c r="DU28" i="5"/>
  <c r="EB28" i="5" s="1"/>
  <c r="DU29" i="5"/>
  <c r="EB29" i="5" s="1"/>
  <c r="DU30" i="5"/>
  <c r="EB30" i="5" s="1"/>
  <c r="DU31" i="5"/>
  <c r="EB31" i="5" s="1"/>
  <c r="DT33" i="5"/>
  <c r="DU33" i="5"/>
  <c r="EB33" i="5" s="1"/>
  <c r="DU34" i="5"/>
  <c r="EB34" i="5" s="1"/>
  <c r="DU36" i="5"/>
  <c r="EB36" i="5" s="1"/>
  <c r="DU37" i="5"/>
  <c r="EB37" i="5" s="1"/>
  <c r="DU38" i="5"/>
  <c r="EB38" i="5" s="1"/>
  <c r="DU39" i="5"/>
  <c r="EB39" i="5" s="1"/>
  <c r="DU40" i="5"/>
  <c r="EB40" i="5" s="1"/>
  <c r="DU41" i="5"/>
  <c r="EB41" i="5" s="1"/>
  <c r="DU42" i="5"/>
  <c r="EB42" i="5" s="1"/>
  <c r="DU43" i="5"/>
  <c r="EB43" i="5" s="1"/>
  <c r="DU44" i="5"/>
  <c r="EB44" i="5" s="1"/>
  <c r="DU45" i="5"/>
  <c r="EB45" i="5" s="1"/>
  <c r="DU46" i="5"/>
  <c r="EB46" i="5" s="1"/>
  <c r="DU47" i="5"/>
  <c r="EB47" i="5" s="1"/>
  <c r="DU48" i="5"/>
  <c r="EB48" i="5" s="1"/>
  <c r="DU49" i="5"/>
  <c r="EB49" i="5" s="1"/>
  <c r="DU50" i="5"/>
  <c r="EB50" i="5" s="1"/>
  <c r="DU51" i="5"/>
  <c r="EB51" i="5" s="1"/>
  <c r="DU52" i="5"/>
  <c r="EB52" i="5" s="1"/>
  <c r="DT53" i="5"/>
  <c r="DU53" i="5"/>
  <c r="EB53" i="5" s="1"/>
  <c r="DU54" i="5"/>
  <c r="EB54" i="5" s="1"/>
  <c r="DU55" i="5"/>
  <c r="EB55" i="5" s="1"/>
  <c r="DU56" i="5"/>
  <c r="EB56" i="5" s="1"/>
  <c r="DU57" i="5"/>
  <c r="EB57" i="5" s="1"/>
  <c r="DU58" i="5"/>
  <c r="EB58" i="5" s="1"/>
  <c r="DU59" i="5"/>
  <c r="EB59" i="5" s="1"/>
  <c r="DU60" i="5"/>
  <c r="EB60" i="5" s="1"/>
  <c r="DU61" i="5"/>
  <c r="EB61" i="5" s="1"/>
  <c r="DU64" i="5"/>
  <c r="EB64" i="5" s="1"/>
  <c r="DU65" i="5"/>
  <c r="EB65" i="5" s="1"/>
  <c r="DU66" i="5"/>
  <c r="EB66" i="5" s="1"/>
  <c r="DU9" i="5"/>
  <c r="T11" i="5"/>
  <c r="T12" i="5"/>
  <c r="T13" i="5"/>
  <c r="T14" i="5"/>
  <c r="T15" i="5"/>
  <c r="T19" i="5"/>
  <c r="T20" i="5"/>
  <c r="T21" i="5"/>
  <c r="T22" i="5"/>
  <c r="T25" i="5"/>
  <c r="T27" i="5"/>
  <c r="T28" i="5"/>
  <c r="T29" i="5"/>
  <c r="T30" i="5"/>
  <c r="T31" i="5"/>
  <c r="T36" i="5"/>
  <c r="T37" i="5"/>
  <c r="T38" i="5"/>
  <c r="T39" i="5"/>
  <c r="T40" i="5"/>
  <c r="T42" i="5"/>
  <c r="T43" i="5"/>
  <c r="T44" i="5"/>
  <c r="T45" i="5"/>
  <c r="T46" i="5"/>
  <c r="T47" i="5"/>
  <c r="T49" i="5"/>
  <c r="T50" i="5"/>
  <c r="T51" i="5"/>
  <c r="T52" i="5"/>
  <c r="T53" i="5"/>
  <c r="T55" i="5"/>
  <c r="T56" i="5"/>
  <c r="T57" i="5"/>
  <c r="T58" i="5"/>
  <c r="T59" i="5"/>
  <c r="T60" i="5"/>
  <c r="T61" i="5"/>
  <c r="T64" i="5"/>
  <c r="T65" i="5"/>
  <c r="T66" i="5"/>
  <c r="P10" i="5"/>
  <c r="P11" i="5"/>
  <c r="P12" i="5"/>
  <c r="P13" i="5"/>
  <c r="P14" i="5"/>
  <c r="P15" i="5"/>
  <c r="P18" i="5"/>
  <c r="P19" i="5"/>
  <c r="P20" i="5"/>
  <c r="P21" i="5"/>
  <c r="P22" i="5"/>
  <c r="P23" i="5"/>
  <c r="P25" i="5"/>
  <c r="P26" i="5"/>
  <c r="P27" i="5"/>
  <c r="P28" i="5"/>
  <c r="P29" i="5"/>
  <c r="P30" i="5"/>
  <c r="P31" i="5"/>
  <c r="P33" i="5"/>
  <c r="P34" i="5"/>
  <c r="P36" i="5"/>
  <c r="P37" i="5"/>
  <c r="P38" i="5"/>
  <c r="P39" i="5"/>
  <c r="P40" i="5"/>
  <c r="P41" i="5"/>
  <c r="P42" i="5"/>
  <c r="P43" i="5"/>
  <c r="P44" i="5"/>
  <c r="P45" i="5"/>
  <c r="P46" i="5"/>
  <c r="P47" i="5"/>
  <c r="P48" i="5"/>
  <c r="P49" i="5"/>
  <c r="P50" i="5"/>
  <c r="P51" i="5"/>
  <c r="P52" i="5"/>
  <c r="P53" i="5"/>
  <c r="P54" i="5"/>
  <c r="P55" i="5"/>
  <c r="P56" i="5"/>
  <c r="P57" i="5"/>
  <c r="P58" i="5"/>
  <c r="P59" i="5"/>
  <c r="P60" i="5"/>
  <c r="P61" i="5"/>
  <c r="P64" i="5"/>
  <c r="P65" i="5"/>
  <c r="P66" i="5"/>
  <c r="P9" i="5"/>
  <c r="L10" i="5"/>
  <c r="L11" i="5"/>
  <c r="L12" i="5"/>
  <c r="L13" i="5"/>
  <c r="L14" i="5"/>
  <c r="L15" i="5"/>
  <c r="L18" i="5"/>
  <c r="L19" i="5"/>
  <c r="L20" i="5"/>
  <c r="L21" i="5"/>
  <c r="L22" i="5"/>
  <c r="L23" i="5"/>
  <c r="L25" i="5"/>
  <c r="L26" i="5"/>
  <c r="L27" i="5"/>
  <c r="L28" i="5"/>
  <c r="L29" i="5"/>
  <c r="L30" i="5"/>
  <c r="L31" i="5"/>
  <c r="L33" i="5"/>
  <c r="L34" i="5"/>
  <c r="L36" i="5"/>
  <c r="L37" i="5"/>
  <c r="L38" i="5"/>
  <c r="L39" i="5"/>
  <c r="L40" i="5"/>
  <c r="L41" i="5"/>
  <c r="L42" i="5"/>
  <c r="L43" i="5"/>
  <c r="L44" i="5"/>
  <c r="L45" i="5"/>
  <c r="L46" i="5"/>
  <c r="L47" i="5"/>
  <c r="L48" i="5"/>
  <c r="L49" i="5"/>
  <c r="L50" i="5"/>
  <c r="L51" i="5"/>
  <c r="L52" i="5"/>
  <c r="L53" i="5"/>
  <c r="L54" i="5"/>
  <c r="L55" i="5"/>
  <c r="L56" i="5"/>
  <c r="L57" i="5"/>
  <c r="L58" i="5"/>
  <c r="L59" i="5"/>
  <c r="L60" i="5"/>
  <c r="L61" i="5"/>
  <c r="L64" i="5"/>
  <c r="L65" i="5"/>
  <c r="L66" i="5"/>
  <c r="L9" i="5"/>
  <c r="H10" i="5"/>
  <c r="H11" i="5"/>
  <c r="H12" i="5"/>
  <c r="H13" i="5"/>
  <c r="H14" i="5"/>
  <c r="H15" i="5"/>
  <c r="H18" i="5"/>
  <c r="H19" i="5"/>
  <c r="H20" i="5"/>
  <c r="H21" i="5"/>
  <c r="H22" i="5"/>
  <c r="H23" i="5"/>
  <c r="H25" i="5"/>
  <c r="H26" i="5"/>
  <c r="H27" i="5"/>
  <c r="H28" i="5"/>
  <c r="H29" i="5"/>
  <c r="H30" i="5"/>
  <c r="H31" i="5"/>
  <c r="H33" i="5"/>
  <c r="H34" i="5"/>
  <c r="H36" i="5"/>
  <c r="H37" i="5"/>
  <c r="H38" i="5"/>
  <c r="H39" i="5"/>
  <c r="H40" i="5"/>
  <c r="H41" i="5"/>
  <c r="H42" i="5"/>
  <c r="H43" i="5"/>
  <c r="H44" i="5"/>
  <c r="H45" i="5"/>
  <c r="H46" i="5"/>
  <c r="H47" i="5"/>
  <c r="H48" i="5"/>
  <c r="H49" i="5"/>
  <c r="H50" i="5"/>
  <c r="H51" i="5"/>
  <c r="H52" i="5"/>
  <c r="H53" i="5"/>
  <c r="H54" i="5"/>
  <c r="H55" i="5"/>
  <c r="H56" i="5"/>
  <c r="H57" i="5"/>
  <c r="H58" i="5"/>
  <c r="H59" i="5"/>
  <c r="H60" i="5"/>
  <c r="H61" i="5"/>
  <c r="H64" i="5"/>
  <c r="H65" i="5"/>
  <c r="H66" i="5"/>
  <c r="H9" i="5"/>
  <c r="F10" i="5"/>
  <c r="F11" i="5"/>
  <c r="F12" i="5"/>
  <c r="F13" i="5"/>
  <c r="F14" i="5"/>
  <c r="F15" i="5"/>
  <c r="F18" i="5"/>
  <c r="F19" i="5"/>
  <c r="F20" i="5"/>
  <c r="F21" i="5"/>
  <c r="F22" i="5"/>
  <c r="F23" i="5"/>
  <c r="F25" i="5"/>
  <c r="F26" i="5"/>
  <c r="F27" i="5"/>
  <c r="F28" i="5"/>
  <c r="F29" i="5"/>
  <c r="F30" i="5"/>
  <c r="F31" i="5"/>
  <c r="F33" i="5"/>
  <c r="F34" i="5"/>
  <c r="F36" i="5"/>
  <c r="F37" i="5"/>
  <c r="F38" i="5"/>
  <c r="F39" i="5"/>
  <c r="F40" i="5"/>
  <c r="F41" i="5"/>
  <c r="F42" i="5"/>
  <c r="F43" i="5"/>
  <c r="F44" i="5"/>
  <c r="F45" i="5"/>
  <c r="F46" i="5"/>
  <c r="F47" i="5"/>
  <c r="F48" i="5"/>
  <c r="F49" i="5"/>
  <c r="F50" i="5"/>
  <c r="F51" i="5"/>
  <c r="F52" i="5"/>
  <c r="F53" i="5"/>
  <c r="F54" i="5"/>
  <c r="F55" i="5"/>
  <c r="F56" i="5"/>
  <c r="F57" i="5"/>
  <c r="F58" i="5"/>
  <c r="F59" i="5"/>
  <c r="F60" i="5"/>
  <c r="F61" i="5"/>
  <c r="F64" i="5"/>
  <c r="F65" i="5"/>
  <c r="F66" i="5"/>
  <c r="F9" i="5"/>
  <c r="DU69" i="5" l="1"/>
  <c r="EE13" i="5"/>
  <c r="EI13" i="5" s="1"/>
  <c r="DW13" i="5"/>
  <c r="DW69" i="5" s="1"/>
  <c r="EM13" i="5"/>
  <c r="EM69" i="5" s="1"/>
  <c r="EA13" i="5"/>
  <c r="EB9" i="5"/>
  <c r="EB69" i="5" s="1"/>
  <c r="EI61" i="5"/>
  <c r="EJ61" i="5"/>
  <c r="EI41" i="5"/>
  <c r="EJ41" i="5"/>
  <c r="EI23" i="5"/>
  <c r="EJ23" i="5"/>
  <c r="EJ66" i="5"/>
  <c r="EI66" i="5"/>
  <c r="EJ60" i="5"/>
  <c r="EI60" i="5"/>
  <c r="EI56" i="5"/>
  <c r="EJ56" i="5"/>
  <c r="EJ52" i="5"/>
  <c r="EI52" i="5"/>
  <c r="EJ48" i="5"/>
  <c r="EI48" i="5"/>
  <c r="EJ44" i="5"/>
  <c r="EI44" i="5"/>
  <c r="EI40" i="5"/>
  <c r="EJ40" i="5"/>
  <c r="EJ36" i="5"/>
  <c r="EI36" i="5"/>
  <c r="EJ30" i="5"/>
  <c r="EI30" i="5"/>
  <c r="EJ26" i="5"/>
  <c r="EI26" i="5"/>
  <c r="EJ22" i="5"/>
  <c r="EI22" i="5"/>
  <c r="EJ18" i="5"/>
  <c r="EI18" i="5"/>
  <c r="EJ10" i="5"/>
  <c r="EI10" i="5"/>
  <c r="EJ54" i="5"/>
  <c r="EI54" i="5"/>
  <c r="EI24" i="5"/>
  <c r="EJ24" i="5"/>
  <c r="EI28" i="5"/>
  <c r="EJ28" i="5"/>
  <c r="EI45" i="5"/>
  <c r="EJ45" i="5"/>
  <c r="EI27" i="5"/>
  <c r="EJ27" i="5"/>
  <c r="EI64" i="5"/>
  <c r="EJ64" i="5"/>
  <c r="EI33" i="5"/>
  <c r="EJ33" i="5"/>
  <c r="EJ38" i="5"/>
  <c r="EI38" i="5"/>
  <c r="EI53" i="5"/>
  <c r="EJ53" i="5"/>
  <c r="EI49" i="5"/>
  <c r="EJ49" i="5"/>
  <c r="EI31" i="5"/>
  <c r="EJ31" i="5"/>
  <c r="EI25" i="5"/>
  <c r="EJ25" i="5"/>
  <c r="EI21" i="5"/>
  <c r="EJ21" i="5"/>
  <c r="EI9" i="5"/>
  <c r="EJ42" i="5"/>
  <c r="EI42" i="5"/>
  <c r="EI65" i="5"/>
  <c r="EJ65" i="5"/>
  <c r="EI59" i="5"/>
  <c r="EJ59" i="5"/>
  <c r="EI55" i="5"/>
  <c r="EJ55" i="5"/>
  <c r="EI51" i="5"/>
  <c r="EJ51" i="5"/>
  <c r="EI47" i="5"/>
  <c r="EJ47" i="5"/>
  <c r="EI43" i="5"/>
  <c r="EJ43" i="5"/>
  <c r="EI39" i="5"/>
  <c r="EJ39" i="5"/>
  <c r="EI29" i="5"/>
  <c r="EJ29" i="5"/>
  <c r="EI50" i="5"/>
  <c r="EJ50" i="5"/>
  <c r="EI11" i="5"/>
  <c r="EJ11" i="5"/>
  <c r="EI57" i="5"/>
  <c r="EJ57" i="5"/>
  <c r="EI37" i="5"/>
  <c r="EJ37" i="5"/>
  <c r="EI19" i="5"/>
  <c r="EJ19" i="5"/>
  <c r="EI34" i="5"/>
  <c r="EJ34" i="5"/>
  <c r="EI46" i="5"/>
  <c r="EJ46" i="5"/>
  <c r="EJ12" i="5"/>
  <c r="EI12" i="5"/>
  <c r="EJ58" i="5"/>
  <c r="EI58" i="5"/>
  <c r="EI20" i="5"/>
  <c r="EJ20" i="5"/>
  <c r="DO33" i="5"/>
  <c r="DO53" i="5"/>
  <c r="EE69" i="5" l="1"/>
  <c r="EI69" i="5"/>
  <c r="EJ9" i="5"/>
  <c r="EJ69" i="5" s="1"/>
  <c r="EJ13" i="5"/>
  <c r="DL44" i="5"/>
  <c r="EU44" i="5" s="1"/>
  <c r="DL10" i="5"/>
  <c r="EU10" i="5" s="1"/>
  <c r="DL11" i="5"/>
  <c r="EU11" i="5" s="1"/>
  <c r="DL12" i="5"/>
  <c r="EU12" i="5" s="1"/>
  <c r="DL13" i="5"/>
  <c r="EU13" i="5" s="1"/>
  <c r="DL14" i="5"/>
  <c r="EU14" i="5" s="1"/>
  <c r="DL15" i="5"/>
  <c r="EU15" i="5" s="1"/>
  <c r="DL18" i="5"/>
  <c r="EU18" i="5" s="1"/>
  <c r="DL19" i="5"/>
  <c r="EU19" i="5" s="1"/>
  <c r="DL20" i="5"/>
  <c r="EU20" i="5" s="1"/>
  <c r="DL21" i="5"/>
  <c r="EU21" i="5" s="1"/>
  <c r="DL22" i="5"/>
  <c r="EU22" i="5" s="1"/>
  <c r="DL23" i="5"/>
  <c r="EU23" i="5" s="1"/>
  <c r="DL24" i="5"/>
  <c r="EU24" i="5" s="1"/>
  <c r="DL25" i="5"/>
  <c r="EU25" i="5" s="1"/>
  <c r="DL26" i="5"/>
  <c r="EU26" i="5" s="1"/>
  <c r="DL27" i="5"/>
  <c r="EU27" i="5" s="1"/>
  <c r="DL28" i="5"/>
  <c r="EU28" i="5" s="1"/>
  <c r="DL29" i="5"/>
  <c r="EU29" i="5" s="1"/>
  <c r="DL30" i="5"/>
  <c r="EU30" i="5" s="1"/>
  <c r="DL31" i="5"/>
  <c r="EU31" i="5" s="1"/>
  <c r="DM33" i="5"/>
  <c r="DL36" i="5"/>
  <c r="EU36" i="5" s="1"/>
  <c r="DL37" i="5"/>
  <c r="EU37" i="5" s="1"/>
  <c r="DL38" i="5"/>
  <c r="EU38" i="5" s="1"/>
  <c r="DL39" i="5"/>
  <c r="EU39" i="5" s="1"/>
  <c r="DL40" i="5"/>
  <c r="EU40" i="5" s="1"/>
  <c r="DL42" i="5"/>
  <c r="EU42" i="5" s="1"/>
  <c r="DL43" i="5"/>
  <c r="EU43" i="5" s="1"/>
  <c r="DL45" i="5"/>
  <c r="EU45" i="5" s="1"/>
  <c r="EU46" i="5"/>
  <c r="DL47" i="5"/>
  <c r="EU47" i="5" s="1"/>
  <c r="DL48" i="5"/>
  <c r="EU48" i="5" s="1"/>
  <c r="DL49" i="5"/>
  <c r="EU49" i="5" s="1"/>
  <c r="DL50" i="5"/>
  <c r="EU50" i="5" s="1"/>
  <c r="DL51" i="5"/>
  <c r="EU51" i="5" s="1"/>
  <c r="DL52" i="5"/>
  <c r="EU52" i="5" s="1"/>
  <c r="DL54" i="5"/>
  <c r="EU54" i="5" s="1"/>
  <c r="DL55" i="5"/>
  <c r="EU55" i="5" s="1"/>
  <c r="DL56" i="5"/>
  <c r="EU56" i="5" s="1"/>
  <c r="DL57" i="5"/>
  <c r="EU57" i="5" s="1"/>
  <c r="DL58" i="5"/>
  <c r="EU58" i="5" s="1"/>
  <c r="DL59" i="5"/>
  <c r="EU59" i="5" s="1"/>
  <c r="DL60" i="5"/>
  <c r="EU60" i="5" s="1"/>
  <c r="DL61" i="5"/>
  <c r="EU61" i="5" s="1"/>
  <c r="DL64" i="5"/>
  <c r="EU64" i="5" s="1"/>
  <c r="DL65" i="5"/>
  <c r="EU65" i="5" s="1"/>
  <c r="DL66" i="5"/>
  <c r="EU66" i="5" s="1"/>
  <c r="DL9" i="5"/>
  <c r="DL69" i="5" l="1"/>
  <c r="EU9" i="5"/>
  <c r="EU69" i="5" s="1"/>
  <c r="EK59" i="5"/>
  <c r="EK50" i="5"/>
  <c r="EK46" i="5"/>
  <c r="EK36" i="5"/>
  <c r="EK29" i="5"/>
  <c r="EK25" i="5"/>
  <c r="EK21" i="5"/>
  <c r="EK61" i="5"/>
  <c r="EK57" i="5"/>
  <c r="EK52" i="5"/>
  <c r="EK48" i="5"/>
  <c r="EK43" i="5"/>
  <c r="EK38" i="5"/>
  <c r="EK31" i="5"/>
  <c r="EK27" i="5"/>
  <c r="EK23" i="5"/>
  <c r="EK19" i="5"/>
  <c r="EK13" i="5"/>
  <c r="EK44" i="5"/>
  <c r="EK66" i="5"/>
  <c r="EK60" i="5"/>
  <c r="EK56" i="5"/>
  <c r="EK51" i="5"/>
  <c r="EK47" i="5"/>
  <c r="EK42" i="5"/>
  <c r="EK37" i="5"/>
  <c r="EK30" i="5"/>
  <c r="EK26" i="5"/>
  <c r="EK22" i="5"/>
  <c r="EK18" i="5"/>
  <c r="EK12" i="5"/>
  <c r="EK65" i="5"/>
  <c r="EK55" i="5"/>
  <c r="EK40" i="5"/>
  <c r="EK11" i="5"/>
  <c r="EK64" i="5"/>
  <c r="EK58" i="5"/>
  <c r="EK54" i="5"/>
  <c r="EK49" i="5"/>
  <c r="EK45" i="5"/>
  <c r="EK39" i="5"/>
  <c r="EK28" i="5"/>
  <c r="EK24" i="5"/>
  <c r="EK20" i="5"/>
  <c r="EK14" i="5"/>
  <c r="EK10" i="5"/>
  <c r="EK15" i="5"/>
  <c r="EK9" i="5"/>
  <c r="EC44" i="5"/>
  <c r="EC55" i="5"/>
  <c r="EC61" i="5"/>
  <c r="EC57" i="5"/>
  <c r="EC52" i="5"/>
  <c r="EC48" i="5"/>
  <c r="EC43" i="5"/>
  <c r="EC38" i="5"/>
  <c r="EC31" i="5"/>
  <c r="EC27" i="5"/>
  <c r="EC23" i="5"/>
  <c r="EC19" i="5"/>
  <c r="EC13" i="5"/>
  <c r="EC59" i="5"/>
  <c r="EC46" i="5"/>
  <c r="EC66" i="5"/>
  <c r="EC60" i="5"/>
  <c r="EC56" i="5"/>
  <c r="EC51" i="5"/>
  <c r="EC47" i="5"/>
  <c r="EC42" i="5"/>
  <c r="EC37" i="5"/>
  <c r="EC30" i="5"/>
  <c r="EC26" i="5"/>
  <c r="EC22" i="5"/>
  <c r="EC18" i="5"/>
  <c r="EC12" i="5"/>
  <c r="DM51" i="5"/>
  <c r="EC65" i="5"/>
  <c r="EC50" i="5"/>
  <c r="EC40" i="5"/>
  <c r="EC36" i="5"/>
  <c r="EC29" i="5"/>
  <c r="EC25" i="5"/>
  <c r="EC21" i="5"/>
  <c r="EC15" i="5"/>
  <c r="EC11" i="5"/>
  <c r="EC64" i="5"/>
  <c r="EC58" i="5"/>
  <c r="EC54" i="5"/>
  <c r="EC49" i="5"/>
  <c r="EC45" i="5"/>
  <c r="EC39" i="5"/>
  <c r="EC28" i="5"/>
  <c r="EC24" i="5"/>
  <c r="EC20" i="5"/>
  <c r="EC14" i="5"/>
  <c r="EC10" i="5"/>
  <c r="EC9" i="5"/>
  <c r="DV64" i="5"/>
  <c r="DT64" i="5"/>
  <c r="DV58" i="5"/>
  <c r="DT58" i="5"/>
  <c r="DV54" i="5"/>
  <c r="DT54" i="5"/>
  <c r="DT49" i="5"/>
  <c r="DV49" i="5"/>
  <c r="DV45" i="5"/>
  <c r="DT45" i="5"/>
  <c r="DT40" i="5"/>
  <c r="DV40" i="5"/>
  <c r="DT36" i="5"/>
  <c r="DV36" i="5"/>
  <c r="DT30" i="5"/>
  <c r="DV30" i="5"/>
  <c r="DT26" i="5"/>
  <c r="DV26" i="5"/>
  <c r="DT22" i="5"/>
  <c r="DV22" i="5"/>
  <c r="DT18" i="5"/>
  <c r="DV18" i="5"/>
  <c r="DT12" i="5"/>
  <c r="DV12" i="5"/>
  <c r="DV61" i="5"/>
  <c r="DT61" i="5"/>
  <c r="DV57" i="5"/>
  <c r="DT57" i="5"/>
  <c r="DT52" i="5"/>
  <c r="DV52" i="5"/>
  <c r="DT48" i="5"/>
  <c r="DV48" i="5"/>
  <c r="DT43" i="5"/>
  <c r="DV43" i="5"/>
  <c r="DT39" i="5"/>
  <c r="DV39" i="5"/>
  <c r="DT34" i="5"/>
  <c r="DV34" i="5"/>
  <c r="DT29" i="5"/>
  <c r="DV29" i="5"/>
  <c r="DT25" i="5"/>
  <c r="DV25" i="5"/>
  <c r="DT21" i="5"/>
  <c r="DV21" i="5"/>
  <c r="DT15" i="5"/>
  <c r="DV15" i="5"/>
  <c r="DT11" i="5"/>
  <c r="DV11" i="5"/>
  <c r="DV60" i="5"/>
  <c r="DT60" i="5"/>
  <c r="DO51" i="5"/>
  <c r="DT51" i="5"/>
  <c r="DV51" i="5"/>
  <c r="DV47" i="5"/>
  <c r="DT47" i="5"/>
  <c r="DT42" i="5"/>
  <c r="DV42" i="5"/>
  <c r="DT38" i="5"/>
  <c r="DV38" i="5"/>
  <c r="DT28" i="5"/>
  <c r="DV28" i="5"/>
  <c r="DT24" i="5"/>
  <c r="DV24" i="5"/>
  <c r="DT20" i="5"/>
  <c r="DV20" i="5"/>
  <c r="DT14" i="5"/>
  <c r="DV14" i="5"/>
  <c r="DT10" i="5"/>
  <c r="DV10" i="5"/>
  <c r="DT9" i="5"/>
  <c r="DV9" i="5"/>
  <c r="DO66" i="5"/>
  <c r="DT66" i="5"/>
  <c r="DV66" i="5"/>
  <c r="DV56" i="5"/>
  <c r="DT56" i="5"/>
  <c r="DT65" i="5"/>
  <c r="DV65" i="5"/>
  <c r="DT59" i="5"/>
  <c r="DV59" i="5"/>
  <c r="DV55" i="5"/>
  <c r="DT55" i="5"/>
  <c r="DV50" i="5"/>
  <c r="DT50" i="5"/>
  <c r="DV46" i="5"/>
  <c r="DT46" i="5"/>
  <c r="DT41" i="5"/>
  <c r="DV41" i="5"/>
  <c r="DT37" i="5"/>
  <c r="DV37" i="5"/>
  <c r="DT31" i="5"/>
  <c r="DV31" i="5"/>
  <c r="DT27" i="5"/>
  <c r="DV27" i="5"/>
  <c r="DT23" i="5"/>
  <c r="DV23" i="5"/>
  <c r="DT19" i="5"/>
  <c r="DV19" i="5"/>
  <c r="DT13" i="5"/>
  <c r="DV13" i="5"/>
  <c r="DT44" i="5"/>
  <c r="DV44" i="5"/>
  <c r="DM65" i="5"/>
  <c r="DO65" i="5"/>
  <c r="DM59" i="5"/>
  <c r="DO59" i="5"/>
  <c r="DM50" i="5"/>
  <c r="DO50" i="5"/>
  <c r="DM46" i="5"/>
  <c r="DO46" i="5"/>
  <c r="DM41" i="5"/>
  <c r="DO41" i="5"/>
  <c r="DM31" i="5"/>
  <c r="DO31" i="5"/>
  <c r="DM64" i="5"/>
  <c r="DO64" i="5"/>
  <c r="DM58" i="5"/>
  <c r="DO58" i="5"/>
  <c r="DM54" i="5"/>
  <c r="DO54" i="5"/>
  <c r="DM49" i="5"/>
  <c r="DO49" i="5"/>
  <c r="DM45" i="5"/>
  <c r="DO45" i="5"/>
  <c r="DM40" i="5"/>
  <c r="DO40" i="5"/>
  <c r="DM36" i="5"/>
  <c r="DO36" i="5"/>
  <c r="DM30" i="5"/>
  <c r="DO30" i="5"/>
  <c r="DM26" i="5"/>
  <c r="DO26" i="5"/>
  <c r="DM22" i="5"/>
  <c r="DO22" i="5"/>
  <c r="DM18" i="5"/>
  <c r="DO18" i="5"/>
  <c r="DM12" i="5"/>
  <c r="DO12" i="5"/>
  <c r="DM9" i="5"/>
  <c r="DO9" i="5"/>
  <c r="DM61" i="5"/>
  <c r="DO61" i="5"/>
  <c r="DM57" i="5"/>
  <c r="DO57" i="5"/>
  <c r="DM52" i="5"/>
  <c r="DO52" i="5"/>
  <c r="DM48" i="5"/>
  <c r="DO48" i="5"/>
  <c r="DM43" i="5"/>
  <c r="DO43" i="5"/>
  <c r="DM39" i="5"/>
  <c r="DO39" i="5"/>
  <c r="DM34" i="5"/>
  <c r="DO34" i="5"/>
  <c r="DM29" i="5"/>
  <c r="DO29" i="5"/>
  <c r="DM25" i="5"/>
  <c r="DO25" i="5"/>
  <c r="DM21" i="5"/>
  <c r="DO21" i="5"/>
  <c r="DM15" i="5"/>
  <c r="DO15" i="5"/>
  <c r="DM11" i="5"/>
  <c r="DO11" i="5"/>
  <c r="DM60" i="5"/>
  <c r="DO60" i="5"/>
  <c r="DM56" i="5"/>
  <c r="DO56" i="5"/>
  <c r="DM47" i="5"/>
  <c r="DO47" i="5"/>
  <c r="DM42" i="5"/>
  <c r="DO42" i="5"/>
  <c r="DM38" i="5"/>
  <c r="DO38" i="5"/>
  <c r="DM28" i="5"/>
  <c r="DO28" i="5"/>
  <c r="DM24" i="5"/>
  <c r="DO24" i="5"/>
  <c r="DM20" i="5"/>
  <c r="DO20" i="5"/>
  <c r="DM14" i="5"/>
  <c r="DO14" i="5"/>
  <c r="DM10" i="5"/>
  <c r="DO10" i="5"/>
  <c r="DM55" i="5"/>
  <c r="DO55" i="5"/>
  <c r="DM37" i="5"/>
  <c r="DO37" i="5"/>
  <c r="DM27" i="5"/>
  <c r="DO27" i="5"/>
  <c r="DM23" i="5"/>
  <c r="DO23" i="5"/>
  <c r="DM19" i="5"/>
  <c r="DO19" i="5"/>
  <c r="DM13" i="5"/>
  <c r="DO13" i="5"/>
  <c r="DM44" i="5"/>
  <c r="DO44" i="5"/>
  <c r="DO69" i="5" l="1"/>
  <c r="DV69" i="5"/>
  <c r="EK69" i="5"/>
  <c r="EC69" i="5"/>
  <c r="EC70" i="5" s="1"/>
  <c r="DT69" i="5"/>
  <c r="DG58" i="5"/>
  <c r="DE10" i="5"/>
  <c r="DF10" i="5"/>
  <c r="DG10" i="5"/>
  <c r="DE11" i="5"/>
  <c r="DF11" i="5"/>
  <c r="DG11" i="5"/>
  <c r="DE12" i="5"/>
  <c r="DF12" i="5"/>
  <c r="DG12" i="5"/>
  <c r="DE13" i="5"/>
  <c r="DF13" i="5"/>
  <c r="DG13" i="5"/>
  <c r="DE14" i="5"/>
  <c r="DF14" i="5"/>
  <c r="DG14" i="5"/>
  <c r="DE15" i="5"/>
  <c r="DF15" i="5"/>
  <c r="DG15" i="5"/>
  <c r="DE18" i="5"/>
  <c r="DF18" i="5"/>
  <c r="DG18" i="5"/>
  <c r="DE19" i="5"/>
  <c r="DF19" i="5"/>
  <c r="DG19" i="5"/>
  <c r="DE20" i="5"/>
  <c r="DF20" i="5"/>
  <c r="DG20" i="5"/>
  <c r="DE21" i="5"/>
  <c r="DF21" i="5"/>
  <c r="DG21" i="5"/>
  <c r="DE22" i="5"/>
  <c r="DF22" i="5"/>
  <c r="DG22" i="5"/>
  <c r="DE23" i="5"/>
  <c r="DF23" i="5"/>
  <c r="DG23" i="5"/>
  <c r="DE24" i="5"/>
  <c r="DF24" i="5"/>
  <c r="DG24" i="5"/>
  <c r="DE25" i="5"/>
  <c r="DF25" i="5"/>
  <c r="DG25" i="5"/>
  <c r="DE26" i="5"/>
  <c r="DF26" i="5"/>
  <c r="DG26" i="5"/>
  <c r="DE27" i="5"/>
  <c r="DF27" i="5"/>
  <c r="DG27" i="5"/>
  <c r="DE28" i="5"/>
  <c r="DF28" i="5"/>
  <c r="DG28" i="5"/>
  <c r="DE29" i="5"/>
  <c r="DF29" i="5"/>
  <c r="DG29" i="5"/>
  <c r="DE30" i="5"/>
  <c r="DF30" i="5"/>
  <c r="DG30" i="5"/>
  <c r="DE31" i="5"/>
  <c r="DF31" i="5"/>
  <c r="DG31" i="5"/>
  <c r="DE33" i="5"/>
  <c r="DF33" i="5"/>
  <c r="DG33" i="5"/>
  <c r="DE34" i="5"/>
  <c r="DF34" i="5"/>
  <c r="DG34" i="5"/>
  <c r="DE36" i="5"/>
  <c r="DF36" i="5"/>
  <c r="DG36" i="5"/>
  <c r="DE37" i="5"/>
  <c r="DF37" i="5"/>
  <c r="DG37" i="5"/>
  <c r="DE38" i="5"/>
  <c r="DF38" i="5"/>
  <c r="DG38" i="5"/>
  <c r="DE39" i="5"/>
  <c r="DF39" i="5"/>
  <c r="DG39" i="5"/>
  <c r="DE40" i="5"/>
  <c r="DF40" i="5"/>
  <c r="DG40" i="5"/>
  <c r="DE41" i="5"/>
  <c r="DF41" i="5"/>
  <c r="DG41" i="5"/>
  <c r="DE42" i="5"/>
  <c r="DF42" i="5"/>
  <c r="DG42" i="5"/>
  <c r="DE43" i="5"/>
  <c r="DF43" i="5"/>
  <c r="DG43"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4" i="5"/>
  <c r="DF54" i="5"/>
  <c r="DG54" i="5"/>
  <c r="DE55" i="5"/>
  <c r="DF55" i="5"/>
  <c r="DG55" i="5"/>
  <c r="DE56" i="5"/>
  <c r="DF56" i="5"/>
  <c r="DG56" i="5"/>
  <c r="DE57" i="5"/>
  <c r="DF57" i="5"/>
  <c r="DG57" i="5"/>
  <c r="DE58" i="5"/>
  <c r="DF58" i="5"/>
  <c r="DE59" i="5"/>
  <c r="DF59" i="5"/>
  <c r="DG59" i="5"/>
  <c r="DE60" i="5"/>
  <c r="DF60" i="5"/>
  <c r="DG60" i="5"/>
  <c r="DE61" i="5"/>
  <c r="DF61" i="5"/>
  <c r="DG61" i="5"/>
  <c r="DE64" i="5"/>
  <c r="DF64" i="5"/>
  <c r="DG64" i="5"/>
  <c r="DE65" i="5"/>
  <c r="DF65" i="5"/>
  <c r="DG65" i="5"/>
  <c r="DF66" i="5"/>
  <c r="DG66" i="5"/>
  <c r="DG9" i="5"/>
  <c r="DF9" i="5"/>
  <c r="DE9" i="5"/>
  <c r="DG69" i="5" l="1"/>
  <c r="DG74" i="5" s="1"/>
  <c r="DF69" i="5"/>
  <c r="DF74" i="5" s="1"/>
  <c r="CY42" i="5"/>
  <c r="CY10" i="5" l="1"/>
  <c r="CZ10" i="5"/>
  <c r="DA10" i="5"/>
  <c r="DB10" i="5"/>
  <c r="CY11" i="5"/>
  <c r="CZ11" i="5"/>
  <c r="DB11" i="5"/>
  <c r="CY12" i="5"/>
  <c r="CZ12" i="5"/>
  <c r="DA12" i="5"/>
  <c r="DB12" i="5"/>
  <c r="CY13" i="5"/>
  <c r="CZ13" i="5"/>
  <c r="CY14" i="5"/>
  <c r="CZ14" i="5"/>
  <c r="DA14" i="5"/>
  <c r="DB14" i="5"/>
  <c r="CY15" i="5"/>
  <c r="CZ15" i="5"/>
  <c r="DA15" i="5"/>
  <c r="DB15" i="5"/>
  <c r="CY18" i="5"/>
  <c r="CZ18" i="5"/>
  <c r="CY19" i="5"/>
  <c r="CZ19" i="5"/>
  <c r="DA19" i="5"/>
  <c r="DB19" i="5"/>
  <c r="CY20" i="5"/>
  <c r="CZ20" i="5"/>
  <c r="DA20" i="5"/>
  <c r="DB20" i="5"/>
  <c r="CY21" i="5"/>
  <c r="CZ21" i="5"/>
  <c r="DA21" i="5"/>
  <c r="DB21" i="5"/>
  <c r="CY22" i="5"/>
  <c r="CZ22" i="5"/>
  <c r="DA22" i="5"/>
  <c r="DB22" i="5"/>
  <c r="CY23" i="5"/>
  <c r="CZ23" i="5"/>
  <c r="CY24" i="5"/>
  <c r="CZ24" i="5"/>
  <c r="DA24" i="5"/>
  <c r="DB24" i="5"/>
  <c r="CY25" i="5"/>
  <c r="CZ25" i="5"/>
  <c r="DA25" i="5"/>
  <c r="DB25" i="5"/>
  <c r="CY26" i="5"/>
  <c r="CZ26" i="5"/>
  <c r="DA26" i="5"/>
  <c r="DB26" i="5"/>
  <c r="CY27" i="5"/>
  <c r="CZ27" i="5"/>
  <c r="DA27" i="5"/>
  <c r="DB27" i="5"/>
  <c r="CY28" i="5"/>
  <c r="CZ28" i="5"/>
  <c r="DA28" i="5"/>
  <c r="DB28" i="5"/>
  <c r="CY29" i="5"/>
  <c r="CZ29" i="5"/>
  <c r="DA29" i="5"/>
  <c r="DB29" i="5"/>
  <c r="CZ30" i="5"/>
  <c r="DA30" i="5"/>
  <c r="DB30" i="5"/>
  <c r="CY31" i="5"/>
  <c r="CZ31" i="5"/>
  <c r="DA31" i="5"/>
  <c r="DB31" i="5"/>
  <c r="CY33" i="5"/>
  <c r="CZ33" i="5"/>
  <c r="DA33" i="5"/>
  <c r="DB33" i="5"/>
  <c r="CY34" i="5"/>
  <c r="CZ34" i="5"/>
  <c r="DA34" i="5"/>
  <c r="CY36" i="5"/>
  <c r="CZ36" i="5"/>
  <c r="DA36" i="5"/>
  <c r="DB36" i="5"/>
  <c r="CY37" i="5"/>
  <c r="CZ37" i="5"/>
  <c r="DA37" i="5"/>
  <c r="DB37" i="5"/>
  <c r="CY38" i="5"/>
  <c r="CZ38" i="5"/>
  <c r="DA38" i="5"/>
  <c r="DB38" i="5"/>
  <c r="CY39" i="5"/>
  <c r="CZ39" i="5"/>
  <c r="DA39" i="5"/>
  <c r="DB39" i="5"/>
  <c r="CY40" i="5"/>
  <c r="CZ40" i="5"/>
  <c r="DA40" i="5"/>
  <c r="DB40" i="5"/>
  <c r="CY41" i="5"/>
  <c r="CZ41" i="5"/>
  <c r="DA41" i="5"/>
  <c r="DB41" i="5"/>
  <c r="CZ42" i="5"/>
  <c r="DA42" i="5"/>
  <c r="DB42" i="5"/>
  <c r="CY43" i="5"/>
  <c r="CZ43" i="5"/>
  <c r="DA43" i="5"/>
  <c r="DB43" i="5"/>
  <c r="CY44" i="5"/>
  <c r="CZ44" i="5"/>
  <c r="DA44" i="5"/>
  <c r="DB44" i="5"/>
  <c r="CY45" i="5"/>
  <c r="CZ45" i="5"/>
  <c r="DA45" i="5"/>
  <c r="DB45" i="5"/>
  <c r="CY46" i="5"/>
  <c r="CZ46" i="5"/>
  <c r="DA46" i="5"/>
  <c r="DB46" i="5"/>
  <c r="CY47" i="5"/>
  <c r="CZ47" i="5"/>
  <c r="DA47" i="5"/>
  <c r="DB47" i="5"/>
  <c r="CY48" i="5"/>
  <c r="CZ48" i="5"/>
  <c r="DA48" i="5"/>
  <c r="CY49" i="5"/>
  <c r="CZ49" i="5"/>
  <c r="DA49" i="5"/>
  <c r="DB49" i="5"/>
  <c r="CY50" i="5"/>
  <c r="CZ50" i="5"/>
  <c r="DA50" i="5"/>
  <c r="DB50" i="5"/>
  <c r="CY51" i="5"/>
  <c r="CZ51" i="5"/>
  <c r="DA51" i="5"/>
  <c r="DB51" i="5"/>
  <c r="CY52" i="5"/>
  <c r="CZ52" i="5"/>
  <c r="DA52" i="5"/>
  <c r="DB52" i="5"/>
  <c r="CY54" i="5"/>
  <c r="CZ54" i="5"/>
  <c r="CY55" i="5"/>
  <c r="CZ55" i="5"/>
  <c r="DB55" i="5"/>
  <c r="CY56" i="5"/>
  <c r="CZ56" i="5"/>
  <c r="DA56" i="5"/>
  <c r="DB56" i="5"/>
  <c r="CY57" i="5"/>
  <c r="CZ57" i="5"/>
  <c r="DA57" i="5"/>
  <c r="DB57" i="5"/>
  <c r="CY58" i="5"/>
  <c r="CZ58" i="5"/>
  <c r="DA58" i="5"/>
  <c r="DB58" i="5"/>
  <c r="CY59" i="5"/>
  <c r="CZ59" i="5"/>
  <c r="DA59" i="5"/>
  <c r="DB59" i="5"/>
  <c r="CY60" i="5"/>
  <c r="CZ60" i="5"/>
  <c r="DB60" i="5"/>
  <c r="CY61" i="5"/>
  <c r="CZ61" i="5"/>
  <c r="DA61" i="5"/>
  <c r="DB61" i="5"/>
  <c r="CY64" i="5"/>
  <c r="CZ64" i="5"/>
  <c r="DA64" i="5"/>
  <c r="DB64" i="5"/>
  <c r="CY65" i="5"/>
  <c r="CZ65" i="5"/>
  <c r="DA65" i="5"/>
  <c r="DB65" i="5"/>
  <c r="CZ66" i="5"/>
  <c r="DA66" i="5"/>
  <c r="DB66" i="5"/>
  <c r="A104" i="8" l="1"/>
  <c r="A55" i="8" l="1"/>
  <c r="A48" i="8" l="1"/>
  <c r="D48" i="8" s="1"/>
  <c r="A35" i="8" l="1"/>
  <c r="A84" i="8"/>
  <c r="A65" i="8"/>
  <c r="CZ9" i="5" l="1"/>
  <c r="CZ69" i="5" s="1"/>
  <c r="CZ74" i="5" s="1"/>
  <c r="CY9" i="5"/>
  <c r="CR54" i="5" l="1"/>
  <c r="DB54" i="5" s="1"/>
  <c r="CR48" i="5"/>
  <c r="CR34" i="5"/>
  <c r="DB34" i="5" s="1"/>
  <c r="DB48" i="5" l="1"/>
  <c r="CU48" i="5"/>
  <c r="CR23" i="5"/>
  <c r="CV23" i="5" s="1"/>
  <c r="CR18" i="5"/>
  <c r="CT18" i="5" s="1"/>
  <c r="CR9" i="5"/>
  <c r="CR13" i="5"/>
  <c r="CS13" i="5" s="1"/>
  <c r="CS10" i="5"/>
  <c r="CT10" i="5"/>
  <c r="CU10" i="5"/>
  <c r="CV10" i="5"/>
  <c r="CS11" i="5"/>
  <c r="CT11" i="5"/>
  <c r="CV11" i="5"/>
  <c r="CS12" i="5"/>
  <c r="CT12" i="5"/>
  <c r="CU12" i="5"/>
  <c r="CV12" i="5"/>
  <c r="CS14" i="5"/>
  <c r="CT14" i="5"/>
  <c r="CU14" i="5"/>
  <c r="CV14" i="5"/>
  <c r="CS15" i="5"/>
  <c r="CT15" i="5"/>
  <c r="CU15" i="5"/>
  <c r="CV15" i="5"/>
  <c r="CS19" i="5"/>
  <c r="CT19" i="5"/>
  <c r="CU19" i="5"/>
  <c r="CV19" i="5"/>
  <c r="CS20" i="5"/>
  <c r="CT20" i="5"/>
  <c r="CU20" i="5"/>
  <c r="CV20" i="5"/>
  <c r="CS21" i="5"/>
  <c r="CT21" i="5"/>
  <c r="CU21" i="5"/>
  <c r="CV21" i="5"/>
  <c r="CS22" i="5"/>
  <c r="CT22" i="5"/>
  <c r="CU22" i="5"/>
  <c r="CV22" i="5"/>
  <c r="CS24" i="5"/>
  <c r="CT24" i="5"/>
  <c r="CU24" i="5"/>
  <c r="CV24" i="5"/>
  <c r="CS25" i="5"/>
  <c r="CT25" i="5"/>
  <c r="CU25" i="5"/>
  <c r="CV25" i="5"/>
  <c r="CS26" i="5"/>
  <c r="CT26" i="5"/>
  <c r="CU26" i="5"/>
  <c r="CV26" i="5"/>
  <c r="CS27" i="5"/>
  <c r="CT27" i="5"/>
  <c r="CU27" i="5"/>
  <c r="CV27" i="5"/>
  <c r="CS28" i="5"/>
  <c r="CT28" i="5"/>
  <c r="CU28" i="5"/>
  <c r="CV28" i="5"/>
  <c r="CS29" i="5"/>
  <c r="CT29" i="5"/>
  <c r="CU29" i="5"/>
  <c r="CV29" i="5"/>
  <c r="CS30" i="5"/>
  <c r="CT30" i="5"/>
  <c r="CU30" i="5"/>
  <c r="CV30" i="5"/>
  <c r="CS31" i="5"/>
  <c r="CT31" i="5"/>
  <c r="CU31" i="5"/>
  <c r="CV31" i="5"/>
  <c r="CS33" i="5"/>
  <c r="CT33" i="5"/>
  <c r="CU33" i="5"/>
  <c r="CV33" i="5"/>
  <c r="CS34" i="5"/>
  <c r="CT34" i="5"/>
  <c r="CU34" i="5"/>
  <c r="CV34" i="5"/>
  <c r="CS36" i="5"/>
  <c r="CT36" i="5"/>
  <c r="CU36" i="5"/>
  <c r="CV36" i="5"/>
  <c r="CS37" i="5"/>
  <c r="CT37" i="5"/>
  <c r="CU37" i="5"/>
  <c r="CV37" i="5"/>
  <c r="CS38" i="5"/>
  <c r="CT38" i="5"/>
  <c r="CU38" i="5"/>
  <c r="CV38" i="5"/>
  <c r="CS39" i="5"/>
  <c r="CT39" i="5"/>
  <c r="CU39" i="5"/>
  <c r="CV39" i="5"/>
  <c r="CS40" i="5"/>
  <c r="CT40" i="5"/>
  <c r="CU40" i="5"/>
  <c r="CV40" i="5"/>
  <c r="CS41" i="5"/>
  <c r="CT41" i="5"/>
  <c r="CU41" i="5"/>
  <c r="CV41" i="5"/>
  <c r="CS42" i="5"/>
  <c r="CT42" i="5"/>
  <c r="CU42" i="5"/>
  <c r="CV42" i="5"/>
  <c r="CS43" i="5"/>
  <c r="CT43" i="5"/>
  <c r="CU43" i="5"/>
  <c r="CV43" i="5"/>
  <c r="CS44" i="5"/>
  <c r="CT44" i="5"/>
  <c r="CU44" i="5"/>
  <c r="CV44" i="5"/>
  <c r="CS45" i="5"/>
  <c r="CT45" i="5"/>
  <c r="CU45" i="5"/>
  <c r="CV45" i="5"/>
  <c r="CS46" i="5"/>
  <c r="CT46" i="5"/>
  <c r="CU46" i="5"/>
  <c r="CV46" i="5"/>
  <c r="CS47" i="5"/>
  <c r="CT47" i="5"/>
  <c r="CU47" i="5"/>
  <c r="CV47" i="5"/>
  <c r="CS48" i="5"/>
  <c r="CT48" i="5"/>
  <c r="CV48" i="5"/>
  <c r="CS49" i="5"/>
  <c r="CT49" i="5"/>
  <c r="CU49" i="5"/>
  <c r="CV49" i="5"/>
  <c r="CS50" i="5"/>
  <c r="CT50" i="5"/>
  <c r="CU50" i="5"/>
  <c r="CV50" i="5"/>
  <c r="CS51" i="5"/>
  <c r="CT51" i="5"/>
  <c r="CU51" i="5"/>
  <c r="CV51" i="5"/>
  <c r="CS52" i="5"/>
  <c r="CT52" i="5"/>
  <c r="CU52" i="5"/>
  <c r="CV52" i="5"/>
  <c r="CS54" i="5"/>
  <c r="CT54" i="5"/>
  <c r="CV54" i="5"/>
  <c r="CS55" i="5"/>
  <c r="CT55" i="5"/>
  <c r="CV55" i="5"/>
  <c r="CS56" i="5"/>
  <c r="CT56" i="5"/>
  <c r="CU56" i="5"/>
  <c r="CV56" i="5"/>
  <c r="CS57" i="5"/>
  <c r="CT57" i="5"/>
  <c r="CU57" i="5"/>
  <c r="CV57" i="5"/>
  <c r="CS58" i="5"/>
  <c r="CT58" i="5"/>
  <c r="CU58" i="5"/>
  <c r="CV58" i="5"/>
  <c r="CS59" i="5"/>
  <c r="CT59" i="5"/>
  <c r="CU59" i="5"/>
  <c r="CV59" i="5"/>
  <c r="CS60" i="5"/>
  <c r="CT60" i="5"/>
  <c r="CV60" i="5"/>
  <c r="CS61" i="5"/>
  <c r="CT61" i="5"/>
  <c r="CU61" i="5"/>
  <c r="CV61" i="5"/>
  <c r="CS64" i="5"/>
  <c r="CT64" i="5"/>
  <c r="CU64" i="5"/>
  <c r="CV64" i="5"/>
  <c r="CS65" i="5"/>
  <c r="CT65" i="5"/>
  <c r="CU65" i="5"/>
  <c r="CV65" i="5"/>
  <c r="CT66" i="5"/>
  <c r="CU66" i="5"/>
  <c r="CV66" i="5"/>
  <c r="CN48" i="5"/>
  <c r="CT23" i="5" l="1"/>
  <c r="CV9" i="5"/>
  <c r="CR69" i="5"/>
  <c r="CR74" i="5" s="1"/>
  <c r="CS23" i="5"/>
  <c r="DB23" i="5"/>
  <c r="CS18" i="5"/>
  <c r="DB18" i="5"/>
  <c r="CT13" i="5"/>
  <c r="DB13" i="5"/>
  <c r="CV18" i="5"/>
  <c r="CT9" i="5"/>
  <c r="DB9" i="5"/>
  <c r="CS9" i="5"/>
  <c r="CV13" i="5"/>
  <c r="CN54" i="5"/>
  <c r="CN10" i="5"/>
  <c r="CN9" i="5"/>
  <c r="CO10" i="5"/>
  <c r="CP10" i="5"/>
  <c r="CN11" i="5"/>
  <c r="CO11" i="5"/>
  <c r="CN12" i="5"/>
  <c r="CO12" i="5"/>
  <c r="CP12" i="5"/>
  <c r="CN13" i="5"/>
  <c r="CO13" i="5"/>
  <c r="CN14" i="5"/>
  <c r="CO14" i="5"/>
  <c r="CP14" i="5"/>
  <c r="CN15" i="5"/>
  <c r="CO15" i="5"/>
  <c r="CP15" i="5"/>
  <c r="CN18" i="5"/>
  <c r="CO18" i="5"/>
  <c r="CN19" i="5"/>
  <c r="CO19" i="5"/>
  <c r="CP19" i="5"/>
  <c r="CN20" i="5"/>
  <c r="CO20" i="5"/>
  <c r="CP20" i="5"/>
  <c r="CN21" i="5"/>
  <c r="CO21" i="5"/>
  <c r="CP21" i="5"/>
  <c r="CN22" i="5"/>
  <c r="CO22" i="5"/>
  <c r="CP22" i="5"/>
  <c r="CN23" i="5"/>
  <c r="CO23" i="5"/>
  <c r="CN24" i="5"/>
  <c r="CO24" i="5"/>
  <c r="CP24" i="5"/>
  <c r="CN25" i="5"/>
  <c r="CO25" i="5"/>
  <c r="CP25" i="5"/>
  <c r="CN26" i="5"/>
  <c r="CO26" i="5"/>
  <c r="CP26" i="5"/>
  <c r="CN27" i="5"/>
  <c r="CO27" i="5"/>
  <c r="CP27" i="5"/>
  <c r="CN28" i="5"/>
  <c r="CO28" i="5"/>
  <c r="CP28" i="5"/>
  <c r="CN29" i="5"/>
  <c r="CO29" i="5"/>
  <c r="CP29" i="5"/>
  <c r="CN30" i="5"/>
  <c r="CO30" i="5"/>
  <c r="CP30" i="5"/>
  <c r="CN31" i="5"/>
  <c r="CO31" i="5"/>
  <c r="CP31" i="5"/>
  <c r="CN33" i="5"/>
  <c r="CO33" i="5"/>
  <c r="CP33" i="5"/>
  <c r="CN34" i="5"/>
  <c r="CO34" i="5"/>
  <c r="CP34" i="5"/>
  <c r="CN36" i="5"/>
  <c r="CO36" i="5"/>
  <c r="CP36" i="5"/>
  <c r="CN37" i="5"/>
  <c r="CO37" i="5"/>
  <c r="CP37" i="5"/>
  <c r="CN38" i="5"/>
  <c r="CO38" i="5"/>
  <c r="CP38" i="5"/>
  <c r="CN39" i="5"/>
  <c r="CO39" i="5"/>
  <c r="CP39" i="5"/>
  <c r="CN40" i="5"/>
  <c r="CO40" i="5"/>
  <c r="CP40" i="5"/>
  <c r="CN41" i="5"/>
  <c r="CO41" i="5"/>
  <c r="CP41" i="5"/>
  <c r="CN42" i="5"/>
  <c r="CO42" i="5"/>
  <c r="CP42" i="5"/>
  <c r="CN43" i="5"/>
  <c r="CO43" i="5"/>
  <c r="CP43" i="5"/>
  <c r="CN44" i="5"/>
  <c r="CO44" i="5"/>
  <c r="CP44" i="5"/>
  <c r="CN45" i="5"/>
  <c r="CO45" i="5"/>
  <c r="CP45" i="5"/>
  <c r="CN46" i="5"/>
  <c r="CO46" i="5"/>
  <c r="CP46" i="5"/>
  <c r="CN47" i="5"/>
  <c r="CO47" i="5"/>
  <c r="CP47" i="5"/>
  <c r="CO48" i="5"/>
  <c r="CP48" i="5"/>
  <c r="CN49" i="5"/>
  <c r="CO49" i="5"/>
  <c r="CP49" i="5"/>
  <c r="CN50" i="5"/>
  <c r="CO50" i="5"/>
  <c r="CP50" i="5"/>
  <c r="CN51" i="5"/>
  <c r="CO51" i="5"/>
  <c r="CP51" i="5"/>
  <c r="CN52" i="5"/>
  <c r="CO52" i="5"/>
  <c r="CP52" i="5"/>
  <c r="CO54" i="5"/>
  <c r="CN55" i="5"/>
  <c r="CO55" i="5"/>
  <c r="CN56" i="5"/>
  <c r="CO56" i="5"/>
  <c r="CP56" i="5"/>
  <c r="CN57" i="5"/>
  <c r="CO57" i="5"/>
  <c r="CP57" i="5"/>
  <c r="CN58" i="5"/>
  <c r="CO58" i="5"/>
  <c r="CP58" i="5"/>
  <c r="CN59" i="5"/>
  <c r="CO59" i="5"/>
  <c r="CP59" i="5"/>
  <c r="CN60" i="5"/>
  <c r="CO60" i="5"/>
  <c r="CN61" i="5"/>
  <c r="CO61" i="5"/>
  <c r="CP61" i="5"/>
  <c r="CN64" i="5"/>
  <c r="CO64" i="5"/>
  <c r="CP64" i="5"/>
  <c r="CN65" i="5"/>
  <c r="CO65" i="5"/>
  <c r="CP65" i="5"/>
  <c r="CO66" i="5"/>
  <c r="CP66" i="5"/>
  <c r="CO9" i="5"/>
  <c r="CV69" i="5" l="1"/>
  <c r="CV74" i="5" s="1"/>
  <c r="CT69" i="5"/>
  <c r="CT74" i="5" s="1"/>
  <c r="CO69" i="5"/>
  <c r="CO74" i="5" s="1"/>
  <c r="DB69" i="5"/>
  <c r="DB74" i="5" s="1"/>
  <c r="CH13" i="5"/>
  <c r="DA13" i="5" s="1"/>
  <c r="CH60" i="5"/>
  <c r="CH55" i="5"/>
  <c r="CI10" i="5"/>
  <c r="CJ10" i="5"/>
  <c r="CK10" i="5"/>
  <c r="CI12" i="5"/>
  <c r="CJ12" i="5"/>
  <c r="CK12" i="5"/>
  <c r="CI14" i="5"/>
  <c r="CJ14" i="5"/>
  <c r="CK14" i="5"/>
  <c r="CI15" i="5"/>
  <c r="CJ15" i="5"/>
  <c r="CK15" i="5"/>
  <c r="CI19" i="5"/>
  <c r="CJ19" i="5"/>
  <c r="CK19" i="5"/>
  <c r="CI20" i="5"/>
  <c r="CJ20" i="5"/>
  <c r="CK20" i="5"/>
  <c r="CI21" i="5"/>
  <c r="CJ21" i="5"/>
  <c r="CK21" i="5"/>
  <c r="CI22" i="5"/>
  <c r="CJ22" i="5"/>
  <c r="CK22" i="5"/>
  <c r="CI24" i="5"/>
  <c r="CJ24" i="5"/>
  <c r="CK24" i="5"/>
  <c r="CI25" i="5"/>
  <c r="CJ25" i="5"/>
  <c r="CK25" i="5"/>
  <c r="CI26" i="5"/>
  <c r="CJ26" i="5"/>
  <c r="CK26" i="5"/>
  <c r="CI27" i="5"/>
  <c r="CJ27" i="5"/>
  <c r="CK27" i="5"/>
  <c r="CI28" i="5"/>
  <c r="CJ28" i="5"/>
  <c r="CK28" i="5"/>
  <c r="CI29" i="5"/>
  <c r="CJ29" i="5"/>
  <c r="CK29" i="5"/>
  <c r="CI30" i="5"/>
  <c r="CJ30" i="5"/>
  <c r="CK30" i="5"/>
  <c r="CI31" i="5"/>
  <c r="CJ31" i="5"/>
  <c r="CK31" i="5"/>
  <c r="CI33" i="5"/>
  <c r="CJ33" i="5"/>
  <c r="CK33" i="5"/>
  <c r="CI34" i="5"/>
  <c r="CJ34" i="5"/>
  <c r="CK34" i="5"/>
  <c r="CI36" i="5"/>
  <c r="CJ36" i="5"/>
  <c r="CK36" i="5"/>
  <c r="CI37" i="5"/>
  <c r="CJ37" i="5"/>
  <c r="CK37" i="5"/>
  <c r="CI38" i="5"/>
  <c r="CJ38" i="5"/>
  <c r="CK38" i="5"/>
  <c r="CI39" i="5"/>
  <c r="CJ39" i="5"/>
  <c r="CK39" i="5"/>
  <c r="CI40" i="5"/>
  <c r="CJ40" i="5"/>
  <c r="CK40" i="5"/>
  <c r="CI41" i="5"/>
  <c r="CJ41" i="5"/>
  <c r="CK41" i="5"/>
  <c r="CI42" i="5"/>
  <c r="CJ42" i="5"/>
  <c r="CK42" i="5"/>
  <c r="CI43" i="5"/>
  <c r="CJ43" i="5"/>
  <c r="CK43"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6" i="5"/>
  <c r="CJ56" i="5"/>
  <c r="CK56" i="5"/>
  <c r="CI57" i="5"/>
  <c r="CJ57" i="5"/>
  <c r="CK57" i="5"/>
  <c r="CI58" i="5"/>
  <c r="CJ58" i="5"/>
  <c r="CK58" i="5"/>
  <c r="CI59" i="5"/>
  <c r="CJ59" i="5"/>
  <c r="CK59" i="5"/>
  <c r="CI61" i="5"/>
  <c r="CJ61" i="5"/>
  <c r="CK61" i="5"/>
  <c r="CI64" i="5"/>
  <c r="CJ64" i="5"/>
  <c r="CK64" i="5"/>
  <c r="CI65" i="5"/>
  <c r="CJ65" i="5"/>
  <c r="CK65" i="5"/>
  <c r="CJ66" i="5"/>
  <c r="CK66" i="5"/>
  <c r="CH54" i="5"/>
  <c r="CH23" i="5"/>
  <c r="DA23" i="5" s="1"/>
  <c r="CH18" i="5"/>
  <c r="CH11" i="5"/>
  <c r="CH9" i="5"/>
  <c r="CE59" i="5"/>
  <c r="CF59" i="5"/>
  <c r="CE60" i="5"/>
  <c r="CF60" i="5"/>
  <c r="CE61" i="5"/>
  <c r="CF61" i="5"/>
  <c r="CE64" i="5"/>
  <c r="CF64" i="5"/>
  <c r="CE65" i="5"/>
  <c r="CF65" i="5"/>
  <c r="CF66" i="5"/>
  <c r="CH69" i="5" l="1"/>
  <c r="CH74" i="5" s="1"/>
  <c r="CU9" i="5"/>
  <c r="DA9" i="5"/>
  <c r="CU54" i="5"/>
  <c r="DA54" i="5"/>
  <c r="CU11" i="5"/>
  <c r="DA11" i="5"/>
  <c r="CU55" i="5"/>
  <c r="DA55" i="5"/>
  <c r="CU18" i="5"/>
  <c r="DA18" i="5"/>
  <c r="CU60" i="5"/>
  <c r="DA60" i="5"/>
  <c r="CP23" i="5"/>
  <c r="CU23" i="5"/>
  <c r="CP13" i="5"/>
  <c r="CU13" i="5"/>
  <c r="CI9" i="5"/>
  <c r="CP9" i="5"/>
  <c r="CK54" i="5"/>
  <c r="CP54" i="5"/>
  <c r="CI54" i="5"/>
  <c r="CK18" i="5"/>
  <c r="CP18" i="5"/>
  <c r="CI13" i="5"/>
  <c r="CK60" i="5"/>
  <c r="CP60" i="5"/>
  <c r="CK13" i="5"/>
  <c r="CJ11" i="5"/>
  <c r="CP11" i="5"/>
  <c r="CJ13" i="5"/>
  <c r="CK55" i="5"/>
  <c r="CP55" i="5"/>
  <c r="CI18" i="5"/>
  <c r="CK9" i="5"/>
  <c r="CI60" i="5"/>
  <c r="CJ54" i="5"/>
  <c r="CJ18" i="5"/>
  <c r="CJ60" i="5"/>
  <c r="CJ9" i="5"/>
  <c r="CJ55" i="5"/>
  <c r="CI23" i="5"/>
  <c r="CK11" i="5"/>
  <c r="CJ23" i="5"/>
  <c r="CK23" i="5"/>
  <c r="CI11" i="5"/>
  <c r="CI55" i="5"/>
  <c r="CE10" i="5"/>
  <c r="CF10" i="5"/>
  <c r="CE11" i="5"/>
  <c r="CF11" i="5"/>
  <c r="CE12" i="5"/>
  <c r="CF12" i="5"/>
  <c r="CE13" i="5"/>
  <c r="CF13" i="5"/>
  <c r="CE14" i="5"/>
  <c r="CF14" i="5"/>
  <c r="CE15" i="5"/>
  <c r="CF15" i="5"/>
  <c r="CE18" i="5"/>
  <c r="CF18" i="5"/>
  <c r="CE19" i="5"/>
  <c r="CF19" i="5"/>
  <c r="CE20" i="5"/>
  <c r="CF20" i="5"/>
  <c r="CE21" i="5"/>
  <c r="CF21" i="5"/>
  <c r="CE22" i="5"/>
  <c r="CF22" i="5"/>
  <c r="CE23" i="5"/>
  <c r="CF23" i="5"/>
  <c r="CE24" i="5"/>
  <c r="CF24" i="5"/>
  <c r="CE25" i="5"/>
  <c r="CF25" i="5"/>
  <c r="CE26" i="5"/>
  <c r="CF26" i="5"/>
  <c r="CE27" i="5"/>
  <c r="CF27" i="5"/>
  <c r="CE28" i="5"/>
  <c r="CF28" i="5"/>
  <c r="CE29" i="5"/>
  <c r="CF29" i="5"/>
  <c r="CE30" i="5"/>
  <c r="CF30" i="5"/>
  <c r="CE31" i="5"/>
  <c r="CF31" i="5"/>
  <c r="CE33" i="5"/>
  <c r="CF33" i="5"/>
  <c r="CE34" i="5"/>
  <c r="CF34" i="5"/>
  <c r="CE36" i="5"/>
  <c r="CF36" i="5"/>
  <c r="CE37" i="5"/>
  <c r="CF37" i="5"/>
  <c r="CE38" i="5"/>
  <c r="CF38" i="5"/>
  <c r="CE39" i="5"/>
  <c r="CF39" i="5"/>
  <c r="CE40" i="5"/>
  <c r="CF40" i="5"/>
  <c r="CE41" i="5"/>
  <c r="CF41" i="5"/>
  <c r="CE42" i="5"/>
  <c r="CF42" i="5"/>
  <c r="CE43" i="5"/>
  <c r="CF43" i="5"/>
  <c r="CE44" i="5"/>
  <c r="CF44" i="5"/>
  <c r="CE45" i="5"/>
  <c r="CF45" i="5"/>
  <c r="CE46" i="5"/>
  <c r="CF46" i="5"/>
  <c r="CE47" i="5"/>
  <c r="CF47" i="5"/>
  <c r="CE48" i="5"/>
  <c r="CF48" i="5"/>
  <c r="CE49" i="5"/>
  <c r="CF49" i="5"/>
  <c r="CE50" i="5"/>
  <c r="CF50" i="5"/>
  <c r="CE51" i="5"/>
  <c r="CF51" i="5"/>
  <c r="CE52" i="5"/>
  <c r="CF52" i="5"/>
  <c r="CE54" i="5"/>
  <c r="CF54" i="5"/>
  <c r="CE55" i="5"/>
  <c r="CF55" i="5"/>
  <c r="CE56" i="5"/>
  <c r="CF56" i="5"/>
  <c r="CE57" i="5"/>
  <c r="CF57" i="5"/>
  <c r="CE58" i="5"/>
  <c r="CF58" i="5"/>
  <c r="CF9" i="5"/>
  <c r="CE9" i="5"/>
  <c r="CB58" i="5"/>
  <c r="CB15" i="5"/>
  <c r="BU69" i="5"/>
  <c r="BU74" i="5" s="1"/>
  <c r="BW69" i="5"/>
  <c r="BW74" i="5" s="1"/>
  <c r="BY69" i="5"/>
  <c r="BY74" i="5" s="1"/>
  <c r="BM69" i="5"/>
  <c r="BM74" i="5" s="1"/>
  <c r="BL9" i="5"/>
  <c r="BN9" i="5" s="1"/>
  <c r="BV9" i="5" s="1"/>
  <c r="BX9" i="5" s="1"/>
  <c r="BL10" i="5"/>
  <c r="BN10" i="5" s="1"/>
  <c r="BV10" i="5" s="1"/>
  <c r="BX10" i="5" s="1"/>
  <c r="BL11" i="5"/>
  <c r="BN11" i="5" s="1"/>
  <c r="BR11" i="5" s="1"/>
  <c r="BL12" i="5"/>
  <c r="BN12" i="5" s="1"/>
  <c r="BQ12" i="5" s="1"/>
  <c r="BL13" i="5"/>
  <c r="BN13" i="5" s="1"/>
  <c r="BV13" i="5" s="1"/>
  <c r="BX13" i="5" s="1"/>
  <c r="BL14" i="5"/>
  <c r="BN14" i="5" s="1"/>
  <c r="BV14" i="5" s="1"/>
  <c r="BX14" i="5" s="1"/>
  <c r="BL15" i="5"/>
  <c r="BN15" i="5" s="1"/>
  <c r="BR15" i="5" s="1"/>
  <c r="BL18" i="5"/>
  <c r="BN18" i="5" s="1"/>
  <c r="BQ18" i="5" s="1"/>
  <c r="BL19" i="5"/>
  <c r="BN19" i="5" s="1"/>
  <c r="BV19" i="5" s="1"/>
  <c r="BX19" i="5" s="1"/>
  <c r="BL20" i="5"/>
  <c r="BN20" i="5" s="1"/>
  <c r="BV20" i="5" s="1"/>
  <c r="BX20" i="5" s="1"/>
  <c r="BL21" i="5"/>
  <c r="BN21" i="5" s="1"/>
  <c r="BV21" i="5" s="1"/>
  <c r="BX21" i="5" s="1"/>
  <c r="BL22" i="5"/>
  <c r="BN22" i="5" s="1"/>
  <c r="BQ22" i="5" s="1"/>
  <c r="BL23" i="5"/>
  <c r="BN23" i="5" s="1"/>
  <c r="BV23" i="5" s="1"/>
  <c r="BX23" i="5" s="1"/>
  <c r="BL24" i="5"/>
  <c r="BN24" i="5" s="1"/>
  <c r="BV24" i="5" s="1"/>
  <c r="BX24" i="5" s="1"/>
  <c r="BL25" i="5"/>
  <c r="BN25" i="5" s="1"/>
  <c r="BV25" i="5" s="1"/>
  <c r="BX25" i="5" s="1"/>
  <c r="BL26" i="5"/>
  <c r="BN26" i="5" s="1"/>
  <c r="BQ26" i="5" s="1"/>
  <c r="BL27" i="5"/>
  <c r="BN27" i="5" s="1"/>
  <c r="BV27" i="5" s="1"/>
  <c r="BX27" i="5" s="1"/>
  <c r="BL28" i="5"/>
  <c r="BN28" i="5" s="1"/>
  <c r="BV28" i="5" s="1"/>
  <c r="BX28" i="5" s="1"/>
  <c r="BL29" i="5"/>
  <c r="BN29" i="5" s="1"/>
  <c r="BV29" i="5" s="1"/>
  <c r="BX29" i="5" s="1"/>
  <c r="BL30" i="5"/>
  <c r="BN30" i="5" s="1"/>
  <c r="BQ30" i="5" s="1"/>
  <c r="BL31" i="5"/>
  <c r="BN31" i="5" s="1"/>
  <c r="BV31" i="5" s="1"/>
  <c r="BX31" i="5" s="1"/>
  <c r="BL33" i="5"/>
  <c r="BN33" i="5" s="1"/>
  <c r="BV33" i="5" s="1"/>
  <c r="BX33" i="5" s="1"/>
  <c r="BL34" i="5"/>
  <c r="BN34" i="5" s="1"/>
  <c r="BV34" i="5" s="1"/>
  <c r="BX34" i="5" s="1"/>
  <c r="BL36" i="5"/>
  <c r="BN36" i="5" s="1"/>
  <c r="BQ36" i="5" s="1"/>
  <c r="BL37" i="5"/>
  <c r="BN37" i="5" s="1"/>
  <c r="BV37" i="5" s="1"/>
  <c r="BX37" i="5" s="1"/>
  <c r="BL38" i="5"/>
  <c r="BN38" i="5" s="1"/>
  <c r="BV38" i="5" s="1"/>
  <c r="BX38" i="5" s="1"/>
  <c r="BL39" i="5"/>
  <c r="BN39" i="5" s="1"/>
  <c r="BV39" i="5" s="1"/>
  <c r="BX39" i="5" s="1"/>
  <c r="BL40" i="5"/>
  <c r="BN40" i="5" s="1"/>
  <c r="BV40" i="5" s="1"/>
  <c r="BX40" i="5" s="1"/>
  <c r="BL41" i="5"/>
  <c r="BN41" i="5" s="1"/>
  <c r="BV41" i="5" s="1"/>
  <c r="BX41" i="5" s="1"/>
  <c r="BL42" i="5"/>
  <c r="BN42" i="5" s="1"/>
  <c r="BV42" i="5" s="1"/>
  <c r="BX42" i="5" s="1"/>
  <c r="BL43" i="5"/>
  <c r="BN43" i="5" s="1"/>
  <c r="BV43" i="5" s="1"/>
  <c r="BX43" i="5" s="1"/>
  <c r="BL44" i="5"/>
  <c r="BN44" i="5" s="1"/>
  <c r="BV44" i="5" s="1"/>
  <c r="BX44" i="5" s="1"/>
  <c r="BL45" i="5"/>
  <c r="BN45" i="5" s="1"/>
  <c r="BV45" i="5" s="1"/>
  <c r="BX45" i="5" s="1"/>
  <c r="BL46" i="5"/>
  <c r="BN46" i="5" s="1"/>
  <c r="BV46" i="5" s="1"/>
  <c r="BX46" i="5" s="1"/>
  <c r="BL47" i="5"/>
  <c r="BN47" i="5" s="1"/>
  <c r="BV47" i="5" s="1"/>
  <c r="BX47" i="5" s="1"/>
  <c r="BL48" i="5"/>
  <c r="BN48" i="5" s="1"/>
  <c r="BV48" i="5" s="1"/>
  <c r="BX48" i="5" s="1"/>
  <c r="BL49" i="5"/>
  <c r="BN49" i="5" s="1"/>
  <c r="BV49" i="5" s="1"/>
  <c r="BX49" i="5" s="1"/>
  <c r="BL50" i="5"/>
  <c r="BN50" i="5" s="1"/>
  <c r="BV50" i="5" s="1"/>
  <c r="BX50" i="5" s="1"/>
  <c r="BL51" i="5"/>
  <c r="BN51" i="5" s="1"/>
  <c r="BV51" i="5" s="1"/>
  <c r="BX51" i="5" s="1"/>
  <c r="BL52" i="5"/>
  <c r="BN52" i="5" s="1"/>
  <c r="BV52" i="5" s="1"/>
  <c r="BX52" i="5" s="1"/>
  <c r="BL54" i="5"/>
  <c r="BN54" i="5" s="1"/>
  <c r="BV54" i="5" s="1"/>
  <c r="BX54" i="5" s="1"/>
  <c r="BL55" i="5"/>
  <c r="BN55" i="5" s="1"/>
  <c r="BV55" i="5" s="1"/>
  <c r="BX55" i="5" s="1"/>
  <c r="BL56" i="5"/>
  <c r="BN56" i="5" s="1"/>
  <c r="BV56" i="5" s="1"/>
  <c r="BX56" i="5" s="1"/>
  <c r="BL57" i="5"/>
  <c r="BN57" i="5" s="1"/>
  <c r="BV57" i="5" s="1"/>
  <c r="BX57" i="5" s="1"/>
  <c r="BL59" i="5"/>
  <c r="BN59" i="5" s="1"/>
  <c r="BV59" i="5" s="1"/>
  <c r="BX59" i="5" s="1"/>
  <c r="BL60" i="5"/>
  <c r="BN60" i="5" s="1"/>
  <c r="BV60" i="5" s="1"/>
  <c r="BX60" i="5" s="1"/>
  <c r="BL61" i="5"/>
  <c r="BN61" i="5" s="1"/>
  <c r="BV61" i="5" s="1"/>
  <c r="BX61" i="5" s="1"/>
  <c r="BL64" i="5"/>
  <c r="BN64" i="5" s="1"/>
  <c r="BV64" i="5" s="1"/>
  <c r="BX64" i="5" s="1"/>
  <c r="BL65" i="5"/>
  <c r="BN65" i="5" s="1"/>
  <c r="BV65" i="5" s="1"/>
  <c r="BX65" i="5" s="1"/>
  <c r="BL66" i="5"/>
  <c r="BN66" i="5" s="1"/>
  <c r="BV66" i="5" s="1"/>
  <c r="BX66" i="5" s="1"/>
  <c r="BD48" i="5"/>
  <c r="BH48" i="5" s="1"/>
  <c r="BD34" i="5"/>
  <c r="BF34" i="5" s="1"/>
  <c r="BD23" i="5"/>
  <c r="AJ51" i="5"/>
  <c r="AK51" i="5"/>
  <c r="AJ31" i="5"/>
  <c r="AM31" i="5" s="1"/>
  <c r="AJ25" i="5"/>
  <c r="AM25" i="5" s="1"/>
  <c r="AJ22" i="5"/>
  <c r="AM22" i="5" s="1"/>
  <c r="AJ11" i="5"/>
  <c r="AM11" i="5" s="1"/>
  <c r="BK69" i="5"/>
  <c r="BK74" i="5" s="1"/>
  <c r="BF10" i="5"/>
  <c r="BG10" i="5"/>
  <c r="BH10" i="5"/>
  <c r="BF11" i="5"/>
  <c r="BG11" i="5"/>
  <c r="BH11" i="5"/>
  <c r="BE12" i="5"/>
  <c r="BF12" i="5"/>
  <c r="BG12" i="5"/>
  <c r="BH12" i="5"/>
  <c r="BF13" i="5"/>
  <c r="BG13" i="5"/>
  <c r="BH13" i="5"/>
  <c r="BF14" i="5"/>
  <c r="BG14" i="5"/>
  <c r="BH14" i="5"/>
  <c r="BF15" i="5"/>
  <c r="BG15" i="5"/>
  <c r="BH15" i="5"/>
  <c r="BF18" i="5"/>
  <c r="BG18" i="5"/>
  <c r="BH18" i="5"/>
  <c r="BF19" i="5"/>
  <c r="BG19" i="5"/>
  <c r="BH19" i="5"/>
  <c r="BF20" i="5"/>
  <c r="BG20" i="5"/>
  <c r="BH20" i="5"/>
  <c r="BF21" i="5"/>
  <c r="BG21" i="5"/>
  <c r="BH21" i="5"/>
  <c r="BF22" i="5"/>
  <c r="BG22" i="5"/>
  <c r="BH22" i="5"/>
  <c r="BF24" i="5"/>
  <c r="BG24" i="5"/>
  <c r="BH24" i="5"/>
  <c r="BF25" i="5"/>
  <c r="BG25" i="5"/>
  <c r="BH25" i="5"/>
  <c r="BF26" i="5"/>
  <c r="BG26" i="5"/>
  <c r="BH26" i="5"/>
  <c r="BF27" i="5"/>
  <c r="BG27" i="5"/>
  <c r="BH27" i="5"/>
  <c r="BF28" i="5"/>
  <c r="BG28" i="5"/>
  <c r="BH28" i="5"/>
  <c r="BF29" i="5"/>
  <c r="BG29" i="5"/>
  <c r="BH29" i="5"/>
  <c r="BF30" i="5"/>
  <c r="BG30" i="5"/>
  <c r="BH30" i="5"/>
  <c r="BF31" i="5"/>
  <c r="BG31" i="5"/>
  <c r="BH31" i="5"/>
  <c r="BF33" i="5"/>
  <c r="BG33" i="5"/>
  <c r="BH33" i="5"/>
  <c r="BF36" i="5"/>
  <c r="BG36" i="5"/>
  <c r="BH36" i="5"/>
  <c r="BF37" i="5"/>
  <c r="BG37" i="5"/>
  <c r="BH37" i="5"/>
  <c r="BF38" i="5"/>
  <c r="BG38" i="5"/>
  <c r="BH38" i="5"/>
  <c r="BF39" i="5"/>
  <c r="BG39" i="5"/>
  <c r="BH39" i="5"/>
  <c r="BF40" i="5"/>
  <c r="BG40" i="5"/>
  <c r="BH40" i="5"/>
  <c r="BF41" i="5"/>
  <c r="BG41" i="5"/>
  <c r="BH41" i="5"/>
  <c r="BF42" i="5"/>
  <c r="BG42" i="5"/>
  <c r="BH42" i="5"/>
  <c r="BF43" i="5"/>
  <c r="BG43" i="5"/>
  <c r="BH43" i="5"/>
  <c r="BF44" i="5"/>
  <c r="BG44" i="5"/>
  <c r="BH44" i="5"/>
  <c r="BE45" i="5"/>
  <c r="BF45" i="5"/>
  <c r="BG45" i="5"/>
  <c r="BH45" i="5"/>
  <c r="BF46" i="5"/>
  <c r="BG46" i="5"/>
  <c r="BH46" i="5"/>
  <c r="BF47" i="5"/>
  <c r="BG47" i="5"/>
  <c r="BH47" i="5"/>
  <c r="BF49" i="5"/>
  <c r="BG49" i="5"/>
  <c r="BH49" i="5"/>
  <c r="BF50" i="5"/>
  <c r="BG50" i="5"/>
  <c r="BH50" i="5"/>
  <c r="BF51" i="5"/>
  <c r="BG51" i="5"/>
  <c r="BH51" i="5"/>
  <c r="BF52" i="5"/>
  <c r="BG52" i="5"/>
  <c r="BH52" i="5"/>
  <c r="BH9" i="5"/>
  <c r="BH54" i="5"/>
  <c r="BH55" i="5"/>
  <c r="BH56" i="5"/>
  <c r="BH57" i="5"/>
  <c r="BH59" i="5"/>
  <c r="BH60" i="5"/>
  <c r="BH61" i="5"/>
  <c r="BH64" i="5"/>
  <c r="BH65" i="5"/>
  <c r="BH66" i="5"/>
  <c r="BF54" i="5"/>
  <c r="BG54" i="5"/>
  <c r="BF55" i="5"/>
  <c r="BG55" i="5"/>
  <c r="BF56" i="5"/>
  <c r="BG56" i="5"/>
  <c r="BF57" i="5"/>
  <c r="BG57" i="5"/>
  <c r="BF59" i="5"/>
  <c r="BG59" i="5"/>
  <c r="BF60" i="5"/>
  <c r="BG60" i="5"/>
  <c r="BF61" i="5"/>
  <c r="BG61" i="5"/>
  <c r="BF64" i="5"/>
  <c r="BG64" i="5"/>
  <c r="BF65" i="5"/>
  <c r="BG65" i="5"/>
  <c r="BF66" i="5"/>
  <c r="BG66" i="5"/>
  <c r="BG9" i="5"/>
  <c r="BF9" i="5"/>
  <c r="BJ69" i="5"/>
  <c r="BJ74" i="5" s="1"/>
  <c r="BA10" i="5"/>
  <c r="BB10" i="5"/>
  <c r="BA11" i="5"/>
  <c r="BB11" i="5"/>
  <c r="BA12" i="5"/>
  <c r="BB12" i="5"/>
  <c r="BA13" i="5"/>
  <c r="BB13" i="5"/>
  <c r="BA14" i="5"/>
  <c r="BB14" i="5"/>
  <c r="BA15" i="5"/>
  <c r="BB15" i="5"/>
  <c r="BA18" i="5"/>
  <c r="BB18" i="5"/>
  <c r="BA19" i="5"/>
  <c r="BB19" i="5"/>
  <c r="BA20" i="5"/>
  <c r="BB20" i="5"/>
  <c r="BA21" i="5"/>
  <c r="BB21" i="5"/>
  <c r="BA22" i="5"/>
  <c r="BA9" i="5"/>
  <c r="BA23" i="5"/>
  <c r="BA24" i="5"/>
  <c r="BA25" i="5"/>
  <c r="BA26" i="5"/>
  <c r="BA27" i="5"/>
  <c r="BA28" i="5"/>
  <c r="BA29" i="5"/>
  <c r="BA30" i="5"/>
  <c r="BA31" i="5"/>
  <c r="BA33" i="5"/>
  <c r="BA34" i="5"/>
  <c r="BA36" i="5"/>
  <c r="BA37" i="5"/>
  <c r="BA38" i="5"/>
  <c r="BA39" i="5"/>
  <c r="BA40" i="5"/>
  <c r="BA41" i="5"/>
  <c r="BA42" i="5"/>
  <c r="BA44" i="5"/>
  <c r="BA45" i="5"/>
  <c r="BA46" i="5"/>
  <c r="BA47" i="5"/>
  <c r="BA48" i="5"/>
  <c r="BA49" i="5"/>
  <c r="BA50" i="5"/>
  <c r="BA51" i="5"/>
  <c r="BA52" i="5"/>
  <c r="BA54" i="5"/>
  <c r="BA55" i="5"/>
  <c r="BA56" i="5"/>
  <c r="BA57" i="5"/>
  <c r="BA59" i="5"/>
  <c r="BA60" i="5"/>
  <c r="BA61" i="5"/>
  <c r="BA64" i="5"/>
  <c r="BA65" i="5"/>
  <c r="BA66" i="5"/>
  <c r="BB22" i="5"/>
  <c r="BB23" i="5"/>
  <c r="BB24" i="5"/>
  <c r="BB25" i="5"/>
  <c r="BB26" i="5"/>
  <c r="BB27" i="5"/>
  <c r="BB28" i="5"/>
  <c r="BB29" i="5"/>
  <c r="BB30" i="5"/>
  <c r="BB31" i="5"/>
  <c r="BB33" i="5"/>
  <c r="BB34" i="5"/>
  <c r="BB36" i="5"/>
  <c r="BB37" i="5"/>
  <c r="BB38" i="5"/>
  <c r="BB39" i="5"/>
  <c r="BB40" i="5"/>
  <c r="BB41" i="5"/>
  <c r="BB42" i="5"/>
  <c r="BB43" i="5"/>
  <c r="BB44" i="5"/>
  <c r="BB45" i="5"/>
  <c r="BB46" i="5"/>
  <c r="BB47" i="5"/>
  <c r="BB48" i="5"/>
  <c r="BB49" i="5"/>
  <c r="BB50" i="5"/>
  <c r="BB51" i="5"/>
  <c r="BB52" i="5"/>
  <c r="BB9" i="5"/>
  <c r="BB54" i="5"/>
  <c r="BB55" i="5"/>
  <c r="BB56" i="5"/>
  <c r="BB57" i="5"/>
  <c r="BB59" i="5"/>
  <c r="BB60" i="5"/>
  <c r="BB61" i="5"/>
  <c r="BB64" i="5"/>
  <c r="BB65" i="5"/>
  <c r="BB66" i="5"/>
  <c r="AZ12" i="5"/>
  <c r="AZ23" i="5"/>
  <c r="AZ45" i="5"/>
  <c r="AV45" i="5"/>
  <c r="AY69" i="5"/>
  <c r="AY74" i="5" s="1"/>
  <c r="AV37" i="5"/>
  <c r="AW37" i="5"/>
  <c r="AV38" i="5"/>
  <c r="AW38" i="5"/>
  <c r="AV39" i="5"/>
  <c r="AW39" i="5"/>
  <c r="AV40" i="5"/>
  <c r="AW40" i="5"/>
  <c r="AW10" i="5"/>
  <c r="AW9" i="5"/>
  <c r="AW11" i="5"/>
  <c r="AW12" i="5"/>
  <c r="AW13" i="5"/>
  <c r="AW14" i="5"/>
  <c r="AW15" i="5"/>
  <c r="AW18" i="5"/>
  <c r="AW19" i="5"/>
  <c r="AW20" i="5"/>
  <c r="AW21" i="5"/>
  <c r="AW22" i="5"/>
  <c r="AW23" i="5"/>
  <c r="AW24" i="5"/>
  <c r="AW25" i="5"/>
  <c r="AW26" i="5"/>
  <c r="AW27" i="5"/>
  <c r="AW28" i="5"/>
  <c r="AW29" i="5"/>
  <c r="AW30" i="5"/>
  <c r="AW31" i="5"/>
  <c r="AW33" i="5"/>
  <c r="AW34" i="5"/>
  <c r="AW36" i="5"/>
  <c r="AW41" i="5"/>
  <c r="AW42" i="5"/>
  <c r="AW43" i="5"/>
  <c r="AW44" i="5"/>
  <c r="AW46" i="5"/>
  <c r="AW47" i="5"/>
  <c r="AW48" i="5"/>
  <c r="AW49" i="5"/>
  <c r="AW50" i="5"/>
  <c r="AW51" i="5"/>
  <c r="AW52" i="5"/>
  <c r="AW54" i="5"/>
  <c r="AW55" i="5"/>
  <c r="AW56" i="5"/>
  <c r="AW57" i="5"/>
  <c r="AW59" i="5"/>
  <c r="AW60" i="5"/>
  <c r="AW61" i="5"/>
  <c r="AW64" i="5"/>
  <c r="AW65" i="5"/>
  <c r="AW66" i="5"/>
  <c r="AV10" i="5"/>
  <c r="AV11" i="5"/>
  <c r="AU12" i="5"/>
  <c r="AV12" i="5"/>
  <c r="AV13" i="5"/>
  <c r="AV14" i="5"/>
  <c r="AV15" i="5"/>
  <c r="AV18" i="5"/>
  <c r="AV19" i="5"/>
  <c r="AV20" i="5"/>
  <c r="AV21" i="5"/>
  <c r="AV22" i="5"/>
  <c r="AV23" i="5"/>
  <c r="AV24" i="5"/>
  <c r="AV25" i="5"/>
  <c r="AV26" i="5"/>
  <c r="AV27" i="5"/>
  <c r="AV28" i="5"/>
  <c r="AV29" i="5"/>
  <c r="AV30" i="5"/>
  <c r="AV31" i="5"/>
  <c r="AV33" i="5"/>
  <c r="AV34" i="5"/>
  <c r="AV36" i="5"/>
  <c r="AV41" i="5"/>
  <c r="AV42" i="5"/>
  <c r="AV43" i="5"/>
  <c r="AV44" i="5"/>
  <c r="AV46" i="5"/>
  <c r="AV47" i="5"/>
  <c r="AV48" i="5"/>
  <c r="AV49" i="5"/>
  <c r="AV50" i="5"/>
  <c r="AV51" i="5"/>
  <c r="AV52" i="5"/>
  <c r="AV54" i="5"/>
  <c r="AV55" i="5"/>
  <c r="AV56" i="5"/>
  <c r="AV57" i="5"/>
  <c r="AV59" i="5"/>
  <c r="AV60" i="5"/>
  <c r="AV61" i="5"/>
  <c r="AV64" i="5"/>
  <c r="AV65" i="5"/>
  <c r="AV66" i="5"/>
  <c r="AV9" i="5"/>
  <c r="AT69" i="5"/>
  <c r="AT74" i="5" s="1"/>
  <c r="AS10" i="5"/>
  <c r="AS11" i="5"/>
  <c r="AS12" i="5"/>
  <c r="AS13" i="5"/>
  <c r="AS14" i="5"/>
  <c r="AS15" i="5"/>
  <c r="AS18" i="5"/>
  <c r="AS19" i="5"/>
  <c r="AS20" i="5"/>
  <c r="AS21" i="5"/>
  <c r="AS22" i="5"/>
  <c r="AS23" i="5"/>
  <c r="AS24" i="5"/>
  <c r="AS25" i="5"/>
  <c r="AS26" i="5"/>
  <c r="AS27" i="5"/>
  <c r="AS28" i="5"/>
  <c r="AS29" i="5"/>
  <c r="AS30" i="5"/>
  <c r="AS31" i="5"/>
  <c r="AS33" i="5"/>
  <c r="AS34" i="5"/>
  <c r="AS36" i="5"/>
  <c r="AS37" i="5"/>
  <c r="AS38" i="5"/>
  <c r="AS39" i="5"/>
  <c r="AS40" i="5"/>
  <c r="AS41" i="5"/>
  <c r="AS42" i="5"/>
  <c r="AS43" i="5"/>
  <c r="AS44" i="5"/>
  <c r="AS46" i="5"/>
  <c r="AS47" i="5"/>
  <c r="AS48" i="5"/>
  <c r="AS49" i="5"/>
  <c r="AS50" i="5"/>
  <c r="AS51" i="5"/>
  <c r="AS52" i="5"/>
  <c r="AS54" i="5"/>
  <c r="AS55" i="5"/>
  <c r="AS56" i="5"/>
  <c r="AS57" i="5"/>
  <c r="AS59" i="5"/>
  <c r="AS60" i="5"/>
  <c r="AS61" i="5"/>
  <c r="AS64" i="5"/>
  <c r="AS65" i="5"/>
  <c r="AS66" i="5"/>
  <c r="AS9" i="5"/>
  <c r="AQ69" i="5"/>
  <c r="AQ74" i="5" s="1"/>
  <c r="AR12" i="5"/>
  <c r="AO12" i="5"/>
  <c r="AK9" i="5"/>
  <c r="AK48" i="5"/>
  <c r="AK34" i="5"/>
  <c r="AK23" i="5"/>
  <c r="AK20" i="5"/>
  <c r="AN69" i="5"/>
  <c r="AN74" i="5" s="1"/>
  <c r="AL69" i="5"/>
  <c r="AL74" i="5" s="1"/>
  <c r="AI69" i="5"/>
  <c r="AI74" i="5" s="1"/>
  <c r="AJ10" i="5"/>
  <c r="AM10" i="5" s="1"/>
  <c r="AJ13" i="5"/>
  <c r="AM13" i="5" s="1"/>
  <c r="AJ14" i="5"/>
  <c r="AM14" i="5" s="1"/>
  <c r="AJ15" i="5"/>
  <c r="AM15" i="5" s="1"/>
  <c r="AJ19" i="5"/>
  <c r="AM19" i="5" s="1"/>
  <c r="AJ20" i="5"/>
  <c r="AJ23" i="5"/>
  <c r="AO23" i="5"/>
  <c r="AJ24" i="5"/>
  <c r="AM24" i="5" s="1"/>
  <c r="AJ27" i="5"/>
  <c r="AM27" i="5" s="1"/>
  <c r="AJ28" i="5"/>
  <c r="AM28" i="5" s="1"/>
  <c r="AJ29" i="5"/>
  <c r="AM29" i="5" s="1"/>
  <c r="AJ30" i="5"/>
  <c r="AM30" i="5" s="1"/>
  <c r="AJ36" i="5"/>
  <c r="AM36" i="5" s="1"/>
  <c r="AJ37" i="5"/>
  <c r="AM37" i="5" s="1"/>
  <c r="AJ38" i="5"/>
  <c r="AM38" i="5" s="1"/>
  <c r="AJ39" i="5"/>
  <c r="AM39" i="5" s="1"/>
  <c r="AJ40" i="5"/>
  <c r="AM40" i="5" s="1"/>
  <c r="AJ41" i="5"/>
  <c r="AM41" i="5" s="1"/>
  <c r="AJ42" i="5"/>
  <c r="AM42" i="5" s="1"/>
  <c r="AJ43" i="5"/>
  <c r="AM43" i="5" s="1"/>
  <c r="AJ44" i="5"/>
  <c r="AM44" i="5" s="1"/>
  <c r="AJ46" i="5"/>
  <c r="AM46" i="5" s="1"/>
  <c r="AJ47" i="5"/>
  <c r="AM47" i="5" s="1"/>
  <c r="AJ49" i="5"/>
  <c r="AM49" i="5" s="1"/>
  <c r="AJ50" i="5"/>
  <c r="AM50" i="5" s="1"/>
  <c r="AJ52" i="5"/>
  <c r="AM52" i="5" s="1"/>
  <c r="AJ55" i="5"/>
  <c r="AM55" i="5" s="1"/>
  <c r="AJ56" i="5"/>
  <c r="AM56" i="5" s="1"/>
  <c r="AJ57" i="5"/>
  <c r="AM57" i="5" s="1"/>
  <c r="AJ59" i="5"/>
  <c r="AM59" i="5" s="1"/>
  <c r="AJ60" i="5"/>
  <c r="AM60" i="5" s="1"/>
  <c r="AJ61" i="5"/>
  <c r="AM61" i="5" s="1"/>
  <c r="AJ64" i="5"/>
  <c r="AM64" i="5" s="1"/>
  <c r="AJ66" i="5"/>
  <c r="AM66" i="5" s="1"/>
  <c r="AG9" i="5"/>
  <c r="AH9" i="5" s="1"/>
  <c r="AF10" i="5"/>
  <c r="AF11" i="5"/>
  <c r="AF13" i="5"/>
  <c r="AF14" i="5"/>
  <c r="AF15" i="5"/>
  <c r="AF19" i="5"/>
  <c r="AF20" i="5"/>
  <c r="AF22" i="5"/>
  <c r="AF23" i="5"/>
  <c r="AF24" i="5"/>
  <c r="AF25" i="5"/>
  <c r="AF27" i="5"/>
  <c r="AF28" i="5"/>
  <c r="AF29" i="5"/>
  <c r="AF30" i="5"/>
  <c r="AF31" i="5"/>
  <c r="AF36" i="5"/>
  <c r="AF37" i="5"/>
  <c r="AF38" i="5"/>
  <c r="AF39" i="5"/>
  <c r="AF40" i="5"/>
  <c r="AF41" i="5"/>
  <c r="AF42" i="5"/>
  <c r="AF43" i="5"/>
  <c r="AF44" i="5"/>
  <c r="AF46" i="5"/>
  <c r="AF47" i="5"/>
  <c r="AF49" i="5"/>
  <c r="AF50" i="5"/>
  <c r="AF51" i="5"/>
  <c r="AF52" i="5"/>
  <c r="AF55" i="5"/>
  <c r="AF56" i="5"/>
  <c r="AF57" i="5"/>
  <c r="AF59" i="5"/>
  <c r="AF60" i="5"/>
  <c r="AF61" i="5"/>
  <c r="AF64" i="5"/>
  <c r="AF66" i="5"/>
  <c r="AH10" i="5"/>
  <c r="AH11" i="5"/>
  <c r="AH13" i="5"/>
  <c r="AH14" i="5"/>
  <c r="AH15" i="5"/>
  <c r="AH19" i="5"/>
  <c r="AH20" i="5"/>
  <c r="AH22" i="5"/>
  <c r="AG18" i="5"/>
  <c r="AJ18" i="5" s="1"/>
  <c r="AM18" i="5" s="1"/>
  <c r="AC18" i="5"/>
  <c r="AD18" i="5" s="1"/>
  <c r="AG21" i="5"/>
  <c r="AH21" i="5" s="1"/>
  <c r="AH23" i="5"/>
  <c r="D24" i="5"/>
  <c r="AH25" i="5"/>
  <c r="AG26" i="5"/>
  <c r="AH26" i="5" s="1"/>
  <c r="AH27" i="5"/>
  <c r="AH28" i="5"/>
  <c r="AH29" i="5"/>
  <c r="AH30" i="5"/>
  <c r="AH31" i="5"/>
  <c r="AG33" i="5"/>
  <c r="AJ33" i="5" s="1"/>
  <c r="AM33" i="5" s="1"/>
  <c r="AG34" i="5"/>
  <c r="AJ34" i="5" s="1"/>
  <c r="AH36" i="5"/>
  <c r="AH37" i="5"/>
  <c r="AH38" i="5"/>
  <c r="AH39" i="5"/>
  <c r="AH40" i="5"/>
  <c r="AH41" i="5"/>
  <c r="AH42" i="5"/>
  <c r="AH43" i="5"/>
  <c r="AH44" i="5"/>
  <c r="AH46" i="5"/>
  <c r="AH47" i="5"/>
  <c r="AG48" i="5"/>
  <c r="AJ48" i="5" s="1"/>
  <c r="AH49" i="5"/>
  <c r="AH50" i="5"/>
  <c r="AH51" i="5"/>
  <c r="AH52" i="5"/>
  <c r="AG54" i="5"/>
  <c r="AJ54" i="5" s="1"/>
  <c r="AM54" i="5" s="1"/>
  <c r="AH55" i="5"/>
  <c r="AH56" i="5"/>
  <c r="AH57" i="5"/>
  <c r="AH59" i="5"/>
  <c r="AH60" i="5"/>
  <c r="AH61" i="5"/>
  <c r="AH64" i="5"/>
  <c r="AG65" i="5"/>
  <c r="AH65" i="5" s="1"/>
  <c r="AH66" i="5"/>
  <c r="AD10" i="5"/>
  <c r="AE10" i="5"/>
  <c r="AD11" i="5"/>
  <c r="AE11" i="5"/>
  <c r="AD13" i="5"/>
  <c r="AE13" i="5"/>
  <c r="AD14" i="5"/>
  <c r="AE14" i="5"/>
  <c r="AD15" i="5"/>
  <c r="AE15" i="5"/>
  <c r="AD19" i="5"/>
  <c r="AE19" i="5"/>
  <c r="AD20" i="5"/>
  <c r="AE20" i="5"/>
  <c r="AD22" i="5"/>
  <c r="AE22" i="5"/>
  <c r="AD23" i="5"/>
  <c r="AE23" i="5"/>
  <c r="AE24" i="5"/>
  <c r="AD25" i="5"/>
  <c r="AE25" i="5"/>
  <c r="AD27" i="5"/>
  <c r="AE27" i="5"/>
  <c r="AD28" i="5"/>
  <c r="AE28" i="5"/>
  <c r="AD29" i="5"/>
  <c r="AE29" i="5"/>
  <c r="AD30" i="5"/>
  <c r="AE30" i="5"/>
  <c r="AD31" i="5"/>
  <c r="AE31" i="5"/>
  <c r="AD36" i="5"/>
  <c r="AE36" i="5"/>
  <c r="AD37" i="5"/>
  <c r="AE37" i="5"/>
  <c r="AD38" i="5"/>
  <c r="AE38" i="5"/>
  <c r="AD39" i="5"/>
  <c r="AE39" i="5"/>
  <c r="AD40" i="5"/>
  <c r="AE40" i="5"/>
  <c r="AD41" i="5"/>
  <c r="AE41" i="5"/>
  <c r="AD42" i="5"/>
  <c r="AE42" i="5"/>
  <c r="AD43" i="5"/>
  <c r="AE43" i="5"/>
  <c r="AD44" i="5"/>
  <c r="AE44" i="5"/>
  <c r="AD46" i="5"/>
  <c r="AE46" i="5"/>
  <c r="AD47" i="5"/>
  <c r="AE47" i="5"/>
  <c r="AD49" i="5"/>
  <c r="AE49" i="5"/>
  <c r="AD50" i="5"/>
  <c r="AE50" i="5"/>
  <c r="AD51" i="5"/>
  <c r="AE51" i="5"/>
  <c r="AD52" i="5"/>
  <c r="AE52" i="5"/>
  <c r="AD55" i="5"/>
  <c r="AE55" i="5"/>
  <c r="AD56" i="5"/>
  <c r="AE56" i="5"/>
  <c r="AD57" i="5"/>
  <c r="AE57" i="5"/>
  <c r="AD59" i="5"/>
  <c r="AE59" i="5"/>
  <c r="AD60" i="5"/>
  <c r="AE60" i="5"/>
  <c r="AD61" i="5"/>
  <c r="AE61" i="5"/>
  <c r="AD64" i="5"/>
  <c r="AE64" i="5"/>
  <c r="AD66" i="5"/>
  <c r="AE66" i="5"/>
  <c r="AC65" i="5"/>
  <c r="AE65" i="5" s="1"/>
  <c r="AC54" i="5"/>
  <c r="AE54" i="5" s="1"/>
  <c r="AC48" i="5"/>
  <c r="AE48" i="5" s="1"/>
  <c r="AC21" i="5"/>
  <c r="AD21" i="5" s="1"/>
  <c r="AC9" i="5"/>
  <c r="AE9" i="5" s="1"/>
  <c r="AC34" i="5"/>
  <c r="AD34" i="5" s="1"/>
  <c r="AC33" i="5"/>
  <c r="AD33" i="5" s="1"/>
  <c r="AC26" i="5"/>
  <c r="AD26" i="5" s="1"/>
  <c r="Y10" i="5"/>
  <c r="Y11" i="5"/>
  <c r="Y13" i="5"/>
  <c r="Y14" i="5"/>
  <c r="Y15" i="5"/>
  <c r="Y19" i="5"/>
  <c r="Y20" i="5"/>
  <c r="Y21" i="5"/>
  <c r="Y22" i="5"/>
  <c r="Y23" i="5"/>
  <c r="Y25" i="5"/>
  <c r="Y27" i="5"/>
  <c r="Y28" i="5"/>
  <c r="Y29" i="5"/>
  <c r="Y30" i="5"/>
  <c r="Y31" i="5"/>
  <c r="Y36" i="5"/>
  <c r="Y37" i="5"/>
  <c r="Y38" i="5"/>
  <c r="Y39" i="5"/>
  <c r="Y40" i="5"/>
  <c r="Y41" i="5"/>
  <c r="Y42" i="5"/>
  <c r="Y43" i="5"/>
  <c r="Y44" i="5"/>
  <c r="Y46" i="5"/>
  <c r="Y47" i="5"/>
  <c r="Y48" i="5"/>
  <c r="Y49" i="5"/>
  <c r="Y50" i="5"/>
  <c r="Y51" i="5"/>
  <c r="Y52" i="5"/>
  <c r="Y54" i="5"/>
  <c r="Y55" i="5"/>
  <c r="Y56" i="5"/>
  <c r="Y57" i="5"/>
  <c r="Y59" i="5"/>
  <c r="Y60" i="5"/>
  <c r="Y61" i="5"/>
  <c r="Y64" i="5"/>
  <c r="Y65" i="5"/>
  <c r="Y66" i="5"/>
  <c r="Y9" i="5"/>
  <c r="AR23" i="5"/>
  <c r="AU23" i="5"/>
  <c r="AB11" i="5"/>
  <c r="AB13" i="5"/>
  <c r="AB14" i="5"/>
  <c r="AB15" i="5"/>
  <c r="AB19" i="5"/>
  <c r="AB20" i="5"/>
  <c r="AB21" i="5"/>
  <c r="AB22" i="5"/>
  <c r="S9" i="5"/>
  <c r="S10" i="5"/>
  <c r="X18" i="5"/>
  <c r="S18" i="5"/>
  <c r="S23" i="5"/>
  <c r="S24" i="5"/>
  <c r="AB25" i="5"/>
  <c r="X26" i="5"/>
  <c r="AA26" i="5" s="1"/>
  <c r="S26" i="5"/>
  <c r="U26" i="5" s="1"/>
  <c r="AB27" i="5"/>
  <c r="AB28" i="5"/>
  <c r="AB29" i="5"/>
  <c r="AB30" i="5"/>
  <c r="AB31" i="5"/>
  <c r="X33" i="5"/>
  <c r="Y33" i="5" s="1"/>
  <c r="S33" i="5"/>
  <c r="X34" i="5"/>
  <c r="AA34" i="5" s="1"/>
  <c r="S34" i="5"/>
  <c r="AB36" i="5"/>
  <c r="AB37" i="5"/>
  <c r="AB38" i="5"/>
  <c r="AB39" i="5"/>
  <c r="AB40" i="5"/>
  <c r="S41" i="5"/>
  <c r="AB42" i="5"/>
  <c r="AB43" i="5"/>
  <c r="AB44" i="5"/>
  <c r="AB46" i="5"/>
  <c r="AB47" i="5"/>
  <c r="S48" i="5"/>
  <c r="AB49" i="5"/>
  <c r="AB50" i="5"/>
  <c r="AB51" i="5"/>
  <c r="AB52" i="5"/>
  <c r="S54" i="5"/>
  <c r="AB55" i="5"/>
  <c r="AB56" i="5"/>
  <c r="AB57" i="5"/>
  <c r="AB59" i="5"/>
  <c r="AB60" i="5"/>
  <c r="AB61" i="5"/>
  <c r="AB64" i="5"/>
  <c r="AB65" i="5"/>
  <c r="AB66" i="5"/>
  <c r="Z10" i="5"/>
  <c r="AA10" i="5"/>
  <c r="Z11" i="5"/>
  <c r="AA11" i="5"/>
  <c r="Z13" i="5"/>
  <c r="AA13" i="5"/>
  <c r="Z14" i="5"/>
  <c r="AA14" i="5"/>
  <c r="Z15" i="5"/>
  <c r="AA15" i="5"/>
  <c r="Z19" i="5"/>
  <c r="AA19" i="5"/>
  <c r="Z20" i="5"/>
  <c r="AA20" i="5"/>
  <c r="Z21" i="5"/>
  <c r="AA21" i="5"/>
  <c r="Z22" i="5"/>
  <c r="AA22" i="5"/>
  <c r="Z23" i="5"/>
  <c r="AA23" i="5"/>
  <c r="Z24" i="5"/>
  <c r="AA24" i="5"/>
  <c r="Z25" i="5"/>
  <c r="AA25" i="5"/>
  <c r="Z27" i="5"/>
  <c r="AA27" i="5"/>
  <c r="Z28" i="5"/>
  <c r="AA28" i="5"/>
  <c r="Z29" i="5"/>
  <c r="AA29" i="5"/>
  <c r="Z30" i="5"/>
  <c r="AA30" i="5"/>
  <c r="Z31" i="5"/>
  <c r="AA31" i="5"/>
  <c r="Z36" i="5"/>
  <c r="AA36" i="5"/>
  <c r="Z37" i="5"/>
  <c r="AA37" i="5"/>
  <c r="Z38" i="5"/>
  <c r="AA38" i="5"/>
  <c r="Z39" i="5"/>
  <c r="AA39" i="5"/>
  <c r="Z40" i="5"/>
  <c r="AA40" i="5"/>
  <c r="Z41" i="5"/>
  <c r="AA41" i="5"/>
  <c r="Z42" i="5"/>
  <c r="AA42" i="5"/>
  <c r="Z43" i="5"/>
  <c r="AA43" i="5"/>
  <c r="Z44" i="5"/>
  <c r="AA44" i="5"/>
  <c r="Z46" i="5"/>
  <c r="AA46" i="5"/>
  <c r="Z47" i="5"/>
  <c r="AA47" i="5"/>
  <c r="Z48" i="5"/>
  <c r="AA48" i="5"/>
  <c r="Z49" i="5"/>
  <c r="AA49" i="5"/>
  <c r="Z50" i="5"/>
  <c r="AA50" i="5"/>
  <c r="Z51" i="5"/>
  <c r="AA51" i="5"/>
  <c r="Z52" i="5"/>
  <c r="AA52" i="5"/>
  <c r="Z54" i="5"/>
  <c r="AA54" i="5"/>
  <c r="Z55" i="5"/>
  <c r="AA55" i="5"/>
  <c r="Z56" i="5"/>
  <c r="AA56" i="5"/>
  <c r="Z57" i="5"/>
  <c r="AA57" i="5"/>
  <c r="Z59" i="5"/>
  <c r="AA59" i="5"/>
  <c r="Z60" i="5"/>
  <c r="AA60" i="5"/>
  <c r="Z61" i="5"/>
  <c r="AA61" i="5"/>
  <c r="Z64" i="5"/>
  <c r="AA64" i="5"/>
  <c r="Z65" i="5"/>
  <c r="AA65" i="5"/>
  <c r="Z66" i="5"/>
  <c r="AA66" i="5"/>
  <c r="AA9" i="5"/>
  <c r="Z9" i="5"/>
  <c r="W11" i="5"/>
  <c r="W13" i="5"/>
  <c r="W14" i="5"/>
  <c r="W15" i="5"/>
  <c r="W19" i="5"/>
  <c r="W20" i="5"/>
  <c r="W21" i="5"/>
  <c r="W22" i="5"/>
  <c r="W25" i="5"/>
  <c r="W27" i="5"/>
  <c r="W28" i="5"/>
  <c r="W29" i="5"/>
  <c r="W30" i="5"/>
  <c r="W31" i="5"/>
  <c r="W36" i="5"/>
  <c r="W37" i="5"/>
  <c r="W38" i="5"/>
  <c r="W39" i="5"/>
  <c r="W40" i="5"/>
  <c r="W42" i="5"/>
  <c r="W43" i="5"/>
  <c r="W44" i="5"/>
  <c r="W46" i="5"/>
  <c r="W47" i="5"/>
  <c r="W49" i="5"/>
  <c r="W50" i="5"/>
  <c r="W51" i="5"/>
  <c r="W52" i="5"/>
  <c r="W55" i="5"/>
  <c r="W56" i="5"/>
  <c r="W57" i="5"/>
  <c r="W59" i="5"/>
  <c r="W60" i="5"/>
  <c r="W61" i="5"/>
  <c r="W64" i="5"/>
  <c r="W65" i="5"/>
  <c r="W66" i="5"/>
  <c r="U11" i="5"/>
  <c r="V11" i="5"/>
  <c r="U13" i="5"/>
  <c r="V13" i="5"/>
  <c r="U14" i="5"/>
  <c r="V14" i="5"/>
  <c r="U15" i="5"/>
  <c r="V15" i="5"/>
  <c r="U19" i="5"/>
  <c r="V19" i="5"/>
  <c r="U20" i="5"/>
  <c r="V20" i="5"/>
  <c r="U21" i="5"/>
  <c r="V21" i="5"/>
  <c r="U22" i="5"/>
  <c r="V22" i="5"/>
  <c r="U25" i="5"/>
  <c r="V25" i="5"/>
  <c r="U27" i="5"/>
  <c r="V27" i="5"/>
  <c r="U28" i="5"/>
  <c r="V28" i="5"/>
  <c r="U29" i="5"/>
  <c r="V29" i="5"/>
  <c r="U30" i="5"/>
  <c r="V30" i="5"/>
  <c r="U31" i="5"/>
  <c r="V31" i="5"/>
  <c r="U36" i="5"/>
  <c r="V36" i="5"/>
  <c r="U37" i="5"/>
  <c r="V37" i="5"/>
  <c r="U38" i="5"/>
  <c r="V38" i="5"/>
  <c r="U39" i="5"/>
  <c r="V39" i="5"/>
  <c r="U40" i="5"/>
  <c r="V40" i="5"/>
  <c r="U42" i="5"/>
  <c r="V42" i="5"/>
  <c r="U43" i="5"/>
  <c r="V43" i="5"/>
  <c r="U44" i="5"/>
  <c r="V44" i="5"/>
  <c r="U46" i="5"/>
  <c r="V46" i="5"/>
  <c r="U47" i="5"/>
  <c r="V47" i="5"/>
  <c r="U49" i="5"/>
  <c r="V49" i="5"/>
  <c r="U50" i="5"/>
  <c r="V50" i="5"/>
  <c r="U51" i="5"/>
  <c r="V51" i="5"/>
  <c r="U52" i="5"/>
  <c r="V52" i="5"/>
  <c r="V55" i="5"/>
  <c r="V56" i="5"/>
  <c r="V57" i="5"/>
  <c r="V59" i="5"/>
  <c r="V60" i="5"/>
  <c r="V61" i="5"/>
  <c r="V64" i="5"/>
  <c r="V65" i="5"/>
  <c r="V66" i="5"/>
  <c r="U55" i="5"/>
  <c r="U56" i="5"/>
  <c r="U57" i="5"/>
  <c r="U59" i="5"/>
  <c r="U60" i="5"/>
  <c r="U61" i="5"/>
  <c r="U64" i="5"/>
  <c r="U65" i="5"/>
  <c r="U66" i="5"/>
  <c r="Q10" i="5"/>
  <c r="Q9" i="5"/>
  <c r="Q11" i="5"/>
  <c r="Q13" i="5"/>
  <c r="Q14" i="5"/>
  <c r="Q15" i="5"/>
  <c r="Q18" i="5"/>
  <c r="Q19" i="5"/>
  <c r="Q20" i="5"/>
  <c r="Q21" i="5"/>
  <c r="Q22" i="5"/>
  <c r="Q23" i="5"/>
  <c r="Q24" i="5"/>
  <c r="Q25" i="5"/>
  <c r="Q26" i="5"/>
  <c r="Q27" i="5"/>
  <c r="Q28" i="5"/>
  <c r="Q29" i="5"/>
  <c r="Q30" i="5"/>
  <c r="Q31" i="5"/>
  <c r="Q33" i="5"/>
  <c r="Q34" i="5"/>
  <c r="Q36" i="5"/>
  <c r="Q37" i="5"/>
  <c r="Q38" i="5"/>
  <c r="Q39" i="5"/>
  <c r="Q40" i="5"/>
  <c r="Q41" i="5"/>
  <c r="Q42" i="5"/>
  <c r="Q43" i="5"/>
  <c r="Q44" i="5"/>
  <c r="Q46" i="5"/>
  <c r="Q47" i="5"/>
  <c r="Q48" i="5"/>
  <c r="Q49" i="5"/>
  <c r="Q50" i="5"/>
  <c r="Q51" i="5"/>
  <c r="Q52" i="5"/>
  <c r="Q54" i="5"/>
  <c r="Q55" i="5"/>
  <c r="Q56" i="5"/>
  <c r="Q57" i="5"/>
  <c r="Q59" i="5"/>
  <c r="Q60" i="5"/>
  <c r="Q61" i="5"/>
  <c r="Q64" i="5"/>
  <c r="Q65" i="5"/>
  <c r="R10" i="5"/>
  <c r="R11" i="5"/>
  <c r="R13" i="5"/>
  <c r="R14" i="5"/>
  <c r="R15" i="5"/>
  <c r="R18" i="5"/>
  <c r="R19" i="5"/>
  <c r="R20" i="5"/>
  <c r="R21" i="5"/>
  <c r="R22" i="5"/>
  <c r="R23" i="5"/>
  <c r="R24" i="5"/>
  <c r="R25" i="5"/>
  <c r="R26" i="5"/>
  <c r="R27" i="5"/>
  <c r="R28" i="5"/>
  <c r="R29" i="5"/>
  <c r="R30" i="5"/>
  <c r="R31" i="5"/>
  <c r="R33" i="5"/>
  <c r="R34" i="5"/>
  <c r="R36" i="5"/>
  <c r="R37" i="5"/>
  <c r="R38" i="5"/>
  <c r="R39" i="5"/>
  <c r="R40" i="5"/>
  <c r="R41" i="5"/>
  <c r="R42" i="5"/>
  <c r="R43" i="5"/>
  <c r="R44" i="5"/>
  <c r="R46" i="5"/>
  <c r="R47" i="5"/>
  <c r="R48" i="5"/>
  <c r="R49" i="5"/>
  <c r="R50" i="5"/>
  <c r="R51" i="5"/>
  <c r="R52" i="5"/>
  <c r="R54" i="5"/>
  <c r="R55" i="5"/>
  <c r="R56" i="5"/>
  <c r="R57" i="5"/>
  <c r="R59" i="5"/>
  <c r="R60" i="5"/>
  <c r="R61" i="5"/>
  <c r="R64" i="5"/>
  <c r="R65" i="5"/>
  <c r="R9" i="5"/>
  <c r="O69" i="5"/>
  <c r="O74" i="5" s="1"/>
  <c r="M10" i="5"/>
  <c r="N10" i="5"/>
  <c r="M11" i="5"/>
  <c r="N11" i="5"/>
  <c r="M13" i="5"/>
  <c r="N13" i="5"/>
  <c r="M14" i="5"/>
  <c r="N14" i="5"/>
  <c r="M15" i="5"/>
  <c r="N15" i="5"/>
  <c r="M18" i="5"/>
  <c r="N18" i="5"/>
  <c r="M19" i="5"/>
  <c r="N19" i="5"/>
  <c r="M20" i="5"/>
  <c r="N20" i="5"/>
  <c r="M21" i="5"/>
  <c r="N21" i="5"/>
  <c r="M22" i="5"/>
  <c r="N22" i="5"/>
  <c r="M23" i="5"/>
  <c r="N23" i="5"/>
  <c r="M24" i="5"/>
  <c r="N24" i="5"/>
  <c r="M25" i="5"/>
  <c r="N25" i="5"/>
  <c r="M26" i="5"/>
  <c r="N26" i="5"/>
  <c r="M27" i="5"/>
  <c r="N27" i="5"/>
  <c r="M28" i="5"/>
  <c r="N28" i="5"/>
  <c r="M29" i="5"/>
  <c r="N29" i="5"/>
  <c r="M30" i="5"/>
  <c r="N30" i="5"/>
  <c r="M31" i="5"/>
  <c r="N31" i="5"/>
  <c r="M33" i="5"/>
  <c r="N33" i="5"/>
  <c r="M34" i="5"/>
  <c r="N34" i="5"/>
  <c r="M36" i="5"/>
  <c r="N36" i="5"/>
  <c r="M37" i="5"/>
  <c r="N37" i="5"/>
  <c r="M38" i="5"/>
  <c r="N38" i="5"/>
  <c r="M39" i="5"/>
  <c r="N39" i="5"/>
  <c r="M40" i="5"/>
  <c r="N40" i="5"/>
  <c r="M41" i="5"/>
  <c r="N41" i="5"/>
  <c r="M42" i="5"/>
  <c r="N42" i="5"/>
  <c r="M43" i="5"/>
  <c r="N43" i="5"/>
  <c r="M44" i="5"/>
  <c r="N44" i="5"/>
  <c r="M46" i="5"/>
  <c r="N46" i="5"/>
  <c r="M47" i="5"/>
  <c r="N47" i="5"/>
  <c r="M48" i="5"/>
  <c r="N48" i="5"/>
  <c r="M49" i="5"/>
  <c r="N49" i="5"/>
  <c r="M50" i="5"/>
  <c r="N50" i="5"/>
  <c r="M51" i="5"/>
  <c r="N51" i="5"/>
  <c r="M52" i="5"/>
  <c r="N52" i="5"/>
  <c r="M54" i="5"/>
  <c r="N54" i="5"/>
  <c r="M55" i="5"/>
  <c r="N55" i="5"/>
  <c r="M56" i="5"/>
  <c r="N56" i="5"/>
  <c r="M57" i="5"/>
  <c r="N57" i="5"/>
  <c r="M59" i="5"/>
  <c r="N59" i="5"/>
  <c r="M60" i="5"/>
  <c r="N60" i="5"/>
  <c r="M61" i="5"/>
  <c r="N61" i="5"/>
  <c r="M64" i="5"/>
  <c r="N64" i="5"/>
  <c r="M65" i="5"/>
  <c r="N65" i="5"/>
  <c r="N9" i="5"/>
  <c r="M9" i="5"/>
  <c r="J69" i="5"/>
  <c r="J74" i="5" s="1"/>
  <c r="K69" i="5"/>
  <c r="K74" i="5" s="1"/>
  <c r="G69" i="5"/>
  <c r="G74" i="5" s="1"/>
  <c r="E69" i="5"/>
  <c r="E74" i="5" s="1"/>
  <c r="I10" i="5"/>
  <c r="I11" i="5"/>
  <c r="I13" i="5"/>
  <c r="I14" i="5"/>
  <c r="I15" i="5"/>
  <c r="I18" i="5"/>
  <c r="I19" i="5"/>
  <c r="I20" i="5"/>
  <c r="I21" i="5"/>
  <c r="I22" i="5"/>
  <c r="I23" i="5"/>
  <c r="I24" i="5"/>
  <c r="I25" i="5"/>
  <c r="I26" i="5"/>
  <c r="I27" i="5"/>
  <c r="I28" i="5"/>
  <c r="I29" i="5"/>
  <c r="I30" i="5"/>
  <c r="I31" i="5"/>
  <c r="I33" i="5"/>
  <c r="I34" i="5"/>
  <c r="I36" i="5"/>
  <c r="I37" i="5"/>
  <c r="I38" i="5"/>
  <c r="I39" i="5"/>
  <c r="I40" i="5"/>
  <c r="I41" i="5"/>
  <c r="I42" i="5"/>
  <c r="I43" i="5"/>
  <c r="I44" i="5"/>
  <c r="I46" i="5"/>
  <c r="I47" i="5"/>
  <c r="I48" i="5"/>
  <c r="I49" i="5"/>
  <c r="I50" i="5"/>
  <c r="I51" i="5"/>
  <c r="I52" i="5"/>
  <c r="I54" i="5"/>
  <c r="I55" i="5"/>
  <c r="I56" i="5"/>
  <c r="I57" i="5"/>
  <c r="I59" i="5"/>
  <c r="I60" i="5"/>
  <c r="I61" i="5"/>
  <c r="I64" i="5"/>
  <c r="I65" i="5"/>
  <c r="I9" i="5"/>
  <c r="U23" i="5"/>
  <c r="Y34" i="5" l="1"/>
  <c r="BE23" i="5"/>
  <c r="BF23" i="5"/>
  <c r="BG23" i="5"/>
  <c r="CF69" i="5"/>
  <c r="CF74" i="5" s="1"/>
  <c r="CJ69" i="5"/>
  <c r="CJ70" i="5" s="1"/>
  <c r="CK69" i="5"/>
  <c r="CK74" i="5" s="1"/>
  <c r="CP69" i="5"/>
  <c r="CP74" i="5" s="1"/>
  <c r="DA69" i="5"/>
  <c r="DA74" i="5" s="1"/>
  <c r="CU69" i="5"/>
  <c r="CU74" i="5" s="1"/>
  <c r="AB41" i="5"/>
  <c r="T41" i="5"/>
  <c r="V33" i="5"/>
  <c r="T33" i="5"/>
  <c r="W18" i="5"/>
  <c r="T18" i="5"/>
  <c r="AB54" i="5"/>
  <c r="T54" i="5"/>
  <c r="Y24" i="5"/>
  <c r="P24" i="5"/>
  <c r="L24" i="5"/>
  <c r="H24" i="5"/>
  <c r="F24" i="5"/>
  <c r="AJ9" i="5"/>
  <c r="AM9" i="5" s="1"/>
  <c r="AB48" i="5"/>
  <c r="T48" i="5"/>
  <c r="V34" i="5"/>
  <c r="T34" i="5"/>
  <c r="AB24" i="5"/>
  <c r="T24" i="5"/>
  <c r="AB10" i="5"/>
  <c r="T10" i="5"/>
  <c r="V26" i="5"/>
  <c r="T26" i="5"/>
  <c r="AB23" i="5"/>
  <c r="T23" i="5"/>
  <c r="U9" i="5"/>
  <c r="T9" i="5"/>
  <c r="U54" i="5"/>
  <c r="AE21" i="5"/>
  <c r="AE33" i="5"/>
  <c r="AH48" i="5"/>
  <c r="BG48" i="5"/>
  <c r="V41" i="5"/>
  <c r="BH23" i="5"/>
  <c r="W34" i="5"/>
  <c r="Z34" i="5"/>
  <c r="W23" i="5"/>
  <c r="AE18" i="5"/>
  <c r="AB34" i="5"/>
  <c r="AH33" i="5"/>
  <c r="AH18" i="5"/>
  <c r="AF33" i="5"/>
  <c r="U10" i="5"/>
  <c r="U34" i="5"/>
  <c r="Z33" i="5"/>
  <c r="AK69" i="5"/>
  <c r="AK74" i="5" s="1"/>
  <c r="AC69" i="5"/>
  <c r="AC74" i="5" s="1"/>
  <c r="AF65" i="5"/>
  <c r="X69" i="5"/>
  <c r="X74" i="5" s="1"/>
  <c r="U18" i="5"/>
  <c r="AJ26" i="5"/>
  <c r="AM26" i="5" s="1"/>
  <c r="AU26" i="5" s="1"/>
  <c r="Z26" i="5"/>
  <c r="V10" i="5"/>
  <c r="AF26" i="5"/>
  <c r="AM48" i="5"/>
  <c r="AO48" i="5" s="1"/>
  <c r="AJ65" i="5"/>
  <c r="AM65" i="5" s="1"/>
  <c r="AO65" i="5" s="1"/>
  <c r="U33" i="5"/>
  <c r="W10" i="5"/>
  <c r="AE34" i="5"/>
  <c r="AJ21" i="5"/>
  <c r="AM21" i="5" s="1"/>
  <c r="AZ21" i="5" s="1"/>
  <c r="V23" i="5"/>
  <c r="W33" i="5"/>
  <c r="AD48" i="5"/>
  <c r="AE26" i="5"/>
  <c r="AM34" i="5"/>
  <c r="AU34" i="5" s="1"/>
  <c r="W41" i="5"/>
  <c r="W26" i="5"/>
  <c r="AB33" i="5"/>
  <c r="BH34" i="5"/>
  <c r="N69" i="5"/>
  <c r="N74" i="5" s="1"/>
  <c r="BV36" i="5"/>
  <c r="BX36" i="5" s="1"/>
  <c r="CB36" i="5" s="1"/>
  <c r="BV26" i="5"/>
  <c r="BX26" i="5" s="1"/>
  <c r="BV18" i="5"/>
  <c r="BX18" i="5" s="1"/>
  <c r="CB18" i="5" s="1"/>
  <c r="BV30" i="5"/>
  <c r="BX30" i="5" s="1"/>
  <c r="BV22" i="5"/>
  <c r="BX22" i="5" s="1"/>
  <c r="AB9" i="5"/>
  <c r="AD65" i="5"/>
  <c r="U48" i="5"/>
  <c r="V9" i="5"/>
  <c r="W9" i="5"/>
  <c r="AB18" i="5"/>
  <c r="AF34" i="5"/>
  <c r="BV15" i="5"/>
  <c r="BX15" i="5" s="1"/>
  <c r="BV11" i="5"/>
  <c r="BX11" i="5" s="1"/>
  <c r="I69" i="5"/>
  <c r="I74" i="5" s="1"/>
  <c r="S69" i="5"/>
  <c r="S74" i="5" s="1"/>
  <c r="W48" i="5"/>
  <c r="AH34" i="5"/>
  <c r="AF9" i="5"/>
  <c r="W24" i="5"/>
  <c r="BD69" i="5"/>
  <c r="BD74" i="5" s="1"/>
  <c r="V24" i="5"/>
  <c r="U24" i="5"/>
  <c r="V54" i="5"/>
  <c r="AA18" i="5"/>
  <c r="Y18" i="5"/>
  <c r="AB26" i="5"/>
  <c r="AF48" i="5"/>
  <c r="AM20" i="5"/>
  <c r="AU20" i="5" s="1"/>
  <c r="BV12" i="5"/>
  <c r="CB48" i="5"/>
  <c r="V18" i="5"/>
  <c r="W54" i="5"/>
  <c r="U41" i="5"/>
  <c r="Z18" i="5"/>
  <c r="Y26" i="5"/>
  <c r="D69" i="5"/>
  <c r="D74" i="5" s="1"/>
  <c r="AD54" i="5"/>
  <c r="AD9" i="5"/>
  <c r="AF18" i="5"/>
  <c r="BG34" i="5"/>
  <c r="BF48" i="5"/>
  <c r="BF69" i="5" s="1"/>
  <c r="AF54" i="5"/>
  <c r="AH54" i="5"/>
  <c r="AH24" i="5"/>
  <c r="V48" i="5"/>
  <c r="AA33" i="5"/>
  <c r="AD24" i="5"/>
  <c r="AG69" i="5"/>
  <c r="AG74" i="5" s="1"/>
  <c r="AF21" i="5"/>
  <c r="AM51" i="5"/>
  <c r="AU51" i="5" s="1"/>
  <c r="AU44" i="5"/>
  <c r="BE44" i="5"/>
  <c r="AR44" i="5"/>
  <c r="AO44" i="5"/>
  <c r="AZ44" i="5"/>
  <c r="M69" i="5"/>
  <c r="M74" i="5" s="1"/>
  <c r="R69" i="5"/>
  <c r="R74" i="5" s="1"/>
  <c r="AV69" i="5"/>
  <c r="AV74" i="5" s="1"/>
  <c r="AS69" i="5"/>
  <c r="AS74" i="5" s="1"/>
  <c r="BL69" i="5"/>
  <c r="BL74" i="5" s="1"/>
  <c r="AR10" i="5"/>
  <c r="BE10" i="5"/>
  <c r="AZ10" i="5"/>
  <c r="AU10" i="5"/>
  <c r="AO10" i="5"/>
  <c r="Q69" i="5"/>
  <c r="Q74" i="5" s="1"/>
  <c r="AO43" i="5"/>
  <c r="BE43" i="5"/>
  <c r="AZ43" i="5"/>
  <c r="AR43" i="5"/>
  <c r="AU43" i="5"/>
  <c r="AW69" i="5"/>
  <c r="AW74" i="5" s="1"/>
  <c r="BA69" i="5"/>
  <c r="BA74" i="5" s="1"/>
  <c r="AZ41" i="5"/>
  <c r="AU41" i="5"/>
  <c r="BE41" i="5"/>
  <c r="AO41" i="5"/>
  <c r="AR41" i="5"/>
  <c r="AZ28" i="5"/>
  <c r="AR28" i="5"/>
  <c r="AO28" i="5"/>
  <c r="AU28" i="5"/>
  <c r="BE28" i="5"/>
  <c r="AU30" i="5"/>
  <c r="AZ30" i="5"/>
  <c r="AR30" i="5"/>
  <c r="AO30" i="5"/>
  <c r="BE30" i="5"/>
  <c r="BB69" i="5"/>
  <c r="BB74" i="5" s="1"/>
  <c r="AZ54" i="5"/>
  <c r="AO54" i="5"/>
  <c r="AR54" i="5"/>
  <c r="BE54" i="5"/>
  <c r="AU54" i="5"/>
  <c r="BE39" i="5"/>
  <c r="AU39" i="5"/>
  <c r="AZ39" i="5"/>
  <c r="AR39" i="5"/>
  <c r="AO39" i="5"/>
  <c r="BE60" i="5"/>
  <c r="AU60" i="5"/>
  <c r="AZ60" i="5"/>
  <c r="AR60" i="5"/>
  <c r="AO60" i="5"/>
  <c r="AR49" i="5"/>
  <c r="AZ49" i="5"/>
  <c r="AU49" i="5"/>
  <c r="AO49" i="5"/>
  <c r="BE49" i="5"/>
  <c r="AO29" i="5"/>
  <c r="AU29" i="5"/>
  <c r="BE29" i="5"/>
  <c r="AR29" i="5"/>
  <c r="AZ29" i="5"/>
  <c r="BE19" i="5"/>
  <c r="AR19" i="5"/>
  <c r="AZ19" i="5"/>
  <c r="AO19" i="5"/>
  <c r="AU19" i="5"/>
  <c r="AU27" i="5"/>
  <c r="AR27" i="5"/>
  <c r="AZ27" i="5"/>
  <c r="AO27" i="5"/>
  <c r="BE27" i="5"/>
  <c r="AR56" i="5"/>
  <c r="AZ56" i="5"/>
  <c r="AO56" i="5"/>
  <c r="BE56" i="5"/>
  <c r="AU56" i="5"/>
  <c r="BE25" i="5"/>
  <c r="AU25" i="5"/>
  <c r="AZ25" i="5"/>
  <c r="AO25" i="5"/>
  <c r="AR25" i="5"/>
  <c r="BP65" i="5"/>
  <c r="BQ65" i="5"/>
  <c r="BR65" i="5"/>
  <c r="CB65" i="5"/>
  <c r="BS65" i="5"/>
  <c r="BP59" i="5"/>
  <c r="BQ59" i="5"/>
  <c r="BR59" i="5"/>
  <c r="CB59" i="5"/>
  <c r="BS59" i="5"/>
  <c r="BO59" i="5"/>
  <c r="CB54" i="5"/>
  <c r="BP54" i="5"/>
  <c r="BQ54" i="5"/>
  <c r="BR54" i="5"/>
  <c r="BS54" i="5"/>
  <c r="BO54" i="5"/>
  <c r="BP49" i="5"/>
  <c r="BQ49" i="5"/>
  <c r="BR49" i="5"/>
  <c r="CB49" i="5"/>
  <c r="BS49" i="5"/>
  <c r="BO49" i="5"/>
  <c r="BP45" i="5"/>
  <c r="BQ45" i="5"/>
  <c r="BR45" i="5"/>
  <c r="BS45" i="5"/>
  <c r="BO45" i="5"/>
  <c r="BP41" i="5"/>
  <c r="CB41" i="5"/>
  <c r="BQ41" i="5"/>
  <c r="BR41" i="5"/>
  <c r="BS41" i="5"/>
  <c r="BO41" i="5"/>
  <c r="BP37" i="5"/>
  <c r="CB37" i="5"/>
  <c r="BQ37" i="5"/>
  <c r="BR37" i="5"/>
  <c r="BS37" i="5"/>
  <c r="BO37" i="5"/>
  <c r="BP31" i="5"/>
  <c r="BQ31" i="5"/>
  <c r="BR31" i="5"/>
  <c r="CB31" i="5"/>
  <c r="BS31" i="5"/>
  <c r="BO31" i="5"/>
  <c r="CB27" i="5"/>
  <c r="BP27" i="5"/>
  <c r="BQ27" i="5"/>
  <c r="BR27" i="5"/>
  <c r="BS27" i="5"/>
  <c r="BO27" i="5"/>
  <c r="BP23" i="5"/>
  <c r="BQ23" i="5"/>
  <c r="BR23" i="5"/>
  <c r="CB23" i="5"/>
  <c r="BS23" i="5"/>
  <c r="BO23" i="5"/>
  <c r="BP19" i="5"/>
  <c r="BQ19" i="5"/>
  <c r="CB19" i="5"/>
  <c r="BR19" i="5"/>
  <c r="BS19" i="5"/>
  <c r="BO19" i="5"/>
  <c r="CB13" i="5"/>
  <c r="BP13" i="5"/>
  <c r="BQ13" i="5"/>
  <c r="BR13" i="5"/>
  <c r="BS13" i="5"/>
  <c r="BO13" i="5"/>
  <c r="AZ66" i="5"/>
  <c r="AR66" i="5"/>
  <c r="AO66" i="5"/>
  <c r="AU66" i="5"/>
  <c r="BE66" i="5"/>
  <c r="BE55" i="5"/>
  <c r="AZ55" i="5"/>
  <c r="AO55" i="5"/>
  <c r="AU55" i="5"/>
  <c r="AR55" i="5"/>
  <c r="AZ24" i="5"/>
  <c r="AR24" i="5"/>
  <c r="AU24" i="5"/>
  <c r="BE24" i="5"/>
  <c r="AO24" i="5"/>
  <c r="AR14" i="5"/>
  <c r="AZ14" i="5"/>
  <c r="AO14" i="5"/>
  <c r="AU14" i="5"/>
  <c r="BE14" i="5"/>
  <c r="BE31" i="5"/>
  <c r="AU31" i="5"/>
  <c r="AO31" i="5"/>
  <c r="AZ31" i="5"/>
  <c r="AR31" i="5"/>
  <c r="CB64" i="5"/>
  <c r="BQ64" i="5"/>
  <c r="BR64" i="5"/>
  <c r="BS64" i="5"/>
  <c r="BO64" i="5"/>
  <c r="BP64" i="5"/>
  <c r="CB57" i="5"/>
  <c r="BQ57" i="5"/>
  <c r="BR57" i="5"/>
  <c r="BS57" i="5"/>
  <c r="BO57" i="5"/>
  <c r="BP57" i="5"/>
  <c r="BQ52" i="5"/>
  <c r="BR52" i="5"/>
  <c r="BS52" i="5"/>
  <c r="BO52" i="5"/>
  <c r="BP52" i="5"/>
  <c r="BQ48" i="5"/>
  <c r="BR48" i="5"/>
  <c r="BS48" i="5"/>
  <c r="BP48" i="5"/>
  <c r="BQ44" i="5"/>
  <c r="CB44" i="5"/>
  <c r="BR44" i="5"/>
  <c r="BS44" i="5"/>
  <c r="BO44" i="5"/>
  <c r="BP44" i="5"/>
  <c r="BQ40" i="5"/>
  <c r="BR40" i="5"/>
  <c r="BS40" i="5"/>
  <c r="BO40" i="5"/>
  <c r="BP40" i="5"/>
  <c r="BE15" i="5"/>
  <c r="AO15" i="5"/>
  <c r="AU15" i="5"/>
  <c r="AZ15" i="5"/>
  <c r="AR15" i="5"/>
  <c r="AO61" i="5"/>
  <c r="BE61" i="5"/>
  <c r="AU61" i="5"/>
  <c r="AR61" i="5"/>
  <c r="AZ61" i="5"/>
  <c r="AO57" i="5"/>
  <c r="AZ57" i="5"/>
  <c r="BE57" i="5"/>
  <c r="AU57" i="5"/>
  <c r="AR57" i="5"/>
  <c r="BE50" i="5"/>
  <c r="AZ50" i="5"/>
  <c r="AU50" i="5"/>
  <c r="AR50" i="5"/>
  <c r="AO50" i="5"/>
  <c r="AZ46" i="5"/>
  <c r="AO46" i="5"/>
  <c r="AU46" i="5"/>
  <c r="BE46" i="5"/>
  <c r="AR46" i="5"/>
  <c r="AO42" i="5"/>
  <c r="BE42" i="5"/>
  <c r="AR42" i="5"/>
  <c r="AZ42" i="5"/>
  <c r="AU42" i="5"/>
  <c r="AZ40" i="5"/>
  <c r="AO40" i="5"/>
  <c r="AR40" i="5"/>
  <c r="AU40" i="5"/>
  <c r="BE40" i="5"/>
  <c r="BE37" i="5"/>
  <c r="AU37" i="5"/>
  <c r="AZ37" i="5"/>
  <c r="AR37" i="5"/>
  <c r="AO37" i="5"/>
  <c r="AO22" i="5"/>
  <c r="BE22" i="5"/>
  <c r="AU22" i="5"/>
  <c r="AZ22" i="5"/>
  <c r="AR22" i="5"/>
  <c r="BS66" i="5"/>
  <c r="BO66" i="5"/>
  <c r="BP66" i="5"/>
  <c r="BZ66" i="5"/>
  <c r="BQ66" i="5"/>
  <c r="BR66" i="5"/>
  <c r="BS60" i="5"/>
  <c r="BO60" i="5"/>
  <c r="BP60" i="5"/>
  <c r="CB60" i="5"/>
  <c r="BQ60" i="5"/>
  <c r="BR60" i="5"/>
  <c r="BS55" i="5"/>
  <c r="BO55" i="5"/>
  <c r="CB55" i="5"/>
  <c r="BP55" i="5"/>
  <c r="BQ55" i="5"/>
  <c r="BR55" i="5"/>
  <c r="BS50" i="5"/>
  <c r="BO50" i="5"/>
  <c r="BP50" i="5"/>
  <c r="BQ50" i="5"/>
  <c r="BR50" i="5"/>
  <c r="BS46" i="5"/>
  <c r="BO46" i="5"/>
  <c r="BP46" i="5"/>
  <c r="CB46" i="5"/>
  <c r="BQ46" i="5"/>
  <c r="BR46" i="5"/>
  <c r="CB42" i="5"/>
  <c r="BS42" i="5"/>
  <c r="BO42" i="5"/>
  <c r="BP42" i="5"/>
  <c r="BQ42" i="5"/>
  <c r="BR42" i="5"/>
  <c r="BS38" i="5"/>
  <c r="BO38" i="5"/>
  <c r="BP38" i="5"/>
  <c r="BQ38" i="5"/>
  <c r="BR38" i="5"/>
  <c r="BS33" i="5"/>
  <c r="BO33" i="5"/>
  <c r="BP33" i="5"/>
  <c r="CB33" i="5"/>
  <c r="BQ33" i="5"/>
  <c r="BR33" i="5"/>
  <c r="BS28" i="5"/>
  <c r="BO28" i="5"/>
  <c r="BP28" i="5"/>
  <c r="BQ28" i="5"/>
  <c r="BR28" i="5"/>
  <c r="CB24" i="5"/>
  <c r="BS24" i="5"/>
  <c r="BO24" i="5"/>
  <c r="BP24" i="5"/>
  <c r="BQ24" i="5"/>
  <c r="BR24" i="5"/>
  <c r="BS20" i="5"/>
  <c r="BP20" i="5"/>
  <c r="BQ20" i="5"/>
  <c r="CB20" i="5"/>
  <c r="BR20" i="5"/>
  <c r="CB14" i="5"/>
  <c r="BS14" i="5"/>
  <c r="BO14" i="5"/>
  <c r="BP14" i="5"/>
  <c r="BQ14" i="5"/>
  <c r="BR14" i="5"/>
  <c r="BS10" i="5"/>
  <c r="BO10" i="5"/>
  <c r="BP10" i="5"/>
  <c r="CB10" i="5"/>
  <c r="BQ10" i="5"/>
  <c r="BR10" i="5"/>
  <c r="AR33" i="5"/>
  <c r="AU33" i="5"/>
  <c r="BE33" i="5"/>
  <c r="AO33" i="5"/>
  <c r="AZ33" i="5"/>
  <c r="AU36" i="5"/>
  <c r="AO36" i="5"/>
  <c r="BE36" i="5"/>
  <c r="AR36" i="5"/>
  <c r="AZ36" i="5"/>
  <c r="BS9" i="5"/>
  <c r="CB9" i="5"/>
  <c r="BP9" i="5"/>
  <c r="BQ9" i="5"/>
  <c r="BR9" i="5"/>
  <c r="AR18" i="5"/>
  <c r="AO18" i="5"/>
  <c r="BE18" i="5"/>
  <c r="AU18" i="5"/>
  <c r="AZ18" i="5"/>
  <c r="AZ64" i="5"/>
  <c r="AO64" i="5"/>
  <c r="BE64" i="5"/>
  <c r="AU64" i="5"/>
  <c r="AR64" i="5"/>
  <c r="AU59" i="5"/>
  <c r="BE59" i="5"/>
  <c r="AZ59" i="5"/>
  <c r="AO59" i="5"/>
  <c r="AR59" i="5"/>
  <c r="AR52" i="5"/>
  <c r="AU52" i="5"/>
  <c r="AZ52" i="5"/>
  <c r="AO52" i="5"/>
  <c r="BE52" i="5"/>
  <c r="AO47" i="5"/>
  <c r="AR47" i="5"/>
  <c r="AZ47" i="5"/>
  <c r="AU47" i="5"/>
  <c r="BE47" i="5"/>
  <c r="AO38" i="5"/>
  <c r="BE38" i="5"/>
  <c r="AU38" i="5"/>
  <c r="AZ38" i="5"/>
  <c r="AR38" i="5"/>
  <c r="BE13" i="5"/>
  <c r="AZ13" i="5"/>
  <c r="AU13" i="5"/>
  <c r="AO13" i="5"/>
  <c r="AR13" i="5"/>
  <c r="AU11" i="5"/>
  <c r="AZ11" i="5"/>
  <c r="BE11" i="5"/>
  <c r="AO11" i="5"/>
  <c r="AR11" i="5"/>
  <c r="BR61" i="5"/>
  <c r="CB61" i="5"/>
  <c r="BS61" i="5"/>
  <c r="BO61" i="5"/>
  <c r="BP61" i="5"/>
  <c r="BQ61" i="5"/>
  <c r="BR56" i="5"/>
  <c r="CB56" i="5"/>
  <c r="BS56" i="5"/>
  <c r="BO56" i="5"/>
  <c r="BP56" i="5"/>
  <c r="BQ56" i="5"/>
  <c r="BR51" i="5"/>
  <c r="BS51" i="5"/>
  <c r="BP51" i="5"/>
  <c r="CB51" i="5"/>
  <c r="BQ51" i="5"/>
  <c r="BR47" i="5"/>
  <c r="CB47" i="5"/>
  <c r="BS47" i="5"/>
  <c r="BO47" i="5"/>
  <c r="BP47" i="5"/>
  <c r="BQ47" i="5"/>
  <c r="CB43" i="5"/>
  <c r="BR43" i="5"/>
  <c r="BS43" i="5"/>
  <c r="BO43" i="5"/>
  <c r="BP43" i="5"/>
  <c r="BQ43" i="5"/>
  <c r="BR39" i="5"/>
  <c r="BS39" i="5"/>
  <c r="BO39" i="5"/>
  <c r="BP39" i="5"/>
  <c r="BQ39" i="5"/>
  <c r="BR34" i="5"/>
  <c r="BS34" i="5"/>
  <c r="CB34" i="5"/>
  <c r="BP34" i="5"/>
  <c r="BQ34" i="5"/>
  <c r="CB29" i="5"/>
  <c r="BR29" i="5"/>
  <c r="BS29" i="5"/>
  <c r="BO29" i="5"/>
  <c r="BP29" i="5"/>
  <c r="BQ29" i="5"/>
  <c r="BR25" i="5"/>
  <c r="BS25" i="5"/>
  <c r="BO25" i="5"/>
  <c r="BP25" i="5"/>
  <c r="CB25" i="5"/>
  <c r="BQ25" i="5"/>
  <c r="BR21" i="5"/>
  <c r="BS21" i="5"/>
  <c r="CB21" i="5"/>
  <c r="BP21" i="5"/>
  <c r="BQ21" i="5"/>
  <c r="BP12" i="5"/>
  <c r="BP18" i="5"/>
  <c r="BP22" i="5"/>
  <c r="BP26" i="5"/>
  <c r="BP30" i="5"/>
  <c r="BP36" i="5"/>
  <c r="BQ11" i="5"/>
  <c r="BQ15" i="5"/>
  <c r="BO12" i="5"/>
  <c r="BO18" i="5"/>
  <c r="BO22" i="5"/>
  <c r="BO30" i="5"/>
  <c r="BO36" i="5"/>
  <c r="BP11" i="5"/>
  <c r="BP15" i="5"/>
  <c r="BS12" i="5"/>
  <c r="BS18" i="5"/>
  <c r="BS22" i="5"/>
  <c r="BS26" i="5"/>
  <c r="BS30" i="5"/>
  <c r="BS36" i="5"/>
  <c r="CB26" i="5"/>
  <c r="CB11" i="5"/>
  <c r="BO11" i="5"/>
  <c r="BO15" i="5"/>
  <c r="BR12" i="5"/>
  <c r="BR18" i="5"/>
  <c r="BR22" i="5"/>
  <c r="BR26" i="5"/>
  <c r="BR30" i="5"/>
  <c r="BR36" i="5"/>
  <c r="BS11" i="5"/>
  <c r="BS15" i="5"/>
  <c r="CB30" i="5"/>
  <c r="BN69" i="5"/>
  <c r="BN74" i="5" s="1"/>
  <c r="BH69" i="5" l="1"/>
  <c r="BH74" i="5" s="1"/>
  <c r="BF74" i="5"/>
  <c r="BO26" i="5"/>
  <c r="CB74" i="5"/>
  <c r="CJ74" i="5"/>
  <c r="DM66" i="5"/>
  <c r="DM69" i="5" s="1"/>
  <c r="BZ69" i="5"/>
  <c r="BZ74" i="5" s="1"/>
  <c r="CB69" i="5"/>
  <c r="AR48" i="5"/>
  <c r="BE65" i="5"/>
  <c r="AZ65" i="5"/>
  <c r="AO26" i="5"/>
  <c r="BE48" i="5"/>
  <c r="AZ48" i="5"/>
  <c r="BO48" i="5"/>
  <c r="AU48" i="5"/>
  <c r="AZ26" i="5"/>
  <c r="BE51" i="5"/>
  <c r="BO34" i="5"/>
  <c r="AO34" i="5"/>
  <c r="DE66" i="5"/>
  <c r="DE69" i="5" s="1"/>
  <c r="DE74" i="5" s="1"/>
  <c r="AR26" i="5"/>
  <c r="BE26" i="5"/>
  <c r="BO65" i="5"/>
  <c r="AU65" i="5"/>
  <c r="BG69" i="5"/>
  <c r="BG74" i="5" s="1"/>
  <c r="AR65" i="5"/>
  <c r="CS66" i="5"/>
  <c r="CS69" i="5" s="1"/>
  <c r="CS74" i="5" s="1"/>
  <c r="CY66" i="5"/>
  <c r="CY69" i="5" s="1"/>
  <c r="CY74" i="5" s="1"/>
  <c r="BE21" i="5"/>
  <c r="BE34" i="5"/>
  <c r="AO51" i="5"/>
  <c r="AZ34" i="5"/>
  <c r="AR51" i="5"/>
  <c r="AR20" i="5"/>
  <c r="AR34" i="5"/>
  <c r="BO51" i="5"/>
  <c r="AZ51" i="5"/>
  <c r="AU21" i="5"/>
  <c r="CI66" i="5"/>
  <c r="CI69" i="5" s="1"/>
  <c r="CN66" i="5"/>
  <c r="CN69" i="5" s="1"/>
  <c r="CN74" i="5" s="1"/>
  <c r="AE69" i="5"/>
  <c r="AE74" i="5" s="1"/>
  <c r="Z69" i="5"/>
  <c r="Z74" i="5" s="1"/>
  <c r="AR21" i="5"/>
  <c r="BO21" i="5"/>
  <c r="AO21" i="5"/>
  <c r="AJ69" i="5"/>
  <c r="AJ74" i="5" s="1"/>
  <c r="CB66" i="5"/>
  <c r="CE66" i="5"/>
  <c r="CE69" i="5" s="1"/>
  <c r="CE74" i="5" s="1"/>
  <c r="AO20" i="5"/>
  <c r="AZ20" i="5"/>
  <c r="W69" i="5"/>
  <c r="W74" i="5" s="1"/>
  <c r="BE20" i="5"/>
  <c r="BO20" i="5"/>
  <c r="AB69" i="5"/>
  <c r="AB74" i="5" s="1"/>
  <c r="AH69" i="5"/>
  <c r="AH74" i="5" s="1"/>
  <c r="AD69" i="5"/>
  <c r="AD74" i="5" s="1"/>
  <c r="U69" i="5"/>
  <c r="U74" i="5" s="1"/>
  <c r="AF69" i="5"/>
  <c r="AF74" i="5" s="1"/>
  <c r="Y69" i="5"/>
  <c r="Y74" i="5" s="1"/>
  <c r="AA69" i="5"/>
  <c r="AA74" i="5" s="1"/>
  <c r="V69" i="5"/>
  <c r="V74" i="5" s="1"/>
  <c r="BX12" i="5"/>
  <c r="BV69" i="5"/>
  <c r="BV74" i="5" s="1"/>
  <c r="AM69" i="5"/>
  <c r="AM74" i="5" s="1"/>
  <c r="BO9" i="5"/>
  <c r="AZ9" i="5"/>
  <c r="AU9" i="5"/>
  <c r="AR9" i="5"/>
  <c r="BE9" i="5"/>
  <c r="AO9" i="5"/>
  <c r="BP69" i="5"/>
  <c r="BP74" i="5" s="1"/>
  <c r="BQ69" i="5"/>
  <c r="BQ74" i="5" s="1"/>
  <c r="BR69" i="5"/>
  <c r="BR74" i="5" s="1"/>
  <c r="BS69" i="5"/>
  <c r="BS74" i="5" s="1"/>
  <c r="BO69" i="5" l="1"/>
  <c r="BO74" i="5" s="1"/>
  <c r="BE69" i="5"/>
  <c r="BE74" i="5" s="1"/>
  <c r="CI70" i="5"/>
  <c r="CI74" i="5" s="1"/>
  <c r="AU69" i="5"/>
  <c r="AU74" i="5" s="1"/>
  <c r="AR69" i="5"/>
  <c r="AR74" i="5" s="1"/>
  <c r="AO69" i="5"/>
  <c r="AO74" i="5" s="1"/>
  <c r="AZ69" i="5"/>
  <c r="AZ74" i="5" s="1"/>
  <c r="BX69" i="5"/>
  <c r="BX74" i="5" s="1"/>
  <c r="P69" i="5"/>
  <c r="P74" i="5" s="1"/>
  <c r="L69" i="5"/>
  <c r="L74" i="5" s="1"/>
  <c r="T69" i="5"/>
  <c r="T74" i="5" s="1"/>
  <c r="F69" i="5"/>
  <c r="F74" i="5" s="1"/>
  <c r="H69" i="5"/>
  <c r="H7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9" authorId="0" shapeId="0" xr:uid="{00000000-0006-0000-0000-000001000000}">
      <text>
        <r>
          <rPr>
            <b/>
            <sz val="9"/>
            <color indexed="81"/>
            <rFont val="Tahoma"/>
            <family val="2"/>
          </rPr>
          <t>Jou, Julia (ESE):</t>
        </r>
        <r>
          <rPr>
            <sz val="9"/>
            <color indexed="81"/>
            <rFont val="Tahoma"/>
            <family val="2"/>
          </rPr>
          <t xml:space="preserve">
earmark</t>
        </r>
      </text>
    </comment>
    <comment ref="D24" authorId="1" shapeId="0" xr:uid="{00000000-0006-0000-0000-000002000000}">
      <text>
        <r>
          <rPr>
            <b/>
            <sz val="9"/>
            <color indexed="81"/>
            <rFont val="Tahoma"/>
            <family val="2"/>
          </rPr>
          <t>Julia Jou:</t>
        </r>
        <r>
          <rPr>
            <sz val="9"/>
            <color indexed="81"/>
            <rFont val="Tahoma"/>
            <family val="2"/>
          </rPr>
          <t xml:space="preserve">
$5 million 9c cut restored
</t>
        </r>
      </text>
    </comment>
    <comment ref="ER48"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<sst xmlns="http://schemas.openxmlformats.org/spreadsheetml/2006/main" count="1803" uniqueCount="751">
  <si>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</si>
  <si>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</si>
  <si>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</si>
  <si>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</si>
  <si>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</si>
  <si>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</si>
  <si>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</si>
  <si>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</si>
  <si>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</si>
  <si>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</si>
  <si>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</si>
  <si>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</si>
  <si>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</si>
  <si>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</si>
  <si>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</si>
  <si>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</si>
  <si>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</si>
  <si>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</si>
  <si>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</si>
  <si>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</si>
  <si>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</si>
  <si>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</si>
  <si>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</si>
  <si>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</si>
  <si>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</si>
  <si>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</si>
  <si>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</si>
  <si>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</si>
  <si>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</si>
  <si>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</si>
  <si>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</si>
  <si>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</si>
  <si>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</si>
  <si>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</si>
  <si>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</si>
  <si>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</si>
  <si>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</si>
  <si>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</si>
  <si>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</si>
  <si>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</si>
  <si>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</si>
  <si>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</si>
  <si>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</si>
  <si>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</si>
  <si>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</si>
  <si>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</si>
  <si>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</si>
  <si>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</si>
  <si>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</si>
  <si>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</si>
  <si>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</si>
  <si>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</si>
  <si>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</si>
  <si>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</si>
  <si>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</si>
  <si>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</si>
  <si>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</si>
  <si>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</si>
  <si>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</si>
  <si>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</si>
  <si>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</si>
  <si>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</si>
  <si>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</si>
  <si>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</si>
  <si>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</si>
  <si>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</si>
  <si>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</si>
  <si>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</si>
  <si>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</si>
  <si>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</si>
  <si>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</si>
  <si>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</si>
  <si>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</si>
  <si>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</si>
  <si>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</si>
  <si>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</si>
  <si>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</si>
  <si>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</si>
  <si>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</si>
  <si>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</si>
  <si>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</si>
  <si>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</si>
  <si>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</si>
  <si>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</si>
  <si>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</si>
  <si>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</si>
  <si>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</si>
  <si>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</si>
  <si>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</si>
  <si>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</si>
  <si>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</si>
  <si>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</si>
  <si>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</si>
  <si>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</si>
  <si>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</si>
  <si>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</si>
  <si>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</si>
  <si>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</si>
  <si>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</si>
  <si>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</si>
  <si>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</si>
  <si>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</si>
  <si>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</si>
  <si>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</si>
  <si>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</si>
  <si>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</si>
  <si>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</si>
  <si>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</si>
  <si>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</si>
  <si>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</si>
  <si>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</si>
  <si>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</si>
  <si>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</si>
  <si>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</si>
  <si>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</si>
  <si>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</si>
  <si>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</si>
  <si>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</si>
  <si>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</si>
  <si>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</si>
  <si>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</si>
  <si>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</si>
  <si>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</si>
  <si>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</si>
  <si>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</si>
  <si>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</si>
  <si>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</si>
  <si>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</si>
  <si>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</si>
  <si>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</si>
  <si>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</si>
  <si>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</si>
  <si>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</si>
  <si>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</si>
  <si>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</si>
  <si>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</si>
  <si>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</si>
  <si>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</si>
  <si>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</si>
  <si>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</si>
  <si>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FY16 GAA Budg&amp;</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</si>
  <si>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</si>
  <si>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</si>
  <si>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</si>
  <si>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</si>
  <si>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</si>
  <si>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</si>
  <si>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</si>
  <si>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</si>
  <si>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</si>
  <si>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</si>
  <si>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</si>
  <si>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</si>
  <si>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</si>
  <si>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</si>
  <si>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</si>
  <si>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</si>
  <si>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</si>
  <si>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</si>
  <si>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</si>
  <si>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</si>
  <si>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</si>
  <si>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</si>
  <si>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</si>
  <si>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</si>
  <si>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</si>
  <si>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</si>
  <si>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</si>
  <si>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</si>
  <si>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</si>
  <si>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</si>
  <si>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</si>
  <si>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</si>
  <si>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</si>
  <si>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</si>
  <si>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</si>
  <si>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</si>
  <si>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</si>
  <si>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</si>
  <si>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</si>
  <si>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</si>
  <si>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</si>
  <si>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</si>
  <si>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</si>
  <si>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</si>
  <si>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</si>
  <si>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</si>
  <si>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</si>
  <si>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</si>
  <si>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</si>
  <si>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</si>
  <si>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</si>
  <si>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</si>
  <si>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</si>
  <si>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</si>
  <si>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</si>
  <si>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</si>
  <si>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</si>
  <si>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</si>
  <si>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</si>
  <si>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</si>
  <si>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</si>
  <si>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</si>
  <si>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</si>
  <si>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</si>
  <si>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</si>
  <si>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</si>
  <si>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</si>
  <si>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</si>
  <si>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</si>
  <si>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</si>
  <si>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</si>
  <si>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</si>
  <si>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</si>
  <si>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</si>
  <si>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</si>
  <si>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</si>
  <si>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</si>
  <si>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</si>
  <si>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</si>
  <si>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</si>
  <si>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</si>
  <si>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</si>
  <si>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</si>
  <si>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</si>
  <si>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</si>
  <si>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</si>
  <si>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</si>
  <si>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</si>
  <si>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</si>
  <si>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</si>
  <si>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</si>
  <si>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</si>
  <si>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</si>
  <si>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</si>
  <si>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</si>
  <si>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</si>
  <si>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</si>
  <si>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</si>
  <si>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</si>
  <si>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</si>
  <si>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</si>
  <si>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</si>
  <si>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</si>
  <si>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</si>
  <si>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</si>
  <si>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</si>
  <si>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</si>
  <si>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</si>
  <si>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</si>
  <si>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</si>
  <si>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</si>
  <si>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</si>
  <si>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</si>
  <si>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</si>
  <si>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</si>
  <si>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</si>
  <si>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</si>
  <si>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</si>
  <si>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</si>
  <si>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</si>
  <si>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</si>
  <si>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</si>
  <si>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</si>
  <si>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Hispanic American Library of Springfield</t>
  </si>
  <si>
    <t>Greater Lawrence Technical School in Ayer</t>
  </si>
  <si>
    <t>Brockton</t>
  </si>
  <si>
    <t>Clarksburg Elementary</t>
  </si>
  <si>
    <t>Woodland, Powder Mill and High Schools in Southwick</t>
  </si>
  <si>
    <t>Earmarks totaling $1.69M</t>
  </si>
  <si>
    <t>9c cut cut restored</t>
  </si>
  <si>
    <t>$250k earmark</t>
  </si>
  <si>
    <t>Entity</t>
  </si>
  <si>
    <t>Operation ABLE</t>
  </si>
  <si>
    <t>Casa Dominicana of Lawrence</t>
  </si>
  <si>
    <t>$311k net reduction from FY17 + $200k earmarks</t>
  </si>
  <si>
    <t>added earmark language</t>
  </si>
  <si>
    <t>$100k earmark</t>
  </si>
  <si>
    <t>Lincoln</t>
  </si>
  <si>
    <t>Youth Court programs of New Bedford &amp; Fall River</t>
  </si>
  <si>
    <t>Dept of Community Services New Bedford - STEAM Design Academy for Girls</t>
  </si>
  <si>
    <t>Bird Street Community Center Boston</t>
  </si>
  <si>
    <t>Recreation Worcester</t>
  </si>
  <si>
    <t>FY18 HWM</t>
  </si>
  <si>
    <t xml:space="preserve">7035-0002 </t>
  </si>
  <si>
    <t>$350k earmarks</t>
  </si>
  <si>
    <t>Chef in schools</t>
  </si>
  <si>
    <t>Amesbury Public Schools - computer carts</t>
  </si>
  <si>
    <t>Pembroke - technology upgrade</t>
  </si>
  <si>
    <t>Millis - mitigation costs</t>
  </si>
  <si>
    <t>Dracut - tech upgrade</t>
  </si>
  <si>
    <t>Madison Park High - STEM program</t>
  </si>
  <si>
    <t>North Street Elementary in Tewksbury - emergency repairs</t>
  </si>
  <si>
    <t>Westford - tech upgrade</t>
  </si>
  <si>
    <t>Rockland - teacher training for ELLs</t>
  </si>
  <si>
    <t>Rockland - teacher training for SPED</t>
  </si>
  <si>
    <t>JFK Library Foundation - education program</t>
  </si>
  <si>
    <t>Hingham - safety upgrades</t>
  </si>
  <si>
    <t>Cohasset - school resource officer</t>
  </si>
  <si>
    <t>Hull - school resource officer</t>
  </si>
  <si>
    <t>South Hadley - culinary arts program</t>
  </si>
  <si>
    <t>$150,611 net reduction from FY17.  $300k earmark for Reading Recovery</t>
  </si>
  <si>
    <t>Reading Recovery</t>
  </si>
  <si>
    <t>JFY Networks</t>
  </si>
  <si>
    <t>$200k earmark for JFY Networks</t>
  </si>
  <si>
    <t>FY18 SWM and</t>
  </si>
  <si>
    <t>FY18 House</t>
  </si>
  <si>
    <t>FY18 SWM Notes</t>
  </si>
  <si>
    <t>FY18 House Notes</t>
  </si>
  <si>
    <t>Ashland</t>
  </si>
  <si>
    <t>$600k earmarks</t>
  </si>
  <si>
    <t>$12,548,162 transitional relief for low-income school enrollment calculation</t>
  </si>
  <si>
    <t>Randolph - parent engagement program</t>
  </si>
  <si>
    <t>Chelsea - social worker to reduce school violence</t>
  </si>
  <si>
    <t>Everett - youth case worker to combat youth violence</t>
  </si>
  <si>
    <t>Hoops and Homework</t>
  </si>
  <si>
    <t>Resiliency for Life</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</si>
  <si>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</si>
  <si>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</si>
  <si>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</si>
  <si>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</si>
  <si>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</si>
  <si>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</si>
  <si>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</si>
  <si>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</si>
  <si>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Springfield - programming for at-risk middle and HS students through mentoring, truancy prevention and other interventions</t>
  </si>
  <si>
    <t>North Attleboro - school resource officer</t>
  </si>
  <si>
    <t>$650k earmarks for Reading Recovery and Bay State Reading</t>
  </si>
  <si>
    <t>Best Buddies</t>
  </si>
  <si>
    <t>for the purpose of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</si>
  <si>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$650k in earmarks</t>
  </si>
  <si>
    <t>Yes We Care/Torch Training Program</t>
  </si>
  <si>
    <t>Steps to Success Brookline</t>
  </si>
  <si>
    <t xml:space="preserve">operation of a pilot data-sharing program designed to provide school districts with funds to partner with local community-based organizations and share identifiable student data </t>
  </si>
  <si>
    <t>a new grant to increase access to quality afterschool or summer learning programs for school-age children and youth</t>
  </si>
  <si>
    <t xml:space="preserve">Community Foundation of Southeastern Massachusetts - provide access to youth development and arts and cultural programming for financially disadvantaged youth in the city of New Bedford, </t>
  </si>
  <si>
    <t>Community Boating Center, Inc. of New Bedford for programming for financially disadvantaged children</t>
  </si>
  <si>
    <t>Beyond Soccer - health, athletic and leadership programming for low-income youth in Lawrence</t>
  </si>
  <si>
    <t>More Than Words - vocational program for system-involved youth</t>
  </si>
  <si>
    <t>Triangle Inc's School to Career Program</t>
  </si>
  <si>
    <t>$125k earmark + $870k new earmarks, net increase of $750k from FY17</t>
  </si>
  <si>
    <t>$600k +$400k of new earmarks for $1M total</t>
  </si>
  <si>
    <t>$335k of earmarks + $280k increase over FY17</t>
  </si>
  <si>
    <t>Lawrence Family Development and Education Fund to assist in citizenship education, citizenship application assistance, ESL classes, and computer training for low-income adults</t>
  </si>
  <si>
    <t>$250k earmark + new $50k earnark, net increase of $1.98M over FY17</t>
  </si>
  <si>
    <t>$400k earmarks</t>
  </si>
  <si>
    <t>FY18 Conference and</t>
  </si>
  <si>
    <t>FY18 Senate</t>
  </si>
  <si>
    <t>FY18 Conference Notes</t>
  </si>
  <si>
    <t>Abington for curriculum upgrade</t>
  </si>
  <si>
    <t>Framingham to mitigate student overcrowding</t>
  </si>
  <si>
    <t>H. Olive Day Elementary roof replacement in Norfolk</t>
  </si>
  <si>
    <t>Jackson Elementary playground update in Plainville</t>
  </si>
  <si>
    <t>North Andover - sustain full-day kindergarten</t>
  </si>
  <si>
    <t>7027-1009</t>
  </si>
  <si>
    <t>$2,590,000 of earmarks.  $256,096 cut to maintenance budget</t>
  </si>
  <si>
    <t>Pentucket Regional</t>
  </si>
  <si>
    <t>Scholar Athletes, Inc.</t>
  </si>
  <si>
    <t>Youth &amp; Family Enrichment Services of Hyde Park -provide after-school academic enrichment for area youth</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</si>
  <si>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</si>
  <si>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</si>
  <si>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</si>
  <si>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</si>
  <si>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</si>
  <si>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</si>
  <si>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</si>
  <si>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</si>
  <si>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</si>
  <si>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</si>
  <si>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</si>
  <si>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</si>
  <si>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</si>
  <si>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</si>
  <si>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</si>
  <si>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</si>
  <si>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</si>
  <si>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</si>
  <si>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</si>
  <si>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</si>
  <si>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</si>
  <si>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</si>
  <si>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</si>
  <si>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FY18 Budget Earmark Details</t>
  </si>
  <si>
    <t>Camp Pohelo Tewksbury</t>
  </si>
  <si>
    <t>Wrentham - education and awareness of opiate addiction</t>
  </si>
  <si>
    <t>Grow Food Northampton</t>
  </si>
  <si>
    <t>Methuen High School - mental health counseling</t>
  </si>
  <si>
    <t>Adams-Cheshire Regional - offsetting increased costs</t>
  </si>
  <si>
    <t>Blackstone Valley Education Foundation - collaboration between public schools and area manufacturers</t>
  </si>
  <si>
    <t>Bottom Line - provide college transition and retention services for low-income or first-generation college students</t>
  </si>
  <si>
    <t>Homework House of Holyoke</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</si>
  <si>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</si>
  <si>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</si>
  <si>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</si>
  <si>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</si>
  <si>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</si>
  <si>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</si>
  <si>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</si>
  <si>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</si>
  <si>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</si>
  <si>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</si>
  <si>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</si>
  <si>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</si>
  <si>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</si>
  <si>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</si>
  <si>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</si>
  <si>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</si>
  <si>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</si>
  <si>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</si>
  <si>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</si>
  <si>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</si>
  <si>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Civics education learning opportunities</t>
  </si>
  <si>
    <t>JFK Library Foundation</t>
  </si>
  <si>
    <t>Purpose</t>
  </si>
  <si>
    <t>Reading Recovery grants</t>
  </si>
  <si>
    <t>Gateway Cities</t>
  </si>
  <si>
    <t>High quality, intensive ELL programs in districts serving Gateway Cities</t>
  </si>
  <si>
    <t>Account</t>
  </si>
  <si>
    <t>Amount</t>
  </si>
  <si>
    <t>$250k for ELL programs in Gateway Cities and funding for Voc. Ed. Teacher RETELL training and LOOK Act implementation</t>
  </si>
  <si>
    <t>language added to reduce waitlist of students for ELL slots</t>
  </si>
  <si>
    <t>$250k for Chefs in Schools</t>
  </si>
  <si>
    <t>Chef in Schools Program</t>
  </si>
  <si>
    <t>Project Bread</t>
  </si>
  <si>
    <t>relief to districts negatively impacted by the change in the low-income calculation in  foundation budget</t>
  </si>
  <si>
    <t>$6.5M for DDS earmark</t>
  </si>
  <si>
    <t>Dept. of Developmental Services</t>
  </si>
  <si>
    <t>voluntary residential placement prevention program</t>
  </si>
  <si>
    <t>$100k to cover additional costs due to renewal year</t>
  </si>
  <si>
    <t>$100k for Reading Recovery vs. $300k in FY18</t>
  </si>
  <si>
    <t>leverage preexisting investments and establish and infrastruction to facilitate coordination of school and community-based resources</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</si>
  <si>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</si>
  <si>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</si>
  <si>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</si>
  <si>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</si>
  <si>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</si>
  <si>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</si>
  <si>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</si>
  <si>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</si>
  <si>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</si>
  <si>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</si>
  <si>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</si>
  <si>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</si>
  <si>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</si>
  <si>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</si>
  <si>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Recovery High School administration costs at DESE</t>
  </si>
  <si>
    <t>On the Move Inc.</t>
  </si>
  <si>
    <t>La Feria Internacional del Libro Inc.</t>
  </si>
  <si>
    <t>Rockland Public Schools</t>
  </si>
  <si>
    <t>Hanover Public Schools</t>
  </si>
  <si>
    <t>teacher training for ELL program</t>
  </si>
  <si>
    <t>Edward M. Kennedy Institute</t>
  </si>
  <si>
    <t>Civics education programs</t>
  </si>
  <si>
    <t>pilot project for organic gardening, outdoor exercise, healthy food, food preparation and elementary school aged children in the greater Northampton area</t>
  </si>
  <si>
    <t>Whitman-Hanson Regional School District</t>
  </si>
  <si>
    <t>technology upgrades</t>
  </si>
  <si>
    <t>Greater Northampton area</t>
  </si>
  <si>
    <t>Sandwich public schools</t>
  </si>
  <si>
    <t>improvements</t>
  </si>
  <si>
    <t>improvements for buildings</t>
  </si>
  <si>
    <t>Upper Cape Cod regional school district</t>
  </si>
  <si>
    <t>Norwell public schools</t>
  </si>
  <si>
    <t>Camp Pohelo in the town of Tewksbury</t>
  </si>
  <si>
    <t>Shawsheen Valley Full Potential Project summer  camp</t>
  </si>
  <si>
    <t>Shawsheen Valley Regional Technical High School</t>
  </si>
  <si>
    <t xml:space="preserve">Peabody Public School </t>
  </si>
  <si>
    <t>maintain or reduce kindergarten class size</t>
  </si>
  <si>
    <t>automatic defibrillators</t>
  </si>
  <si>
    <t>Freetown-Lakeville School System</t>
  </si>
  <si>
    <t>Brockton public schools</t>
  </si>
  <si>
    <t>Tri-County Regional Vocational Technical High School</t>
  </si>
  <si>
    <t>Springfield public schools</t>
  </si>
  <si>
    <t>continue data-supported programming to address the needs of at-risk middle and high school students</t>
  </si>
  <si>
    <t>Methuen High School</t>
  </si>
  <si>
    <t>mental health services</t>
  </si>
  <si>
    <t>town of Westford</t>
  </si>
  <si>
    <t>construction, renovation and upgrade of a new playground at the Norman E. Day Elementary School</t>
  </si>
  <si>
    <t>certified nursing assistance program</t>
  </si>
  <si>
    <t>Ware Public Schools</t>
  </si>
  <si>
    <t>Project Learn in Lowell</t>
  </si>
  <si>
    <t>Triangle, Inc.’s School to Career Program</t>
  </si>
  <si>
    <t>connects special education students with disabilities in Greater Boston to careers and their local communities</t>
  </si>
  <si>
    <t>Operation A.B.L.E. of Greater Boston</t>
  </si>
  <si>
    <t>basic workforce and skills training, employment services and job reentry support to older workers</t>
  </si>
  <si>
    <t>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</si>
  <si>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town of Lincoln</t>
  </si>
  <si>
    <t>mitigate the costs of educating the children of retired-military families</t>
  </si>
  <si>
    <t>development of new high school assessments and assessments aligned to newly adopted standards in the areas of civics, history and social science, as well as the inclusion of professional development programs to support educators and promote the effective implementation of those newly adopted standards</t>
  </si>
  <si>
    <t>Old Hill Sports and Mentoring program</t>
  </si>
  <si>
    <t>Youth Court programs of New Bedford and Fall River</t>
  </si>
  <si>
    <t>juvenile diversion programs based on the principles of peer-led restorative justice</t>
  </si>
  <si>
    <t>Department of Community Services in the City of New Bedford</t>
  </si>
  <si>
    <t>after-school Girls STEAM Design Academy program</t>
  </si>
  <si>
    <t>Cape Verdean Association of Brockton</t>
  </si>
  <si>
    <t>employment positions for at-risk youth within their YEP! We Can Summer Program</t>
  </si>
  <si>
    <t>I Have a Future program</t>
  </si>
  <si>
    <t>The Mazie Partnership of Wayland</t>
  </si>
  <si>
    <t>mentoring of at-risk students in the Commonwealth</t>
  </si>
  <si>
    <t>Auburn Youth and Family Services, Inc.</t>
  </si>
  <si>
    <t>Steps to Success, Inc. in the town of Brookline</t>
  </si>
  <si>
    <t>Recreation Worcester program;</t>
  </si>
  <si>
    <t>10 earmarked programs and $200k of new funding</t>
  </si>
  <si>
    <t>FY19 SWM and</t>
  </si>
  <si>
    <t>FY19 SWM Budget</t>
  </si>
  <si>
    <t>FY19 House Budget</t>
  </si>
  <si>
    <t>FY19 H2 Budget</t>
  </si>
  <si>
    <t>Veto proof</t>
  </si>
  <si>
    <t>Framingham</t>
  </si>
  <si>
    <t>NE Center for Children Partner Program</t>
  </si>
  <si>
    <t>children on the autism spectrum</t>
  </si>
  <si>
    <t>substance abuse prevention</t>
  </si>
  <si>
    <t>Peabody</t>
  </si>
  <si>
    <t>maintain/reduce kindergarten class size</t>
  </si>
  <si>
    <t>$875k of earmarks leaving $11,223,745 for ESE spending</t>
  </si>
  <si>
    <t>consolidated with 7010-0033 Literacy</t>
  </si>
  <si>
    <t>Bay State Reading</t>
  </si>
  <si>
    <t>$639,500 for Reading Recovery and Bay State Reading earmarks</t>
  </si>
  <si>
    <t>funds to support PD system</t>
  </si>
  <si>
    <t>Hoops and Homeowork</t>
  </si>
  <si>
    <t>academic and enrichment services</t>
  </si>
  <si>
    <t>academic intervention and dropout prevention</t>
  </si>
  <si>
    <t>for grants and admin costs</t>
  </si>
  <si>
    <t>MA Citizens for Children's child sexual abuse prevention programs</t>
  </si>
  <si>
    <t>Legislative Task Force on the Prevention of Child Sexual Abuse</t>
  </si>
  <si>
    <t>$250k of earmarks</t>
  </si>
  <si>
    <t>Funds for Voc. Ed RETELL training and LOOK Act implementation</t>
  </si>
  <si>
    <t>$46k net reduction to FY18 GAA (excluding earmarks)</t>
  </si>
  <si>
    <t>$525k of earmarks leaving $2.33M for ESE spending, net gain of $450k over FY18.</t>
  </si>
  <si>
    <t>FY19 House Budget Earmarks</t>
  </si>
  <si>
    <t>Amendments</t>
  </si>
  <si>
    <t>FY19 Senate and</t>
  </si>
  <si>
    <t>Budget Notes</t>
  </si>
  <si>
    <t>FY19 Senate</t>
  </si>
  <si>
    <t>Steps to Success of Brookline</t>
  </si>
  <si>
    <t>Operation A.B.L.E</t>
  </si>
  <si>
    <t>Millis High School</t>
  </si>
  <si>
    <t>auditorium renovations</t>
  </si>
  <si>
    <t>Summer Learning Grants</t>
  </si>
  <si>
    <t>More Than Words</t>
  </si>
  <si>
    <t>Chelsea Public Schools</t>
  </si>
  <si>
    <t>social worker to reduce school violence</t>
  </si>
  <si>
    <t>Everett Public Schools</t>
  </si>
  <si>
    <t>access to technology</t>
  </si>
  <si>
    <t>music programming</t>
  </si>
  <si>
    <t>Museum of Science</t>
  </si>
  <si>
    <t>engineering curriculum in Everett and Cambridge preschool and after school programs</t>
  </si>
  <si>
    <t>Freetown-Lakeville Athletic Association</t>
  </si>
  <si>
    <t>Triangle Inc</t>
  </si>
  <si>
    <t>School to Career Program</t>
  </si>
  <si>
    <t>athletic and professional training programming</t>
  </si>
  <si>
    <t>Yout &amp; Family Enrichment Services Inc. of Hyde Park</t>
  </si>
  <si>
    <t>after-school academic enrichment for area youth</t>
  </si>
  <si>
    <t>Bottom Line</t>
  </si>
  <si>
    <t>college transition and college retention services for low-income or aspiring first-generation college students</t>
  </si>
  <si>
    <t>study and report on a policy and practice review, along with a needs assessment, regarding education in the public schools, of the children who are capable of achieving beyond the age-based grades, and those who are gifted as defined by federal law</t>
  </si>
  <si>
    <t>Weymouth Public Schools</t>
  </si>
  <si>
    <t>new security features and practical training exercises for school staff</t>
  </si>
  <si>
    <t>Calmer Choice, Inc.</t>
  </si>
  <si>
    <t>development and support of anti-addiction programs in schools in districts including, but not limited to, Monomoy regional school district, Mashpee school district, Barnstable school district, Nauset regional school district and Dennis-Yarmouth regional school district</t>
  </si>
  <si>
    <t>Massachusetts History Day state competition</t>
  </si>
  <si>
    <t>New Democracy Coalition of Massachusetts, Inc</t>
  </si>
  <si>
    <t>civic education curriculum and youth programming related to the work of the late Dr. Martin Luther King</t>
  </si>
  <si>
    <t>of English language tutoring and small group instruction to adult learners</t>
  </si>
  <si>
    <t>English At Large</t>
  </si>
  <si>
    <t>late afternoon and evening transportation for METCO students attending public schools in the Towns of Arlington and Lexington</t>
  </si>
  <si>
    <t>for school districts in which special education costs exceed 25 percent of the total district costs and in which tuition and other circuit-breaker eligible costs for placements at an approved private school located within the district exceed both $1,000,000 and 25 percent of all tuition and other circuit-breaker eligible costs for placements at approved private schools</t>
  </si>
  <si>
    <t>Massachusetts Marine Trades Association</t>
  </si>
  <si>
    <t>increasing workforce development training opportunities and technical education in secondary and post-secondary schools for careers in the marine trades in Massachusetts</t>
  </si>
  <si>
    <t xml:space="preserve">Community Music School of Springfield </t>
  </si>
  <si>
    <t xml:space="preserve">Adaptive Music Program </t>
  </si>
  <si>
    <t>Rural School Aid</t>
  </si>
  <si>
    <t xml:space="preserve">Rites of Passage and Empowerment Program in the city of Pittsfield </t>
  </si>
  <si>
    <t>mentoring programs for adolescent girls</t>
  </si>
  <si>
    <t>Berkshire County Education Task Force</t>
  </si>
  <si>
    <t>establish a plan of action to develop a sustainable and efficient county-wide public education system</t>
  </si>
  <si>
    <t xml:space="preserve">Dennison Memorial Community Center in the city of New Bedford </t>
  </si>
  <si>
    <t>educational programs to benefit financially disadvantaged children in New Bedford</t>
  </si>
  <si>
    <t>$100k of earmarks</t>
  </si>
  <si>
    <t>FY19 Senate Budget Earmarks</t>
  </si>
  <si>
    <t>Town of Wrentham to be split amongst King Philip Regional, Norfolk, Plainville and Wrentham schools districts</t>
  </si>
  <si>
    <t>vocational program for system-involved youth</t>
  </si>
  <si>
    <t>funding increase</t>
  </si>
  <si>
    <t>mitigate student overcrowding</t>
  </si>
  <si>
    <t>Hopkinton High School</t>
  </si>
  <si>
    <t>North Reading Public Schools</t>
  </si>
  <si>
    <t>1:1 Initiative school technology grant</t>
  </si>
  <si>
    <t>Turkey Hill School in Lunenberg</t>
  </si>
  <si>
    <t>asbestos abatement and ceiling replacement</t>
  </si>
  <si>
    <t>$2.535M of total earmarks, $10,923,745 net DESE spending, $400k less than maintenance.</t>
  </si>
  <si>
    <t>$639,500 for Reading Recovery and Bay State Reading earmarks. $1,386,726 net spending.</t>
  </si>
  <si>
    <t>$10k earmark</t>
  </si>
  <si>
    <t>Beyond Soccer, Inc.</t>
  </si>
  <si>
    <t>innovatiove health, athletic and ledership programming for low-income youth in Lawrence</t>
  </si>
  <si>
    <t>All Dorchester Sports League, Inc.</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</si>
  <si>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</si>
  <si>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</si>
  <si>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</si>
  <si>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</si>
  <si>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</si>
  <si>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</si>
  <si>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</si>
  <si>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</si>
  <si>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</si>
  <si>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enhance summer food service outreach program</t>
  </si>
  <si>
    <t>veto proof</t>
  </si>
  <si>
    <t>$858k earmarks removed to support $1M in expansion.</t>
  </si>
  <si>
    <t>$858kof FY18  earmarks removed to support $1M in expansion. 2 new earmarks</t>
  </si>
  <si>
    <t>FY19 Conference</t>
  </si>
  <si>
    <t>$40k of earmarks + $1.5 M new funding</t>
  </si>
  <si>
    <t>$679,500 of earmarks.  $1.396M net spending.</t>
  </si>
  <si>
    <t>classroom upgrades</t>
  </si>
  <si>
    <t xml:space="preserve">Wooland, Powder Mill and High Schools in Southwick </t>
  </si>
  <si>
    <t>All earmarks</t>
  </si>
  <si>
    <t>furnishing of meals to school children  through the schools backpack program</t>
  </si>
  <si>
    <t>enhance summer food service outreach program and school breakfast outreach program</t>
  </si>
  <si>
    <t>transitional relief to districts significantly and negatively impacted by the change in the low-income enrollment measurement</t>
  </si>
  <si>
    <t>$27.5M of earmarks</t>
  </si>
  <si>
    <t>peer to peer inclusion programs for students with intellectual disabilities</t>
  </si>
  <si>
    <t xml:space="preserve">MA Chapter of Best Buddies International </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</si>
  <si>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</si>
  <si>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</si>
  <si>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</si>
  <si>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</si>
  <si>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academic support for students who have not earned a competency determination on MCAS</t>
  </si>
  <si>
    <t>$200K earmark</t>
  </si>
  <si>
    <t>$12.5M earmark</t>
  </si>
  <si>
    <t>$40K of earmarks + $1.5M new funding</t>
  </si>
  <si>
    <t>$500K of earmarks + $1.5M of new funding. $4.5M in net spending.</t>
  </si>
  <si>
    <t>$350K of earmarks + $2M of new funding. Net spending is $33M.</t>
  </si>
  <si>
    <t>$10K earmark</t>
  </si>
  <si>
    <t>$600K of earmarks</t>
  </si>
  <si>
    <t xml:space="preserve">Community Foundation of Southeastern Massachusetts, Inc. </t>
  </si>
  <si>
    <t>1-time grant program to (i) provide access to youth development and arts and cultural programming for financially disadvantaged youth in the city of New Bedford, (ii) strengthen relationships among first responders and youth in the city of New Bedford, and (iii) expand after school and summer programs for financially disadvantaged youth in the city of New Bedford; provided further, that possible applicants to said grant program include nonprofit and public organizations in the city of New Bedford whose mission is to promote youth literacy, development and access to arts and cultural opportunities</t>
  </si>
  <si>
    <t>Youth &amp; Family Enrichment Services Inc. of Hyde Park</t>
  </si>
  <si>
    <t>$1.71M of earmarks. $2,576,923 of net spending ($222K of new funding).</t>
  </si>
  <si>
    <t>$250K of earmarks</t>
  </si>
  <si>
    <t xml:space="preserve">Woodland, Powder Mill and High Schools in Southwick </t>
  </si>
  <si>
    <t>innovative health, athletic and leadership programming for low-income youth in Lawrence</t>
  </si>
  <si>
    <t>leverage preexisting investments and establish and infrastructure to facilitate coordination of school and community-based resources</t>
  </si>
  <si>
    <t>Total</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</si>
  <si>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</si>
  <si>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</si>
  <si>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</si>
  <si>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</si>
  <si>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</si>
  <si>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</si>
  <si>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</si>
  <si>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</si>
  <si>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</si>
  <si>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FY19 GAA Earmarks</t>
  </si>
  <si>
    <t>Object Class</t>
  </si>
  <si>
    <t>PP</t>
  </si>
  <si>
    <t>HH</t>
  </si>
  <si>
    <t>MM</t>
  </si>
  <si>
    <t>JJ</t>
  </si>
  <si>
    <t>DOR ISA</t>
  </si>
  <si>
    <t>FY18 GAA</t>
  </si>
  <si>
    <t>Center Owner</t>
  </si>
  <si>
    <t>CIS</t>
  </si>
  <si>
    <t>CA&amp;F</t>
  </si>
  <si>
    <t>CEO</t>
  </si>
  <si>
    <t>CDS/SEPP</t>
  </si>
  <si>
    <t>F&amp;NS</t>
  </si>
  <si>
    <t>AA</t>
  </si>
  <si>
    <t>Procurement Or GM</t>
  </si>
  <si>
    <t>Procurement</t>
  </si>
  <si>
    <t>GM</t>
  </si>
  <si>
    <t>NE Center for Children Partner Program at Parmenter Elementary School in Franklin</t>
  </si>
  <si>
    <t>Berkshire County Education Task Force (Berkshire Regional Planning Commission)</t>
  </si>
  <si>
    <t>?</t>
  </si>
  <si>
    <t>Procurement or ISA to CTF</t>
  </si>
  <si>
    <t>Various</t>
  </si>
  <si>
    <t>If Procurement, need signed standard contract, scope of services and budget breakdown.  Also need W9 and T&amp;C if not already a state vendor.  Invoice is needed for payment.</t>
  </si>
  <si>
    <t>CA&amp;F &amp; CEO</t>
  </si>
  <si>
    <t>CIS &amp; OSA</t>
  </si>
  <si>
    <t>Extraordinary relief to districts educting significant numbers of students from Puerto Rico or U.S. Virgin Islands due to impact of Hurricanes Maria and Irma</t>
  </si>
  <si>
    <t>CDS</t>
  </si>
  <si>
    <t>If Grants Management, grantee needs to complete application on EdGrants.  Payment is requested through EdGrants.</t>
  </si>
  <si>
    <t>OPR</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</si>
  <si>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</si>
  <si>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</si>
  <si>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</si>
  <si>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</si>
  <si>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</si>
  <si>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</si>
  <si>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</si>
  <si>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</si>
  <si>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</si>
  <si>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</si>
  <si>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</si>
  <si>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</si>
  <si>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</si>
  <si>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$4M increased to DDS earmark and $444k increase for reimbursement</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</si>
  <si>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</si>
  <si>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</si>
  <si>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</si>
  <si>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</si>
  <si>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</si>
  <si>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</si>
  <si>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</si>
  <si>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</si>
  <si>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</si>
  <si>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</si>
  <si>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</si>
  <si>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</si>
  <si>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</si>
  <si>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</si>
  <si>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 xml:space="preserve"> FY20 House Ways &amp; Means Budget </t>
  </si>
  <si>
    <t>FY20 HWM &amp;</t>
  </si>
  <si>
    <t>FY20 House 1</t>
  </si>
  <si>
    <t>7061-0016</t>
  </si>
  <si>
    <t>Low Income Academic &amp; District Support</t>
  </si>
  <si>
    <t>7010-1202</t>
  </si>
  <si>
    <t>Digital Literacy</t>
  </si>
  <si>
    <t>SHARE Grant Program</t>
  </si>
  <si>
    <t>7061-9809</t>
  </si>
  <si>
    <t>Regionalization Grants</t>
  </si>
  <si>
    <t>$1.765M of FY19 earmarks removed in FY20 HWM</t>
  </si>
  <si>
    <t>$40K of FY19 earmarks removed in FY20 HWM</t>
  </si>
  <si>
    <t>Bay State Reading/Momenta</t>
  </si>
  <si>
    <t>JFK Library earmark</t>
  </si>
  <si>
    <t>JFK Library</t>
  </si>
  <si>
    <t>Civics Education learning in underserved communities</t>
  </si>
  <si>
    <t>$500K of FY19 earmarks removed in FY20 HWM</t>
  </si>
  <si>
    <t>Grants for high quality, intensive English language learning programs</t>
  </si>
  <si>
    <t>$600K for Reading Recovery and $779K for Bay State Reading through FY21.  $1.216M net spending</t>
  </si>
  <si>
    <t>$250K Gateway Cities earmark</t>
  </si>
  <si>
    <t>$350K of FY19 earmarks removed in FY20 HWM</t>
  </si>
  <si>
    <t>$10K of FY19 earmarks removed in FY20 HWM</t>
  </si>
  <si>
    <t>Project Bread-The Walk for Hunger</t>
  </si>
  <si>
    <t>Enhance and expand summer food service  and school breakfast outreach programs</t>
  </si>
  <si>
    <t>Best Buddies International</t>
  </si>
  <si>
    <t>Voluntary residential placement prevention program</t>
  </si>
  <si>
    <t>Peer to peer inclusion programs for students with intellectual disabilities</t>
  </si>
  <si>
    <t>$10.7M of earmarks</t>
  </si>
  <si>
    <t>Academic support for low-income students</t>
  </si>
  <si>
    <t>Reserve to ensure equitable identification of low-income eligibility standards and to provide transitional relief to local education agencies whose chapter 70 aid and tuition revenue has been significantly and negatively impacted by the change in low-income enrollment measurement</t>
  </si>
  <si>
    <t>JFYNetworks</t>
  </si>
  <si>
    <t xml:space="preserve">Statewide college and career readiness program </t>
  </si>
  <si>
    <t>Academic support for students who have not yet earned a competency determination on the MCAS</t>
  </si>
  <si>
    <t>$150K of FY19 earmarks removed from FY20 HWM</t>
  </si>
  <si>
    <t>Implementation of recovery high schools</t>
  </si>
  <si>
    <t>$1.71M of FY19 earmarks removed from FY20 HWM.  $1M of new funding</t>
  </si>
  <si>
    <t>$200K of FY19 earmarks removed from FY20 HWM.  PAC through FY21</t>
  </si>
  <si>
    <t>$1M of earmark</t>
  </si>
  <si>
    <t>7061-9650</t>
  </si>
  <si>
    <t>Schools and school districts serving high percentages of low-income students</t>
  </si>
  <si>
    <t>Contracting with licensed community-based health care service providers, including mental and behavioral health providers, for services in public schools</t>
  </si>
  <si>
    <t>Consolidated Literacy Programs</t>
  </si>
  <si>
    <t>$6M for academic support to low-income students and $10.5M for Ecodis district support</t>
  </si>
  <si>
    <t>$100K for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</si>
</sst>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s>
  <fonts count="2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11"/>
      <name val="Arial"/>
      <family val="2"/>
    </font>
    <font>
      <b/>
      <sz val="9"/>
      <color indexed="8"/>
      <name val="Arial"/>
      <family val="2"/>
    </font>
    <font>
      <sz val="10"/>
      <name val="MS Sans Serif"/>
      <family val="2"/>
    </font>
    <font>
      <b/>
      <sz val="9"/>
      <color rgb="FFFF0000"/>
      <name val="Arial"/>
      <family val="2"/>
    </font>
    <font>
      <sz val="11"/>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9"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13">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164" fontId="4" fillId="0" borderId="1" xfId="1" applyNumberFormat="1" applyFont="1" applyFill="1" applyBorder="1" applyAlignment="1"/>
    <xf numFmtId="164" fontId="3" fillId="0" borderId="1" xfId="1" applyNumberFormat="1" applyFont="1" applyBorder="1"/>
    <xf numFmtId="164" fontId="3" fillId="0" borderId="1" xfId="1" applyNumberFormat="1" applyFont="1" applyFill="1" applyBorder="1"/>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11" fillId="0" borderId="0" xfId="0" applyFont="1" applyFill="1" applyBorder="1" applyAlignment="1">
      <alignment horizontal="center"/>
    </xf>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11" fillId="0" borderId="0" xfId="0" applyFont="1" applyFill="1" applyBorder="1" applyAlignment="1">
      <alignment horizontal="center"/>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xf>
    <xf numFmtId="164" fontId="3" fillId="0" borderId="0" xfId="1" applyNumberFormat="1" applyFont="1"/>
    <xf numFmtId="165" fontId="3" fillId="0" borderId="0" xfId="2" applyNumberFormat="1" applyFont="1"/>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14" fillId="0" borderId="0" xfId="0" applyFont="1" applyFill="1" applyBorder="1" applyAlignment="1">
      <alignment horizontal="lef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0" fontId="14" fillId="0" borderId="0" xfId="6" applyFont="1" applyFill="1" applyBorder="1" applyAlignment="1">
      <alignment horizontal="left" wrapText="1"/>
    </xf>
    <xf numFmtId="164" fontId="14" fillId="0" borderId="0" xfId="6" applyNumberFormat="1" applyFont="1" applyFill="1" applyBorder="1" applyAlignment="1">
      <alignment horizontal="left" wrapText="1"/>
    </xf>
    <xf numFmtId="0" fontId="17" fillId="0" borderId="0" xfId="6" applyFont="1" applyFill="1" applyAlignment="1">
      <alignmen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14" fillId="0" borderId="0" xfId="1" applyNumberFormat="1" applyFont="1" applyFill="1" applyBorder="1" applyAlignment="1">
      <alignment horizontal="left" wrapText="1"/>
    </xf>
    <xf numFmtId="164" fontId="3" fillId="0" borderId="1" xfId="1" applyNumberFormat="1" applyFont="1" applyBorder="1" applyAlignment="1">
      <alignment wrapText="1"/>
    </xf>
    <xf numFmtId="164" fontId="14" fillId="0" borderId="1" xfId="1" applyNumberFormat="1" applyFont="1" applyBorder="1"/>
    <xf numFmtId="164" fontId="14" fillId="0" borderId="1" xfId="1" applyNumberFormat="1" applyFont="1" applyBorder="1" applyAlignment="1">
      <alignment wrapText="1"/>
    </xf>
    <xf numFmtId="0" fontId="7" fillId="0" borderId="0" xfId="1" applyNumberFormat="1" applyFont="1"/>
    <xf numFmtId="164" fontId="14" fillId="0" borderId="0" xfId="1" applyNumberFormat="1" applyFont="1"/>
    <xf numFmtId="164" fontId="18"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0" fontId="14" fillId="0" borderId="1" xfId="0" applyFont="1" applyBorder="1" applyAlignment="1">
      <alignment wrapText="1"/>
    </xf>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0" fillId="0" borderId="0" xfId="1" applyNumberFormat="1" applyFont="1"/>
    <xf numFmtId="164" fontId="3" fillId="0" borderId="1" xfId="1" applyNumberFormat="1" applyFont="1" applyBorder="1" applyAlignment="1"/>
    <xf numFmtId="0" fontId="4" fillId="0" borderId="1" xfId="0" applyFont="1" applyBorder="1"/>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4" fillId="0" borderId="1" xfId="1" applyNumberFormat="1" applyFont="1" applyBorder="1" applyAlignment="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4" fillId="0" borderId="1" xfId="0" applyFont="1" applyBorder="1" applyAlignment="1"/>
    <xf numFmtId="164" fontId="0" fillId="0" borderId="1" xfId="1" applyNumberFormat="1" applyFont="1" applyBorder="1" applyAlignment="1"/>
    <xf numFmtId="164" fontId="4" fillId="0" borderId="0" xfId="1" applyNumberFormat="1" applyFont="1" applyBorder="1"/>
    <xf numFmtId="0" fontId="0" fillId="0" borderId="0" xfId="0" applyBorder="1" applyAlignment="1">
      <alignment wrapText="1"/>
    </xf>
    <xf numFmtId="164" fontId="0" fillId="0" borderId="1" xfId="1" applyNumberFormat="1" applyFont="1" applyFill="1" applyBorder="1"/>
    <xf numFmtId="164" fontId="3" fillId="0" borderId="1" xfId="1" applyNumberFormat="1" applyFont="1" applyFill="1" applyBorder="1" applyAlignment="1"/>
    <xf numFmtId="164" fontId="4" fillId="0" borderId="0" xfId="1" applyNumberFormat="1" applyFont="1" applyFill="1" applyAlignment="1"/>
    <xf numFmtId="164" fontId="4" fillId="0" borderId="1" xfId="0" applyNumberFormat="1" applyFont="1" applyFill="1" applyBorder="1"/>
    <xf numFmtId="0" fontId="4" fillId="0" borderId="1" xfId="14" applyFont="1" applyFill="1" applyBorder="1" applyAlignment="1"/>
    <xf numFmtId="0" fontId="0" fillId="0" borderId="0" xfId="0" applyFill="1" applyAlignment="1"/>
    <xf numFmtId="0" fontId="4" fillId="0" borderId="1" xfId="0" applyFont="1" applyFill="1" applyBorder="1"/>
    <xf numFmtId="164" fontId="0" fillId="0" borderId="1" xfId="1" applyNumberFormat="1" applyFont="1" applyFill="1" applyBorder="1" applyAlignment="1"/>
    <xf numFmtId="164" fontId="0" fillId="0" borderId="0" xfId="1" applyNumberFormat="1" applyFont="1" applyFill="1" applyAlignment="1"/>
    <xf numFmtId="0" fontId="20" fillId="0" borderId="1" xfId="0" applyFont="1" applyBorder="1" applyAlignment="1">
      <alignment wrapText="1"/>
    </xf>
    <xf numFmtId="164" fontId="0" fillId="0" borderId="0" xfId="0" applyNumberFormat="1" applyAlignment="1"/>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4" fillId="0" borderId="2" xfId="14" applyFont="1" applyBorder="1" applyAlignment="1">
      <alignment wrapText="1"/>
    </xf>
    <xf numFmtId="0" fontId="3" fillId="0" borderId="2" xfId="0" applyFont="1" applyBorder="1" applyAlignment="1">
      <alignment wrapText="1"/>
    </xf>
    <xf numFmtId="0" fontId="0" fillId="0" borderId="2" xfId="0" applyBorder="1" applyAlignment="1">
      <alignment wrapText="1"/>
    </xf>
    <xf numFmtId="0" fontId="4" fillId="0" borderId="2" xfId="0" applyFont="1" applyBorder="1" applyAlignment="1">
      <alignment wrapText="1"/>
    </xf>
    <xf numFmtId="0" fontId="4" fillId="0" borderId="2" xfId="14" applyFont="1" applyBorder="1" applyAlignment="1"/>
    <xf numFmtId="0" fontId="3" fillId="0" borderId="2" xfId="0" applyFont="1" applyBorder="1"/>
    <xf numFmtId="0" fontId="4" fillId="0" borderId="1" xfId="0" applyFont="1" applyBorder="1" applyAlignment="1">
      <alignment wrapText="1"/>
    </xf>
    <xf numFmtId="0" fontId="3" fillId="0" borderId="1" xfId="17" applyFont="1" applyFill="1" applyBorder="1" applyAlignment="1">
      <alignment wrapText="1"/>
    </xf>
    <xf numFmtId="0" fontId="3" fillId="0" borderId="1" xfId="17" applyFont="1" applyBorder="1" applyAlignment="1">
      <alignment wrapText="1"/>
    </xf>
    <xf numFmtId="0" fontId="3" fillId="0" borderId="1" xfId="0" applyFont="1" applyBorder="1"/>
    <xf numFmtId="0" fontId="3" fillId="0" borderId="1" xfId="15" applyFont="1" applyBorder="1" applyAlignment="1">
      <alignment wrapText="1"/>
    </xf>
    <xf numFmtId="0" fontId="3" fillId="0" borderId="1" xfId="16" applyFont="1" applyBorder="1" applyAlignment="1">
      <alignment wrapText="1"/>
    </xf>
    <xf numFmtId="0" fontId="0" fillId="0" borderId="1" xfId="0" applyBorder="1" applyAlignment="1">
      <alignment wrapText="1"/>
    </xf>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4" fillId="0" borderId="0" xfId="0" applyFont="1"/>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0" fontId="0" fillId="0" borderId="1" xfId="0" applyBorder="1"/>
    <xf numFmtId="164" fontId="0" fillId="0" borderId="1" xfId="1" applyNumberFormat="1" applyFont="1" applyBorder="1"/>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0" fillId="0" borderId="1" xfId="0" quotePrefix="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0" fontId="0" fillId="0" borderId="1" xfId="0" applyFill="1" applyBorder="1"/>
    <xf numFmtId="0" fontId="0" fillId="0" borderId="0" xfId="0" applyFill="1"/>
    <xf numFmtId="0" fontId="0" fillId="0" borderId="1" xfId="0" applyFill="1" applyBorder="1" applyAlignment="1">
      <alignment wrapText="1"/>
    </xf>
    <xf numFmtId="9" fontId="0" fillId="0" borderId="1" xfId="2" applyFont="1" applyBorder="1"/>
    <xf numFmtId="9" fontId="0" fillId="0" borderId="0" xfId="2"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0" fontId="0" fillId="0" borderId="2" xfId="0" applyFill="1" applyBorder="1" applyAlignment="1">
      <alignment wrapText="1"/>
    </xf>
    <xf numFmtId="0" fontId="0" fillId="0" borderId="1" xfId="0" applyFill="1" applyBorder="1" applyAlignment="1"/>
    <xf numFmtId="0" fontId="0" fillId="0" borderId="0" xfId="0" applyFill="1" applyAlignment="1">
      <alignment wrapText="1"/>
    </xf>
    <xf numFmtId="0" fontId="4" fillId="0" borderId="2" xfId="0" applyFont="1" applyFill="1" applyBorder="1" applyAlignment="1">
      <alignment horizontal="center" wrapText="1"/>
    </xf>
    <xf numFmtId="9" fontId="0" fillId="0" borderId="1" xfId="2" applyFont="1" applyFill="1" applyBorder="1" applyAlignment="1">
      <alignment wrapText="1"/>
    </xf>
    <xf numFmtId="0" fontId="3" fillId="0" borderId="1" xfId="0" applyFont="1" applyFill="1" applyBorder="1"/>
    <xf numFmtId="0" fontId="4" fillId="0" borderId="0" xfId="0" applyFont="1" applyFill="1"/>
    <xf numFmtId="0" fontId="4" fillId="0" borderId="1" xfId="0" applyFont="1" applyFill="1" applyBorder="1" applyAlignment="1">
      <alignment horizontal="center"/>
    </xf>
    <xf numFmtId="0" fontId="4" fillId="0" borderId="1" xfId="0" applyFont="1" applyFill="1" applyBorder="1" applyAlignment="1">
      <alignment horizontal="center" wrapText="1"/>
    </xf>
    <xf numFmtId="9" fontId="0" fillId="0" borderId="1" xfId="2" applyFont="1" applyFill="1" applyBorder="1"/>
    <xf numFmtId="164" fontId="4" fillId="0" borderId="0" xfId="0" applyNumberFormat="1" applyFont="1"/>
    <xf numFmtId="10" fontId="7" fillId="0" borderId="0" xfId="0" applyNumberFormat="1" applyFont="1"/>
    <xf numFmtId="43" fontId="0" fillId="0" borderId="0" xfId="1" applyFont="1"/>
    <xf numFmtId="43" fontId="0" fillId="0" borderId="0" xfId="0" applyNumberFormat="1"/>
    <xf numFmtId="0" fontId="17" fillId="0" borderId="0" xfId="0" applyFont="1" applyFill="1"/>
    <xf numFmtId="0" fontId="0" fillId="0" borderId="1" xfId="0" applyBorder="1" applyAlignment="1">
      <alignment horizontal="center"/>
    </xf>
    <xf numFmtId="0" fontId="0" fillId="0" borderId="1" xfId="0" applyFont="1" applyFill="1" applyBorder="1"/>
    <xf numFmtId="0" fontId="0" fillId="0" borderId="1" xfId="0" applyBorder="1" applyAlignment="1"/>
    <xf numFmtId="164" fontId="0" fillId="0" borderId="0" xfId="0" applyNumberFormat="1"/>
    <xf numFmtId="0" fontId="0" fillId="2" borderId="1" xfId="0" applyFill="1" applyBorder="1"/>
    <xf numFmtId="0" fontId="3" fillId="2" borderId="1" xfId="0" applyFont="1" applyFill="1" applyBorder="1"/>
    <xf numFmtId="9" fontId="0" fillId="2" borderId="1" xfId="2" applyFont="1" applyFill="1" applyBorder="1"/>
    <xf numFmtId="0" fontId="3" fillId="3" borderId="1" xfId="0" applyFont="1" applyFill="1" applyBorder="1" applyAlignment="1">
      <alignment horizontal="center"/>
    </xf>
    <xf numFmtId="0" fontId="0" fillId="3" borderId="1" xfId="0" applyFill="1" applyBorder="1" applyAlignment="1">
      <alignment horizontal="center"/>
    </xf>
    <xf numFmtId="9" fontId="0" fillId="3" borderId="1" xfId="2" applyFont="1" applyFill="1" applyBorder="1" applyAlignment="1">
      <alignment horizontal="center"/>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4" fontId="4" fillId="0" borderId="1" xfId="0" applyNumberFormat="1" applyFont="1" applyBorder="1" applyAlignment="1">
      <alignment horizontal="center" wrapText="1"/>
    </xf>
    <xf numFmtId="166" fontId="7" fillId="0" borderId="0" xfId="0" applyNumberFormat="1" applyFont="1"/>
    <xf numFmtId="6" fontId="14" fillId="0" borderId="1" xfId="0" applyNumberFormat="1" applyFont="1" applyBorder="1" applyAlignment="1">
      <alignment wrapText="1"/>
    </xf>
    <xf numFmtId="0" fontId="21" fillId="0" borderId="1" xfId="0" applyFont="1" applyBorder="1"/>
    <xf numFmtId="0" fontId="21" fillId="0" borderId="1" xfId="0" applyFont="1" applyBorder="1" applyAlignment="1">
      <alignment wrapText="1"/>
    </xf>
    <xf numFmtId="164" fontId="4" fillId="0" borderId="2" xfId="0" applyNumberFormat="1" applyFont="1" applyBorder="1" applyAlignment="1">
      <alignment horizontal="right" wrapText="1"/>
    </xf>
    <xf numFmtId="164" fontId="9" fillId="0" borderId="1" xfId="1" applyNumberFormat="1" applyFont="1" applyBorder="1" applyAlignment="1">
      <alignment horizontal="right"/>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G95"/>
  <sheetViews>
    <sheetView tabSelected="1" workbookViewId="0">
      <pane xSplit="3" ySplit="7" topLeftCell="DL8" activePane="bottomRight" state="frozenSplit"/>
      <selection pane="topRight" activeCell="C1" sqref="C1"/>
      <selection pane="bottomLeft" activeCell="A8" sqref="A8"/>
      <selection pane="bottomRight" activeCell="DL8" sqref="DL8"/>
    </sheetView>
  </sheetViews>
  <sheetFormatPr defaultColWidth="9.140625" defaultRowHeight="14.25" x14ac:dyDescent="0.2"/>
  <cols>
    <col min="1" max="1" width="10.7109375" style="4" customWidth="1"/>
    <col min="2" max="2" width="0.42578125" style="4" customWidth="1"/>
    <col min="3" max="3" width="36" style="40" customWidth="1"/>
    <col min="4" max="4" width="16.140625" style="2" hidden="1" customWidth="1"/>
    <col min="5" max="5" width="15" style="2" hidden="1" customWidth="1"/>
    <col min="6" max="9" width="18.42578125" style="1" hidden="1" customWidth="1"/>
    <col min="10" max="10" width="34.28515625" style="30"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69" hidden="1" customWidth="1"/>
    <col min="56" max="56" width="14" style="2" hidden="1" customWidth="1"/>
    <col min="57" max="57" width="15.85546875" style="2" hidden="1" customWidth="1"/>
    <col min="58" max="60" width="16.85546875" style="2" hidden="1" customWidth="1"/>
    <col min="61" max="61" width="25" style="30" hidden="1" customWidth="1"/>
    <col min="62" max="62" width="14" style="2" hidden="1" customWidth="1"/>
    <col min="63" max="63" width="11.85546875" style="2" hidden="1" customWidth="1"/>
    <col min="64" max="64" width="14" style="2" hidden="1" customWidth="1"/>
    <col min="65" max="65" width="11.28515625" style="81"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30" hidden="1" customWidth="1"/>
    <col min="73" max="73" width="10.28515625" style="30" hidden="1" customWidth="1"/>
    <col min="74" max="75" width="14.28515625" style="30" hidden="1" customWidth="1"/>
    <col min="76" max="76" width="18.7109375" style="30" hidden="1" customWidth="1"/>
    <col min="77" max="77" width="11.85546875" style="30" hidden="1" customWidth="1"/>
    <col min="78" max="78" width="14" style="30" hidden="1" customWidth="1"/>
    <col min="79" max="79" width="14" style="86" hidden="1" customWidth="1"/>
    <col min="80" max="80" width="15.5703125" style="30" hidden="1" customWidth="1"/>
    <col min="81" max="81" width="30.5703125" style="30" hidden="1" customWidth="1"/>
    <col min="82" max="82" width="14" style="95" hidden="1" customWidth="1"/>
    <col min="83" max="83" width="16.7109375" style="30" hidden="1" customWidth="1"/>
    <col min="84" max="84" width="14.28515625" style="30" hidden="1" customWidth="1"/>
    <col min="85" max="85" width="20.28515625" style="30" hidden="1" customWidth="1"/>
    <col min="86" max="86" width="14" style="95" hidden="1" customWidth="1"/>
    <col min="87" max="87" width="16.7109375" style="30" hidden="1" customWidth="1"/>
    <col min="88" max="89" width="14.28515625" style="30" hidden="1" customWidth="1"/>
    <col min="90" max="90" width="22" style="30" hidden="1" customWidth="1"/>
    <col min="91" max="91" width="14" style="95" hidden="1" customWidth="1"/>
    <col min="92" max="92" width="16.7109375" style="30" hidden="1" customWidth="1"/>
    <col min="93" max="94" width="14.28515625" style="30" hidden="1" customWidth="1"/>
    <col min="95" max="95" width="22" style="30" hidden="1" customWidth="1"/>
    <col min="96" max="96" width="14" style="95" hidden="1" customWidth="1"/>
    <col min="97" max="97" width="16.7109375" style="30" hidden="1" customWidth="1"/>
    <col min="98" max="100" width="14.28515625" style="30" hidden="1" customWidth="1"/>
    <col min="101" max="101" width="22" style="30" hidden="1" customWidth="1"/>
    <col min="102" max="102" width="14" style="95" hidden="1" customWidth="1"/>
    <col min="103" max="103" width="21.28515625" style="30" hidden="1" customWidth="1"/>
    <col min="104" max="106" width="19.5703125" style="30" hidden="1" customWidth="1"/>
    <col min="107" max="107" width="22" style="30" hidden="1" customWidth="1"/>
    <col min="108" max="108" width="15.5703125" style="95" hidden="1" customWidth="1"/>
    <col min="109" max="109" width="21.28515625" style="30" hidden="1" customWidth="1"/>
    <col min="110" max="110" width="17.7109375" style="30" hidden="1" customWidth="1"/>
    <col min="111" max="111" width="19.5703125" style="30" hidden="1" customWidth="1"/>
    <col min="112" max="112" width="22" style="30" hidden="1" customWidth="1"/>
    <col min="113" max="113" width="14" style="95" hidden="1" customWidth="1"/>
    <col min="114" max="114" width="22" style="125" hidden="1" customWidth="1"/>
    <col min="115" max="115" width="12.42578125" style="198" hidden="1" customWidth="1"/>
    <col min="116" max="116" width="14.140625" style="125" customWidth="1"/>
    <col min="117" max="117" width="17.42578125" style="125" hidden="1" customWidth="1"/>
    <col min="118" max="118" width="14" style="86" hidden="1" customWidth="1"/>
    <col min="119" max="119" width="19" style="1" hidden="1" customWidth="1"/>
    <col min="120" max="120" width="25.140625" style="125" hidden="1" customWidth="1"/>
    <col min="121" max="123" width="14" style="86" hidden="1" customWidth="1"/>
    <col min="124" max="124" width="19" style="151" hidden="1" customWidth="1"/>
    <col min="125" max="127" width="19" style="1" hidden="1" customWidth="1"/>
    <col min="128" max="128" width="25.140625" style="125" hidden="1" customWidth="1"/>
    <col min="129" max="129" width="24.140625" style="74" hidden="1" customWidth="1"/>
    <col min="130" max="130" width="14" style="86" hidden="1" customWidth="1"/>
    <col min="131" max="131" width="19" style="151" hidden="1" customWidth="1"/>
    <col min="132" max="133" width="19" style="1" hidden="1" customWidth="1"/>
    <col min="134" max="134" width="18.85546875" style="1" hidden="1" customWidth="1"/>
    <col min="135" max="135" width="19" style="1" hidden="1" customWidth="1"/>
    <col min="136" max="136" width="24.140625" style="162" hidden="1" customWidth="1"/>
    <col min="137" max="137" width="12.28515625" style="95" hidden="1" customWidth="1"/>
    <col min="138" max="138" width="14" style="86" hidden="1" customWidth="1"/>
    <col min="139" max="139" width="19" style="151"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62" hidden="1" customWidth="1"/>
    <col min="146" max="147" width="13.7109375" style="86" hidden="1" customWidth="1"/>
    <col min="148" max="148" width="13.140625" style="86" hidden="1" customWidth="1"/>
    <col min="149" max="149" width="14.140625" style="86" bestFit="1" customWidth="1"/>
    <col min="150" max="150" width="13.140625" style="1" hidden="1" customWidth="1"/>
    <col min="151" max="151" width="12.85546875" style="1" hidden="1" customWidth="1"/>
    <col min="152" max="152" width="24.140625" style="162" hidden="1" customWidth="1"/>
    <col min="153" max="153" width="20.85546875" style="200" customWidth="1"/>
    <col min="154" max="154" width="13.7109375" style="86" customWidth="1"/>
    <col min="155" max="155" width="19" style="1" hidden="1" customWidth="1"/>
    <col min="156" max="156" width="23.85546875" style="30" customWidth="1"/>
    <col min="157" max="157" width="13.7109375" style="86" customWidth="1"/>
    <col min="158" max="158" width="17.28515625" style="1" customWidth="1"/>
    <col min="159" max="159" width="15.5703125" style="1" customWidth="1"/>
    <col min="160" max="160" width="24.140625" style="30" customWidth="1"/>
    <col min="161" max="161" width="9.140625" style="1"/>
    <col min="162" max="162" width="14" style="1" bestFit="1" customWidth="1"/>
    <col min="163" max="163" width="11.28515625" style="1" bestFit="1" customWidth="1"/>
    <col min="164" max="16384" width="9.140625" style="1"/>
  </cols>
  <sheetData>
    <row r="1" spans="1:162" ht="17.25" customHeight="1" x14ac:dyDescent="0.25">
      <c r="A1" s="212" t="s">
        <v>45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row>
    <row r="2" spans="1:162" ht="18" customHeight="1" x14ac:dyDescent="0.25">
      <c r="A2" s="212" t="s">
        <v>707</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row>
    <row r="3" spans="1:162" ht="9" customHeight="1" x14ac:dyDescent="0.25">
      <c r="A3" s="25"/>
      <c r="B3" s="25"/>
      <c r="C3" s="36"/>
      <c r="D3" s="33"/>
      <c r="E3" s="28"/>
      <c r="DL3" s="1"/>
      <c r="DM3" s="1"/>
    </row>
    <row r="4" spans="1:162" ht="3.75" customHeight="1" x14ac:dyDescent="0.25">
      <c r="A4" s="15"/>
      <c r="B4" s="15"/>
      <c r="C4" s="37"/>
      <c r="DO4" s="144"/>
      <c r="DT4" s="152"/>
      <c r="DU4" s="16"/>
      <c r="DV4" s="16"/>
      <c r="DW4" s="16"/>
      <c r="EA4" s="152"/>
      <c r="EB4" s="16"/>
      <c r="EC4" s="16"/>
      <c r="ED4" s="16"/>
      <c r="EE4" s="16"/>
      <c r="EI4" s="152"/>
      <c r="EJ4" s="16"/>
      <c r="EK4" s="16"/>
      <c r="EL4" s="16"/>
      <c r="EM4" s="16"/>
      <c r="EN4" s="16"/>
      <c r="ET4" s="16"/>
      <c r="EU4" s="16"/>
    </row>
    <row r="5" spans="1:162" ht="12.75" x14ac:dyDescent="0.2">
      <c r="A5" s="6"/>
      <c r="B5" s="211"/>
      <c r="C5" s="38"/>
      <c r="D5" s="94" t="s">
        <v>85</v>
      </c>
      <c r="E5" s="94" t="s">
        <v>105</v>
      </c>
      <c r="F5" s="94" t="s">
        <v>103</v>
      </c>
      <c r="G5" s="94" t="s">
        <v>113</v>
      </c>
      <c r="H5" s="94" t="s">
        <v>103</v>
      </c>
      <c r="I5" s="94" t="s">
        <v>103</v>
      </c>
      <c r="J5" s="31"/>
      <c r="K5" s="94" t="s">
        <v>113</v>
      </c>
      <c r="L5" s="94" t="s">
        <v>103</v>
      </c>
      <c r="M5" s="94" t="s">
        <v>103</v>
      </c>
      <c r="N5" s="94" t="s">
        <v>103</v>
      </c>
      <c r="O5" s="94" t="s">
        <v>113</v>
      </c>
      <c r="P5" s="94" t="s">
        <v>103</v>
      </c>
      <c r="Q5" s="94" t="s">
        <v>103</v>
      </c>
      <c r="R5" s="94" t="s">
        <v>103</v>
      </c>
      <c r="S5" s="94" t="s">
        <v>113</v>
      </c>
      <c r="T5" s="107" t="s">
        <v>103</v>
      </c>
      <c r="U5" s="107" t="s">
        <v>103</v>
      </c>
      <c r="V5" s="107" t="s">
        <v>103</v>
      </c>
      <c r="W5" s="107" t="s">
        <v>103</v>
      </c>
      <c r="X5" s="94" t="s">
        <v>113</v>
      </c>
      <c r="Y5" s="107" t="s">
        <v>103</v>
      </c>
      <c r="Z5" s="107" t="s">
        <v>103</v>
      </c>
      <c r="AA5" s="107" t="s">
        <v>103</v>
      </c>
      <c r="AB5" s="107" t="s">
        <v>103</v>
      </c>
      <c r="AC5" s="94" t="s">
        <v>113</v>
      </c>
      <c r="AD5" s="107" t="s">
        <v>103</v>
      </c>
      <c r="AE5" s="107" t="s">
        <v>103</v>
      </c>
      <c r="AF5" s="107"/>
      <c r="AG5" s="94" t="s">
        <v>113</v>
      </c>
      <c r="AH5" s="107" t="s">
        <v>103</v>
      </c>
      <c r="AI5" s="107" t="s">
        <v>113</v>
      </c>
      <c r="AJ5" s="107" t="s">
        <v>113</v>
      </c>
      <c r="AK5" s="107" t="s">
        <v>113</v>
      </c>
      <c r="AL5" s="107" t="s">
        <v>113</v>
      </c>
      <c r="AM5" s="107" t="s">
        <v>113</v>
      </c>
      <c r="AN5" s="107" t="s">
        <v>146</v>
      </c>
      <c r="AO5" s="107" t="s">
        <v>96</v>
      </c>
      <c r="AP5" s="63" t="s">
        <v>163</v>
      </c>
      <c r="AQ5" s="94" t="s">
        <v>146</v>
      </c>
      <c r="AR5" s="107" t="s">
        <v>96</v>
      </c>
      <c r="AS5" s="107" t="s">
        <v>96</v>
      </c>
      <c r="AT5" s="94" t="s">
        <v>146</v>
      </c>
      <c r="AU5" s="107" t="s">
        <v>96</v>
      </c>
      <c r="AV5" s="107" t="s">
        <v>96</v>
      </c>
      <c r="AW5" s="107" t="s">
        <v>96</v>
      </c>
      <c r="AX5" s="107" t="s">
        <v>182</v>
      </c>
      <c r="AY5" s="94" t="s">
        <v>146</v>
      </c>
      <c r="AZ5" s="107" t="s">
        <v>96</v>
      </c>
      <c r="BA5" s="107" t="s">
        <v>96</v>
      </c>
      <c r="BB5" s="107" t="s">
        <v>96</v>
      </c>
      <c r="BC5" s="107" t="s">
        <v>181</v>
      </c>
      <c r="BD5" s="94" t="s">
        <v>146</v>
      </c>
      <c r="BE5" s="107" t="s">
        <v>96</v>
      </c>
      <c r="BF5" s="107" t="s">
        <v>96</v>
      </c>
      <c r="BG5" s="107" t="s">
        <v>96</v>
      </c>
      <c r="BH5" s="107" t="s">
        <v>96</v>
      </c>
      <c r="BI5" s="71" t="s">
        <v>200</v>
      </c>
      <c r="BJ5" s="94" t="s">
        <v>146</v>
      </c>
      <c r="BK5" s="94" t="s">
        <v>146</v>
      </c>
      <c r="BL5" s="94" t="s">
        <v>146</v>
      </c>
      <c r="BM5" s="94" t="s">
        <v>146</v>
      </c>
      <c r="BN5" s="94" t="s">
        <v>146</v>
      </c>
      <c r="BO5" s="107" t="s">
        <v>96</v>
      </c>
      <c r="BP5" s="107" t="s">
        <v>96</v>
      </c>
      <c r="BQ5" s="107" t="s">
        <v>96</v>
      </c>
      <c r="BR5" s="107" t="s">
        <v>96</v>
      </c>
      <c r="BS5" s="107" t="s">
        <v>96</v>
      </c>
      <c r="BT5" s="71" t="s">
        <v>208</v>
      </c>
      <c r="BU5" s="71" t="s">
        <v>230</v>
      </c>
      <c r="BV5" s="94" t="s">
        <v>146</v>
      </c>
      <c r="BW5" s="94" t="s">
        <v>146</v>
      </c>
      <c r="BX5" s="94" t="s">
        <v>146</v>
      </c>
      <c r="BY5" s="94" t="s">
        <v>146</v>
      </c>
      <c r="BZ5" s="94" t="s">
        <v>146</v>
      </c>
      <c r="CA5" s="94" t="s">
        <v>233</v>
      </c>
      <c r="CB5" s="94" t="s">
        <v>96</v>
      </c>
      <c r="CC5" s="71" t="s">
        <v>236</v>
      </c>
      <c r="CD5" s="94" t="s">
        <v>233</v>
      </c>
      <c r="CE5" s="107" t="s">
        <v>96</v>
      </c>
      <c r="CF5" s="107" t="s">
        <v>96</v>
      </c>
      <c r="CG5" s="107" t="s">
        <v>251</v>
      </c>
      <c r="CH5" s="94" t="s">
        <v>233</v>
      </c>
      <c r="CI5" s="107" t="s">
        <v>96</v>
      </c>
      <c r="CJ5" s="107" t="s">
        <v>96</v>
      </c>
      <c r="CK5" s="107" t="s">
        <v>96</v>
      </c>
      <c r="CL5" s="107" t="s">
        <v>308</v>
      </c>
      <c r="CM5" s="94" t="s">
        <v>233</v>
      </c>
      <c r="CN5" s="107" t="s">
        <v>96</v>
      </c>
      <c r="CO5" s="107" t="s">
        <v>96</v>
      </c>
      <c r="CP5" s="107" t="s">
        <v>96</v>
      </c>
      <c r="CQ5" s="107" t="s">
        <v>307</v>
      </c>
      <c r="CR5" s="94" t="s">
        <v>233</v>
      </c>
      <c r="CS5" s="107" t="s">
        <v>96</v>
      </c>
      <c r="CT5" s="107" t="s">
        <v>96</v>
      </c>
      <c r="CU5" s="107" t="s">
        <v>96</v>
      </c>
      <c r="CV5" s="107" t="s">
        <v>96</v>
      </c>
      <c r="CW5" s="107" t="s">
        <v>307</v>
      </c>
      <c r="CX5" s="94" t="s">
        <v>233</v>
      </c>
      <c r="CY5" s="107" t="s">
        <v>96</v>
      </c>
      <c r="CZ5" s="107" t="s">
        <v>96</v>
      </c>
      <c r="DA5" s="107" t="s">
        <v>96</v>
      </c>
      <c r="DB5" s="107" t="s">
        <v>96</v>
      </c>
      <c r="DC5" s="107" t="s">
        <v>348</v>
      </c>
      <c r="DD5" s="94" t="s">
        <v>233</v>
      </c>
      <c r="DE5" s="107" t="s">
        <v>96</v>
      </c>
      <c r="DF5" s="107" t="s">
        <v>96</v>
      </c>
      <c r="DG5" s="107" t="s">
        <v>96</v>
      </c>
      <c r="DH5" s="107" t="s">
        <v>380</v>
      </c>
      <c r="DI5" s="94" t="s">
        <v>233</v>
      </c>
      <c r="DJ5" s="107" t="s">
        <v>380</v>
      </c>
      <c r="DK5" s="107" t="s">
        <v>233</v>
      </c>
      <c r="DL5" s="107" t="s">
        <v>233</v>
      </c>
      <c r="DM5" s="107" t="s">
        <v>96</v>
      </c>
      <c r="DN5" s="94" t="s">
        <v>391</v>
      </c>
      <c r="DO5" s="107" t="s">
        <v>96</v>
      </c>
      <c r="DP5" s="107" t="s">
        <v>396</v>
      </c>
      <c r="DQ5" s="94" t="s">
        <v>391</v>
      </c>
      <c r="DR5" s="94" t="s">
        <v>391</v>
      </c>
      <c r="DS5" s="94" t="s">
        <v>391</v>
      </c>
      <c r="DT5" s="107" t="s">
        <v>96</v>
      </c>
      <c r="DU5" s="107" t="s">
        <v>96</v>
      </c>
      <c r="DV5" s="107" t="s">
        <v>96</v>
      </c>
      <c r="DW5" s="107" t="s">
        <v>96</v>
      </c>
      <c r="DX5" s="107" t="s">
        <v>410</v>
      </c>
      <c r="DY5" s="107" t="s">
        <v>437</v>
      </c>
      <c r="DZ5" s="94" t="s">
        <v>391</v>
      </c>
      <c r="EA5" s="107" t="s">
        <v>96</v>
      </c>
      <c r="EB5" s="107" t="s">
        <v>96</v>
      </c>
      <c r="EC5" s="107" t="s">
        <v>96</v>
      </c>
      <c r="ED5" s="107" t="s">
        <v>96</v>
      </c>
      <c r="EE5" s="107" t="s">
        <v>96</v>
      </c>
      <c r="EF5" s="163" t="s">
        <v>503</v>
      </c>
      <c r="EG5" s="163" t="s">
        <v>391</v>
      </c>
      <c r="EH5" s="94" t="s">
        <v>391</v>
      </c>
      <c r="EI5" s="107" t="s">
        <v>96</v>
      </c>
      <c r="EJ5" s="107" t="s">
        <v>96</v>
      </c>
      <c r="EK5" s="107" t="s">
        <v>96</v>
      </c>
      <c r="EL5" s="107" t="s">
        <v>96</v>
      </c>
      <c r="EM5" s="107" t="s">
        <v>96</v>
      </c>
      <c r="EN5" s="107" t="s">
        <v>96</v>
      </c>
      <c r="EO5" s="163" t="s">
        <v>532</v>
      </c>
      <c r="EP5" s="94" t="s">
        <v>391</v>
      </c>
      <c r="EQ5" s="94" t="s">
        <v>391</v>
      </c>
      <c r="ER5" s="94" t="s">
        <v>391</v>
      </c>
      <c r="ES5" s="94" t="s">
        <v>391</v>
      </c>
      <c r="ET5" s="107" t="s">
        <v>96</v>
      </c>
      <c r="EU5" s="107" t="s">
        <v>96</v>
      </c>
      <c r="EV5" s="163" t="s">
        <v>607</v>
      </c>
      <c r="EW5" s="32" t="s">
        <v>646</v>
      </c>
      <c r="EX5" s="94" t="s">
        <v>682</v>
      </c>
      <c r="EY5" s="154" t="s">
        <v>96</v>
      </c>
      <c r="EZ5" s="71" t="s">
        <v>685</v>
      </c>
      <c r="FA5" s="94" t="s">
        <v>682</v>
      </c>
      <c r="FB5" s="154" t="s">
        <v>96</v>
      </c>
      <c r="FC5" s="154" t="s">
        <v>96</v>
      </c>
      <c r="FD5" s="71" t="s">
        <v>685</v>
      </c>
    </row>
    <row r="6" spans="1:162" ht="12.75" x14ac:dyDescent="0.2">
      <c r="A6" s="7" t="s">
        <v>0</v>
      </c>
      <c r="B6" s="211"/>
      <c r="C6" s="38" t="s">
        <v>43</v>
      </c>
      <c r="D6" s="94" t="s">
        <v>99</v>
      </c>
      <c r="E6" s="94" t="s">
        <v>50</v>
      </c>
      <c r="F6" s="94" t="s">
        <v>106</v>
      </c>
      <c r="G6" s="94" t="s">
        <v>51</v>
      </c>
      <c r="H6" s="94" t="s">
        <v>114</v>
      </c>
      <c r="I6" s="94" t="s">
        <v>114</v>
      </c>
      <c r="J6" s="32" t="s">
        <v>112</v>
      </c>
      <c r="K6" s="94" t="s">
        <v>89</v>
      </c>
      <c r="L6" s="94" t="s">
        <v>119</v>
      </c>
      <c r="M6" s="94" t="s">
        <v>119</v>
      </c>
      <c r="N6" s="94" t="s">
        <v>119</v>
      </c>
      <c r="O6" s="94" t="s">
        <v>54</v>
      </c>
      <c r="P6" s="94" t="s">
        <v>121</v>
      </c>
      <c r="Q6" s="94" t="s">
        <v>121</v>
      </c>
      <c r="R6" s="94" t="s">
        <v>121</v>
      </c>
      <c r="S6" s="94" t="s">
        <v>55</v>
      </c>
      <c r="T6" s="107" t="s">
        <v>126</v>
      </c>
      <c r="U6" s="107" t="s">
        <v>126</v>
      </c>
      <c r="V6" s="107" t="s">
        <v>126</v>
      </c>
      <c r="W6" s="107" t="s">
        <v>126</v>
      </c>
      <c r="X6" s="94" t="s">
        <v>82</v>
      </c>
      <c r="Y6" s="107" t="s">
        <v>128</v>
      </c>
      <c r="Z6" s="107" t="s">
        <v>132</v>
      </c>
      <c r="AA6" s="107" t="s">
        <v>132</v>
      </c>
      <c r="AB6" s="107" t="s">
        <v>129</v>
      </c>
      <c r="AC6" s="94" t="s">
        <v>99</v>
      </c>
      <c r="AD6" s="107" t="s">
        <v>135</v>
      </c>
      <c r="AE6" s="107" t="s">
        <v>135</v>
      </c>
      <c r="AF6" s="107" t="s">
        <v>138</v>
      </c>
      <c r="AG6" s="94" t="s">
        <v>99</v>
      </c>
      <c r="AH6" s="107" t="s">
        <v>140</v>
      </c>
      <c r="AI6" s="107" t="s">
        <v>142</v>
      </c>
      <c r="AJ6" s="107" t="s">
        <v>60</v>
      </c>
      <c r="AK6" s="107" t="s">
        <v>150</v>
      </c>
      <c r="AL6" s="107" t="s">
        <v>144</v>
      </c>
      <c r="AM6" s="94" t="s">
        <v>60</v>
      </c>
      <c r="AN6" s="107" t="s">
        <v>97</v>
      </c>
      <c r="AO6" s="107" t="s">
        <v>159</v>
      </c>
      <c r="AP6" s="107"/>
      <c r="AQ6" s="94" t="s">
        <v>51</v>
      </c>
      <c r="AR6" s="107" t="s">
        <v>164</v>
      </c>
      <c r="AS6" s="107" t="s">
        <v>164</v>
      </c>
      <c r="AT6" s="94" t="s">
        <v>56</v>
      </c>
      <c r="AU6" s="107" t="s">
        <v>171</v>
      </c>
      <c r="AV6" s="107" t="s">
        <v>171</v>
      </c>
      <c r="AW6" s="107" t="s">
        <v>171</v>
      </c>
      <c r="AX6" s="107"/>
      <c r="AY6" s="94" t="s">
        <v>54</v>
      </c>
      <c r="AZ6" s="107" t="s">
        <v>179</v>
      </c>
      <c r="BA6" s="107" t="s">
        <v>179</v>
      </c>
      <c r="BB6" s="107" t="s">
        <v>179</v>
      </c>
      <c r="BC6" s="107"/>
      <c r="BD6" s="94" t="s">
        <v>55</v>
      </c>
      <c r="BE6" s="107" t="s">
        <v>196</v>
      </c>
      <c r="BF6" s="107" t="s">
        <v>196</v>
      </c>
      <c r="BG6" s="107" t="s">
        <v>196</v>
      </c>
      <c r="BH6" s="107" t="s">
        <v>196</v>
      </c>
      <c r="BI6" s="80"/>
      <c r="BJ6" s="94" t="s">
        <v>82</v>
      </c>
      <c r="BK6" s="94" t="s">
        <v>207</v>
      </c>
      <c r="BL6" s="94" t="s">
        <v>60</v>
      </c>
      <c r="BM6" s="94" t="s">
        <v>47</v>
      </c>
      <c r="BN6" s="94" t="s">
        <v>60</v>
      </c>
      <c r="BO6" s="107" t="s">
        <v>219</v>
      </c>
      <c r="BP6" s="107" t="s">
        <v>219</v>
      </c>
      <c r="BQ6" s="107" t="s">
        <v>220</v>
      </c>
      <c r="BR6" s="107" t="s">
        <v>219</v>
      </c>
      <c r="BS6" s="107" t="s">
        <v>219</v>
      </c>
      <c r="BT6" s="77"/>
      <c r="BU6" s="77" t="s">
        <v>142</v>
      </c>
      <c r="BV6" s="94" t="s">
        <v>60</v>
      </c>
      <c r="BW6" s="94" t="s">
        <v>231</v>
      </c>
      <c r="BX6" s="94" t="s">
        <v>60</v>
      </c>
      <c r="BY6" s="94" t="s">
        <v>226</v>
      </c>
      <c r="BZ6" s="94" t="s">
        <v>60</v>
      </c>
      <c r="CA6" s="94" t="s">
        <v>50</v>
      </c>
      <c r="CB6" s="94" t="s">
        <v>234</v>
      </c>
      <c r="CC6" s="77"/>
      <c r="CD6" s="94" t="s">
        <v>51</v>
      </c>
      <c r="CE6" s="107" t="s">
        <v>249</v>
      </c>
      <c r="CF6" s="107" t="s">
        <v>249</v>
      </c>
      <c r="CG6" s="107"/>
      <c r="CH6" s="94" t="s">
        <v>56</v>
      </c>
      <c r="CI6" s="107" t="s">
        <v>263</v>
      </c>
      <c r="CJ6" s="107" t="s">
        <v>263</v>
      </c>
      <c r="CK6" s="107" t="s">
        <v>263</v>
      </c>
      <c r="CL6" s="107"/>
      <c r="CM6" s="94" t="s">
        <v>54</v>
      </c>
      <c r="CN6" s="107" t="s">
        <v>305</v>
      </c>
      <c r="CO6" s="107" t="s">
        <v>305</v>
      </c>
      <c r="CP6" s="107" t="s">
        <v>305</v>
      </c>
      <c r="CQ6" s="107"/>
      <c r="CR6" s="94" t="s">
        <v>55</v>
      </c>
      <c r="CS6" s="107" t="s">
        <v>324</v>
      </c>
      <c r="CT6" s="107" t="s">
        <v>324</v>
      </c>
      <c r="CU6" s="107" t="s">
        <v>324</v>
      </c>
      <c r="CV6" s="107" t="s">
        <v>324</v>
      </c>
      <c r="CW6" s="107"/>
      <c r="CX6" s="94" t="s">
        <v>82</v>
      </c>
      <c r="CY6" s="107" t="s">
        <v>346</v>
      </c>
      <c r="CZ6" s="107" t="s">
        <v>346</v>
      </c>
      <c r="DA6" s="107" t="s">
        <v>346</v>
      </c>
      <c r="DB6" s="107" t="s">
        <v>346</v>
      </c>
      <c r="DC6" s="107"/>
      <c r="DD6" s="94" t="s">
        <v>99</v>
      </c>
      <c r="DE6" s="107" t="s">
        <v>372</v>
      </c>
      <c r="DF6" s="107" t="s">
        <v>372</v>
      </c>
      <c r="DG6" s="107" t="s">
        <v>372</v>
      </c>
      <c r="DH6" s="107"/>
      <c r="DI6" s="94" t="s">
        <v>99</v>
      </c>
      <c r="DJ6" s="107"/>
      <c r="DK6" s="107" t="s">
        <v>680</v>
      </c>
      <c r="DL6" s="94" t="s">
        <v>60</v>
      </c>
      <c r="DM6" s="107" t="s">
        <v>372</v>
      </c>
      <c r="DN6" s="94" t="s">
        <v>73</v>
      </c>
      <c r="DO6" s="107" t="s">
        <v>394</v>
      </c>
      <c r="DP6" s="107" t="s">
        <v>397</v>
      </c>
      <c r="DQ6" s="94" t="s">
        <v>51</v>
      </c>
      <c r="DR6" s="94" t="s">
        <v>436</v>
      </c>
      <c r="DS6" s="94" t="s">
        <v>56</v>
      </c>
      <c r="DT6" s="107" t="s">
        <v>409</v>
      </c>
      <c r="DU6" s="107" t="s">
        <v>409</v>
      </c>
      <c r="DV6" s="107" t="s">
        <v>444</v>
      </c>
      <c r="DW6" s="107" t="s">
        <v>444</v>
      </c>
      <c r="DX6" s="107" t="s">
        <v>397</v>
      </c>
      <c r="DY6" s="107" t="s">
        <v>397</v>
      </c>
      <c r="DZ6" s="94" t="s">
        <v>54</v>
      </c>
      <c r="EA6" s="107" t="s">
        <v>409</v>
      </c>
      <c r="EB6" s="107" t="s">
        <v>409</v>
      </c>
      <c r="EC6" s="107" t="s">
        <v>502</v>
      </c>
      <c r="ED6" s="107" t="s">
        <v>502</v>
      </c>
      <c r="EE6" s="107" t="s">
        <v>502</v>
      </c>
      <c r="EF6" s="163" t="s">
        <v>397</v>
      </c>
      <c r="EG6" s="163" t="s">
        <v>55</v>
      </c>
      <c r="EH6" s="94" t="s">
        <v>55</v>
      </c>
      <c r="EI6" s="107" t="s">
        <v>409</v>
      </c>
      <c r="EJ6" s="107" t="s">
        <v>409</v>
      </c>
      <c r="EK6" s="107" t="s">
        <v>530</v>
      </c>
      <c r="EL6" s="107" t="s">
        <v>530</v>
      </c>
      <c r="EM6" s="107" t="s">
        <v>530</v>
      </c>
      <c r="EN6" s="107" t="s">
        <v>530</v>
      </c>
      <c r="EO6" s="163" t="s">
        <v>531</v>
      </c>
      <c r="EP6" s="94" t="s">
        <v>82</v>
      </c>
      <c r="EQ6" s="94" t="s">
        <v>60</v>
      </c>
      <c r="ER6" s="94" t="s">
        <v>680</v>
      </c>
      <c r="ES6" s="94" t="s">
        <v>60</v>
      </c>
      <c r="ET6" s="107" t="s">
        <v>644</v>
      </c>
      <c r="EU6" s="107" t="s">
        <v>644</v>
      </c>
      <c r="EV6" s="163" t="s">
        <v>531</v>
      </c>
      <c r="EW6" s="32" t="s">
        <v>531</v>
      </c>
      <c r="EX6" s="94" t="s">
        <v>50</v>
      </c>
      <c r="EY6" s="154" t="s">
        <v>683</v>
      </c>
      <c r="EZ6" s="71" t="s">
        <v>50</v>
      </c>
      <c r="FA6" s="94" t="s">
        <v>51</v>
      </c>
      <c r="FB6" s="154" t="s">
        <v>708</v>
      </c>
      <c r="FC6" s="154" t="s">
        <v>708</v>
      </c>
      <c r="FD6" s="71" t="s">
        <v>51</v>
      </c>
    </row>
    <row r="7" spans="1:162" ht="12.75" x14ac:dyDescent="0.2">
      <c r="A7" s="7" t="s">
        <v>1</v>
      </c>
      <c r="B7" s="211"/>
      <c r="C7" s="39" t="s">
        <v>34</v>
      </c>
      <c r="D7" s="94" t="s">
        <v>229</v>
      </c>
      <c r="E7" s="94" t="s">
        <v>47</v>
      </c>
      <c r="F7" s="94" t="s">
        <v>107</v>
      </c>
      <c r="G7" s="94" t="s">
        <v>47</v>
      </c>
      <c r="H7" s="94" t="s">
        <v>107</v>
      </c>
      <c r="I7" s="94" t="s">
        <v>115</v>
      </c>
      <c r="J7" s="31"/>
      <c r="K7" s="94" t="s">
        <v>47</v>
      </c>
      <c r="L7" s="94" t="s">
        <v>107</v>
      </c>
      <c r="M7" s="94" t="s">
        <v>115</v>
      </c>
      <c r="N7" s="94" t="s">
        <v>120</v>
      </c>
      <c r="O7" s="94" t="s">
        <v>47</v>
      </c>
      <c r="P7" s="94" t="s">
        <v>107</v>
      </c>
      <c r="Q7" s="94" t="s">
        <v>115</v>
      </c>
      <c r="R7" s="94" t="s">
        <v>122</v>
      </c>
      <c r="S7" s="94" t="s">
        <v>47</v>
      </c>
      <c r="T7" s="107" t="s">
        <v>107</v>
      </c>
      <c r="U7" s="107" t="s">
        <v>115</v>
      </c>
      <c r="V7" s="107" t="s">
        <v>122</v>
      </c>
      <c r="W7" s="107" t="s">
        <v>127</v>
      </c>
      <c r="X7" s="94" t="s">
        <v>47</v>
      </c>
      <c r="Y7" s="107" t="s">
        <v>107</v>
      </c>
      <c r="Z7" s="107" t="s">
        <v>133</v>
      </c>
      <c r="AA7" s="107" t="s">
        <v>131</v>
      </c>
      <c r="AB7" s="107" t="s">
        <v>130</v>
      </c>
      <c r="AC7" s="94" t="s">
        <v>98</v>
      </c>
      <c r="AD7" s="107" t="s">
        <v>107</v>
      </c>
      <c r="AE7" s="107" t="s">
        <v>136</v>
      </c>
      <c r="AF7" s="107" t="s">
        <v>139</v>
      </c>
      <c r="AG7" s="61"/>
      <c r="AH7" s="107" t="s">
        <v>107</v>
      </c>
      <c r="AI7" s="107" t="s">
        <v>47</v>
      </c>
      <c r="AJ7" s="107" t="s">
        <v>143</v>
      </c>
      <c r="AK7" s="107" t="s">
        <v>149</v>
      </c>
      <c r="AL7" s="107" t="s">
        <v>145</v>
      </c>
      <c r="AM7" s="94" t="s">
        <v>232</v>
      </c>
      <c r="AN7" s="107" t="s">
        <v>147</v>
      </c>
      <c r="AO7" s="107" t="s">
        <v>160</v>
      </c>
      <c r="AP7" s="107"/>
      <c r="AQ7" s="94" t="s">
        <v>47</v>
      </c>
      <c r="AR7" s="107" t="s">
        <v>160</v>
      </c>
      <c r="AS7" s="107" t="s">
        <v>165</v>
      </c>
      <c r="AT7" s="94" t="s">
        <v>47</v>
      </c>
      <c r="AU7" s="107" t="s">
        <v>160</v>
      </c>
      <c r="AV7" s="107" t="s">
        <v>165</v>
      </c>
      <c r="AW7" s="107" t="s">
        <v>172</v>
      </c>
      <c r="AX7" s="107"/>
      <c r="AY7" s="94" t="s">
        <v>47</v>
      </c>
      <c r="AZ7" s="107" t="s">
        <v>160</v>
      </c>
      <c r="BA7" s="107" t="s">
        <v>165</v>
      </c>
      <c r="BB7" s="107" t="s">
        <v>180</v>
      </c>
      <c r="BC7" s="107"/>
      <c r="BD7" s="94" t="s">
        <v>47</v>
      </c>
      <c r="BE7" s="107" t="s">
        <v>160</v>
      </c>
      <c r="BF7" s="107" t="s">
        <v>165</v>
      </c>
      <c r="BG7" s="107" t="s">
        <v>180</v>
      </c>
      <c r="BH7" s="107" t="s">
        <v>197</v>
      </c>
      <c r="BI7" s="80"/>
      <c r="BJ7" s="94" t="s">
        <v>47</v>
      </c>
      <c r="BK7" s="94" t="s">
        <v>95</v>
      </c>
      <c r="BL7" s="94" t="s">
        <v>225</v>
      </c>
      <c r="BM7" s="94" t="s">
        <v>210</v>
      </c>
      <c r="BN7" s="94"/>
      <c r="BO7" s="107" t="s">
        <v>160</v>
      </c>
      <c r="BP7" s="107" t="s">
        <v>165</v>
      </c>
      <c r="BQ7" s="107" t="s">
        <v>180</v>
      </c>
      <c r="BR7" s="107" t="s">
        <v>206</v>
      </c>
      <c r="BS7" s="107" t="s">
        <v>209</v>
      </c>
      <c r="BT7" s="80"/>
      <c r="BU7" s="77" t="s">
        <v>47</v>
      </c>
      <c r="BV7" s="94" t="s">
        <v>228</v>
      </c>
      <c r="BW7" s="94"/>
      <c r="BX7" s="87" t="s">
        <v>221</v>
      </c>
      <c r="BY7" s="87"/>
      <c r="BZ7" s="77" t="s">
        <v>227</v>
      </c>
      <c r="CA7" s="94" t="s">
        <v>47</v>
      </c>
      <c r="CB7" s="77" t="s">
        <v>235</v>
      </c>
      <c r="CC7" s="80"/>
      <c r="CD7" s="94" t="s">
        <v>47</v>
      </c>
      <c r="CE7" s="107" t="s">
        <v>235</v>
      </c>
      <c r="CF7" s="107" t="s">
        <v>250</v>
      </c>
      <c r="CG7" s="107"/>
      <c r="CH7" s="94" t="s">
        <v>47</v>
      </c>
      <c r="CI7" s="107" t="s">
        <v>235</v>
      </c>
      <c r="CJ7" s="107" t="s">
        <v>250</v>
      </c>
      <c r="CK7" s="107" t="s">
        <v>283</v>
      </c>
      <c r="CL7" s="107"/>
      <c r="CM7" s="94" t="s">
        <v>47</v>
      </c>
      <c r="CN7" s="107" t="s">
        <v>235</v>
      </c>
      <c r="CO7" s="94" t="s">
        <v>250</v>
      </c>
      <c r="CP7" s="94" t="s">
        <v>306</v>
      </c>
      <c r="CQ7" s="107"/>
      <c r="CR7" s="94" t="s">
        <v>47</v>
      </c>
      <c r="CS7" s="107" t="s">
        <v>235</v>
      </c>
      <c r="CT7" s="94" t="s">
        <v>250</v>
      </c>
      <c r="CU7" s="94" t="s">
        <v>306</v>
      </c>
      <c r="CV7" s="94" t="s">
        <v>323</v>
      </c>
      <c r="CW7" s="107"/>
      <c r="CX7" s="94" t="s">
        <v>47</v>
      </c>
      <c r="CY7" s="107" t="s">
        <v>235</v>
      </c>
      <c r="CZ7" s="94" t="s">
        <v>250</v>
      </c>
      <c r="DA7" s="94" t="s">
        <v>306</v>
      </c>
      <c r="DB7" s="94" t="s">
        <v>347</v>
      </c>
      <c r="DC7" s="107"/>
      <c r="DD7" s="94" t="s">
        <v>371</v>
      </c>
      <c r="DE7" s="107" t="s">
        <v>235</v>
      </c>
      <c r="DF7" s="107" t="s">
        <v>250</v>
      </c>
      <c r="DG7" s="107" t="s">
        <v>373</v>
      </c>
      <c r="DH7" s="107"/>
      <c r="DI7" s="94" t="s">
        <v>381</v>
      </c>
      <c r="DJ7" s="107"/>
      <c r="DK7" s="107" t="s">
        <v>47</v>
      </c>
      <c r="DL7" s="94" t="s">
        <v>679</v>
      </c>
      <c r="DM7" s="107" t="s">
        <v>235</v>
      </c>
      <c r="DN7" s="94" t="s">
        <v>47</v>
      </c>
      <c r="DO7" s="107" t="s">
        <v>395</v>
      </c>
      <c r="DP7" s="107"/>
      <c r="DQ7" s="94" t="s">
        <v>47</v>
      </c>
      <c r="DR7" s="94"/>
      <c r="DS7" s="94" t="s">
        <v>47</v>
      </c>
      <c r="DT7" s="107" t="s">
        <v>395</v>
      </c>
      <c r="DU7" s="107" t="s">
        <v>396</v>
      </c>
      <c r="DV7" s="107" t="s">
        <v>395</v>
      </c>
      <c r="DW7" s="107" t="s">
        <v>396</v>
      </c>
      <c r="DX7" s="107"/>
      <c r="DY7" s="107"/>
      <c r="DZ7" s="94" t="s">
        <v>47</v>
      </c>
      <c r="EA7" s="107" t="s">
        <v>395</v>
      </c>
      <c r="EB7" s="107" t="s">
        <v>396</v>
      </c>
      <c r="EC7" s="107" t="s">
        <v>395</v>
      </c>
      <c r="ED7" s="107" t="s">
        <v>505</v>
      </c>
      <c r="EE7" s="107" t="s">
        <v>504</v>
      </c>
      <c r="EF7" s="163"/>
      <c r="EG7" s="163" t="s">
        <v>529</v>
      </c>
      <c r="EH7" s="94" t="s">
        <v>47</v>
      </c>
      <c r="EI7" s="107" t="s">
        <v>395</v>
      </c>
      <c r="EJ7" s="107" t="s">
        <v>396</v>
      </c>
      <c r="EK7" s="107" t="s">
        <v>395</v>
      </c>
      <c r="EL7" s="107" t="s">
        <v>505</v>
      </c>
      <c r="EM7" s="107" t="s">
        <v>504</v>
      </c>
      <c r="EN7" s="107" t="s">
        <v>503</v>
      </c>
      <c r="EO7" s="163"/>
      <c r="EP7" s="94" t="s">
        <v>47</v>
      </c>
      <c r="EQ7" s="94" t="s">
        <v>47</v>
      </c>
      <c r="ER7" s="94" t="s">
        <v>47</v>
      </c>
      <c r="ES7" s="94" t="s">
        <v>679</v>
      </c>
      <c r="ET7" s="107" t="s">
        <v>645</v>
      </c>
      <c r="EU7" s="107" t="s">
        <v>656</v>
      </c>
      <c r="EV7" s="163"/>
      <c r="EW7" s="140"/>
      <c r="EX7" s="94" t="s">
        <v>47</v>
      </c>
      <c r="EY7" s="154" t="s">
        <v>684</v>
      </c>
      <c r="EZ7" s="71" t="s">
        <v>397</v>
      </c>
      <c r="FA7" s="94" t="s">
        <v>47</v>
      </c>
      <c r="FB7" s="154" t="s">
        <v>684</v>
      </c>
      <c r="FC7" s="154" t="s">
        <v>709</v>
      </c>
      <c r="FD7" s="71" t="s">
        <v>397</v>
      </c>
    </row>
    <row r="8" spans="1:162" ht="24" x14ac:dyDescent="0.2">
      <c r="A8" s="21" t="s">
        <v>691</v>
      </c>
      <c r="B8" s="9"/>
      <c r="C8" s="26" t="s">
        <v>696</v>
      </c>
      <c r="D8" s="104"/>
      <c r="E8" s="104"/>
      <c r="F8" s="5"/>
      <c r="G8" s="22"/>
      <c r="H8" s="5"/>
      <c r="I8" s="5"/>
      <c r="J8" s="31"/>
      <c r="K8" s="102"/>
      <c r="L8" s="11"/>
      <c r="M8" s="11"/>
      <c r="N8" s="11"/>
      <c r="O8" s="102"/>
      <c r="P8" s="11"/>
      <c r="Q8" s="11"/>
      <c r="R8" s="11"/>
      <c r="S8" s="102"/>
      <c r="T8" s="11"/>
      <c r="U8" s="11"/>
      <c r="V8" s="11"/>
      <c r="W8" s="11"/>
      <c r="X8" s="102"/>
      <c r="Y8" s="11"/>
      <c r="Z8" s="11"/>
      <c r="AA8" s="11"/>
      <c r="AB8" s="11"/>
      <c r="AC8" s="102"/>
      <c r="AD8" s="11"/>
      <c r="AE8" s="11"/>
      <c r="AF8" s="11"/>
      <c r="AG8" s="102"/>
      <c r="AH8" s="11"/>
      <c r="AI8" s="11"/>
      <c r="AJ8" s="11"/>
      <c r="AK8" s="11"/>
      <c r="AL8" s="11"/>
      <c r="AM8" s="11"/>
      <c r="AN8" s="102"/>
      <c r="AO8" s="11"/>
      <c r="AP8" s="11"/>
      <c r="AQ8" s="102"/>
      <c r="AR8" s="102"/>
      <c r="AS8" s="102"/>
      <c r="AT8" s="102"/>
      <c r="AU8" s="102"/>
      <c r="AV8" s="102"/>
      <c r="AW8" s="102"/>
      <c r="AX8" s="102"/>
      <c r="AY8" s="102"/>
      <c r="AZ8" s="102"/>
      <c r="BA8" s="102"/>
      <c r="BB8" s="102"/>
      <c r="BC8" s="66"/>
      <c r="BD8" s="102"/>
      <c r="BE8" s="102"/>
      <c r="BF8" s="102"/>
      <c r="BG8" s="102"/>
      <c r="BH8" s="102"/>
      <c r="BI8" s="80"/>
      <c r="BJ8" s="102"/>
      <c r="BK8" s="103"/>
      <c r="BL8" s="102"/>
      <c r="BM8" s="104"/>
      <c r="BN8" s="102"/>
      <c r="BO8" s="103"/>
      <c r="BP8" s="102"/>
      <c r="BQ8" s="102"/>
      <c r="BR8" s="102"/>
      <c r="BS8" s="102"/>
      <c r="BT8" s="80"/>
      <c r="BU8" s="80"/>
      <c r="BV8" s="78"/>
      <c r="BW8" s="78"/>
      <c r="BX8" s="78"/>
      <c r="BY8" s="78"/>
      <c r="BZ8" s="93"/>
      <c r="CA8" s="93"/>
      <c r="CB8" s="88"/>
      <c r="CC8" s="80"/>
      <c r="CD8" s="65"/>
      <c r="CE8" s="93"/>
      <c r="CF8" s="93"/>
      <c r="CG8" s="80"/>
      <c r="CH8" s="65"/>
      <c r="CI8" s="93"/>
      <c r="CJ8" s="93"/>
      <c r="CK8" s="93"/>
      <c r="CL8" s="80"/>
      <c r="CM8" s="65"/>
      <c r="CN8" s="93"/>
      <c r="CO8" s="93"/>
      <c r="CP8" s="93"/>
      <c r="CQ8" s="80"/>
      <c r="CR8" s="65"/>
      <c r="CS8" s="93"/>
      <c r="CT8" s="93"/>
      <c r="CU8" s="93"/>
      <c r="CV8" s="93"/>
      <c r="CW8" s="80"/>
      <c r="CX8" s="65"/>
      <c r="CY8" s="93"/>
      <c r="CZ8" s="93"/>
      <c r="DA8" s="93"/>
      <c r="DB8" s="93"/>
      <c r="DC8" s="80"/>
      <c r="DD8" s="65"/>
      <c r="DE8" s="93"/>
      <c r="DF8" s="93"/>
      <c r="DG8" s="93"/>
      <c r="DH8" s="80"/>
      <c r="DI8" s="65"/>
      <c r="DJ8" s="80"/>
      <c r="DK8" s="96"/>
      <c r="DL8" s="93"/>
      <c r="DM8" s="127"/>
      <c r="DN8" s="93"/>
      <c r="DO8" s="22"/>
      <c r="DP8" s="80"/>
      <c r="DQ8" s="127"/>
      <c r="DR8" s="127"/>
      <c r="DS8" s="93"/>
      <c r="DT8" s="24"/>
      <c r="DU8" s="22"/>
      <c r="DV8" s="22"/>
      <c r="DW8" s="22"/>
      <c r="DX8" s="80"/>
      <c r="DY8" s="157"/>
      <c r="DZ8" s="93"/>
      <c r="EA8" s="24"/>
      <c r="EB8" s="22"/>
      <c r="EC8" s="22"/>
      <c r="ED8" s="22"/>
      <c r="EE8" s="22"/>
      <c r="EF8" s="164"/>
      <c r="EG8" s="172"/>
      <c r="EH8" s="93"/>
      <c r="EI8" s="24"/>
      <c r="EJ8" s="22"/>
      <c r="EK8" s="22"/>
      <c r="EL8" s="22"/>
      <c r="EM8" s="22"/>
      <c r="EN8" s="22"/>
      <c r="EO8" s="164"/>
      <c r="EP8" s="127"/>
      <c r="EQ8" s="93"/>
      <c r="ER8" s="93"/>
      <c r="ES8" s="93"/>
      <c r="ET8" s="22"/>
      <c r="EU8" s="22"/>
      <c r="EV8" s="159"/>
      <c r="EW8" s="201"/>
      <c r="EX8" s="93">
        <v>1500000</v>
      </c>
      <c r="EY8" s="5">
        <f>EX8-ES8</f>
        <v>1500000</v>
      </c>
      <c r="EZ8" s="80" t="s">
        <v>697</v>
      </c>
      <c r="FA8" s="203">
        <v>0</v>
      </c>
      <c r="FB8" s="5">
        <f t="shared" ref="FB8:FB39" si="0">FA8-ES8</f>
        <v>0</v>
      </c>
      <c r="FC8" s="5">
        <f t="shared" ref="FC8:FC68" si="1">FA8-EX8</f>
        <v>-1500000</v>
      </c>
      <c r="FD8" s="80"/>
    </row>
    <row r="9" spans="1:162" ht="39.75" customHeight="1" x14ac:dyDescent="0.2">
      <c r="A9" s="21" t="s">
        <v>21</v>
      </c>
      <c r="B9" s="9"/>
      <c r="C9" s="26" t="s">
        <v>102</v>
      </c>
      <c r="D9" s="20">
        <v>13059926</v>
      </c>
      <c r="E9" s="20">
        <v>13425797</v>
      </c>
      <c r="F9" s="5">
        <f>E9-D9</f>
        <v>365871</v>
      </c>
      <c r="G9" s="22">
        <v>13237522</v>
      </c>
      <c r="H9" s="5">
        <f>G9-D9</f>
        <v>177596</v>
      </c>
      <c r="I9" s="5">
        <f>G9-E9</f>
        <v>-188275</v>
      </c>
      <c r="J9" s="31"/>
      <c r="K9" s="19">
        <v>13857522</v>
      </c>
      <c r="L9" s="11">
        <f>K9-D9</f>
        <v>797596</v>
      </c>
      <c r="M9" s="11">
        <f>K9-E9</f>
        <v>431725</v>
      </c>
      <c r="N9" s="11">
        <f>K9-G9</f>
        <v>620000</v>
      </c>
      <c r="O9" s="19">
        <v>13625797</v>
      </c>
      <c r="P9" s="11">
        <f>O9-D9</f>
        <v>565871</v>
      </c>
      <c r="Q9" s="11">
        <f>O9-E9</f>
        <v>200000</v>
      </c>
      <c r="R9" s="11">
        <f>O9-K9</f>
        <v>-231725</v>
      </c>
      <c r="S9" s="19">
        <f>13625797+220000</f>
        <v>13845797</v>
      </c>
      <c r="T9" s="11">
        <f>S9-D9</f>
        <v>785871</v>
      </c>
      <c r="U9" s="11">
        <f>S9-E9</f>
        <v>420000</v>
      </c>
      <c r="V9" s="11">
        <f>S9-K9</f>
        <v>-11725</v>
      </c>
      <c r="W9" s="11">
        <f>S9-O9</f>
        <v>220000</v>
      </c>
      <c r="X9" s="19">
        <v>14442522</v>
      </c>
      <c r="Y9" s="11">
        <f>X9-D9</f>
        <v>1382596</v>
      </c>
      <c r="Z9" s="11">
        <f>X9-E9</f>
        <v>1016725</v>
      </c>
      <c r="AA9" s="11">
        <f>X9-K9</f>
        <v>585000</v>
      </c>
      <c r="AB9" s="11">
        <f>X9-S9</f>
        <v>596725</v>
      </c>
      <c r="AC9" s="19">
        <f>14442522-1193000</f>
        <v>13249522</v>
      </c>
      <c r="AD9" s="11">
        <f>AC9-D9</f>
        <v>189596</v>
      </c>
      <c r="AE9" s="11">
        <f>AC9-X9</f>
        <v>-1193000</v>
      </c>
      <c r="AF9" s="11">
        <f t="shared" ref="AF9:AF46" si="2">AG9-AC9</f>
        <v>1193000</v>
      </c>
      <c r="AG9" s="19">
        <f>14442522</f>
        <v>14442522</v>
      </c>
      <c r="AH9" s="11">
        <f>AG9-D9</f>
        <v>1382596</v>
      </c>
      <c r="AI9" s="11">
        <v>108715</v>
      </c>
      <c r="AJ9" s="11">
        <f>AG9+AI9</f>
        <v>14551237</v>
      </c>
      <c r="AK9" s="11">
        <f>13562342-14551237+108715</f>
        <v>-880180</v>
      </c>
      <c r="AL9" s="11">
        <v>-75000</v>
      </c>
      <c r="AM9" s="11">
        <f>AJ9+AL9+AK9</f>
        <v>13596057</v>
      </c>
      <c r="AN9" s="19">
        <v>12270245</v>
      </c>
      <c r="AO9" s="11">
        <f>AN9-AM9</f>
        <v>-1325812</v>
      </c>
      <c r="AP9" s="19" t="s">
        <v>152</v>
      </c>
      <c r="AQ9" s="19">
        <v>12270245</v>
      </c>
      <c r="AR9" s="19">
        <f>AQ9-AM9</f>
        <v>-1325812</v>
      </c>
      <c r="AS9" s="19">
        <f>AQ9-AN9</f>
        <v>0</v>
      </c>
      <c r="AT9" s="19">
        <v>13608245</v>
      </c>
      <c r="AU9" s="19">
        <f>AT9-AM9</f>
        <v>12188</v>
      </c>
      <c r="AV9" s="19">
        <f>AT9-AN9</f>
        <v>1338000</v>
      </c>
      <c r="AW9" s="19">
        <f>AT9-AQ9</f>
        <v>1338000</v>
      </c>
      <c r="AX9" s="19" t="s">
        <v>167</v>
      </c>
      <c r="AY9" s="19">
        <v>12820245</v>
      </c>
      <c r="AZ9" s="19">
        <f>AY9-AM9</f>
        <v>-775812</v>
      </c>
      <c r="BA9" s="19">
        <f>AY9-AN9</f>
        <v>550000</v>
      </c>
      <c r="BB9" s="19">
        <f>AY9-AT9</f>
        <v>-788000</v>
      </c>
      <c r="BC9" s="67" t="s">
        <v>195</v>
      </c>
      <c r="BD9" s="19">
        <v>13675539</v>
      </c>
      <c r="BE9" s="19">
        <f>BD9-AM9</f>
        <v>79482</v>
      </c>
      <c r="BF9" s="19">
        <f>BD9-AN9</f>
        <v>1405294</v>
      </c>
      <c r="BG9" s="19">
        <f>BD9-AT9</f>
        <v>67294</v>
      </c>
      <c r="BH9" s="19">
        <f>BD9-AY9</f>
        <v>855294</v>
      </c>
      <c r="BI9" s="73" t="s">
        <v>202</v>
      </c>
      <c r="BJ9" s="19">
        <v>14352257</v>
      </c>
      <c r="BK9" s="12">
        <v>-2160294</v>
      </c>
      <c r="BL9" s="19">
        <f>+BJ9+BK9</f>
        <v>12191963</v>
      </c>
      <c r="BM9" s="20">
        <v>2160294</v>
      </c>
      <c r="BN9" s="19">
        <f>+BL9+BM9</f>
        <v>14352257</v>
      </c>
      <c r="BO9" s="12">
        <f t="shared" ref="BO9:BO44" si="3">+BN9-AM9</f>
        <v>756200</v>
      </c>
      <c r="BP9" s="19">
        <f t="shared" ref="BP9:BP44" si="4">+BN9-AN9</f>
        <v>2082012</v>
      </c>
      <c r="BQ9" s="19">
        <f t="shared" ref="BQ9:BQ44" si="5">+BN9-AT9</f>
        <v>744012</v>
      </c>
      <c r="BR9" s="19">
        <f t="shared" ref="BR9:BR44" si="6">+BN9-BD9</f>
        <v>676718</v>
      </c>
      <c r="BS9" s="19">
        <f t="shared" ref="BS9:BS44" si="7">+BN9-BJ9</f>
        <v>0</v>
      </c>
      <c r="BT9" s="73" t="s">
        <v>212</v>
      </c>
      <c r="BU9" s="80"/>
      <c r="BV9" s="78">
        <f>BN9+BU9</f>
        <v>14352257</v>
      </c>
      <c r="BW9" s="78"/>
      <c r="BX9" s="78">
        <f>BV9+BW9</f>
        <v>14352257</v>
      </c>
      <c r="BY9" s="78">
        <v>-1878844</v>
      </c>
      <c r="BZ9" s="93">
        <v>12473413</v>
      </c>
      <c r="CA9" s="93">
        <v>11769863</v>
      </c>
      <c r="CB9" s="88">
        <f>CA9-BZ9</f>
        <v>-703550</v>
      </c>
      <c r="CC9" s="80" t="s">
        <v>244</v>
      </c>
      <c r="CD9" s="65">
        <v>11769864</v>
      </c>
      <c r="CE9" s="93">
        <f>CD9-BZ9</f>
        <v>-703549</v>
      </c>
      <c r="CF9" s="93">
        <f>CD9-CA9</f>
        <v>1</v>
      </c>
      <c r="CG9" s="80" t="s">
        <v>244</v>
      </c>
      <c r="CH9" s="65">
        <f>11769864+1690000</f>
        <v>13459864</v>
      </c>
      <c r="CI9" s="93">
        <f>CH9-BZ9</f>
        <v>986451</v>
      </c>
      <c r="CJ9" s="93">
        <f>CH9-CA9</f>
        <v>1690001</v>
      </c>
      <c r="CK9" s="93">
        <f>CH9-CD9</f>
        <v>1690000</v>
      </c>
      <c r="CL9" s="80" t="s">
        <v>269</v>
      </c>
      <c r="CM9" s="65">
        <v>12369863</v>
      </c>
      <c r="CN9" s="93">
        <f>CM9-BZ9</f>
        <v>-103550</v>
      </c>
      <c r="CO9" s="93">
        <f>CM9-CA9</f>
        <v>600000</v>
      </c>
      <c r="CP9" s="93">
        <f>CM9-CH9</f>
        <v>-1090001</v>
      </c>
      <c r="CQ9" s="80" t="s">
        <v>310</v>
      </c>
      <c r="CR9" s="65">
        <f>12369863+400000</f>
        <v>12769863</v>
      </c>
      <c r="CS9" s="93">
        <f>CR9-BZ9</f>
        <v>296450</v>
      </c>
      <c r="CT9" s="93">
        <f>CR9-CA9</f>
        <v>1000000</v>
      </c>
      <c r="CU9" s="93">
        <f>CR9-CH9</f>
        <v>-690001</v>
      </c>
      <c r="CV9" s="93">
        <f>CR9-CM9</f>
        <v>400000</v>
      </c>
      <c r="CW9" s="80" t="s">
        <v>341</v>
      </c>
      <c r="CX9" s="65">
        <v>14103767</v>
      </c>
      <c r="CY9" s="93">
        <f t="shared" ref="CY9:CY29" si="8">CX9-BZ9</f>
        <v>1630354</v>
      </c>
      <c r="CZ9" s="93">
        <f t="shared" ref="CZ9:CZ44" si="9">CX9-CA9</f>
        <v>2333904</v>
      </c>
      <c r="DA9" s="93">
        <f t="shared" ref="DA9:DA44" si="10">CX9-CH9</f>
        <v>643903</v>
      </c>
      <c r="DB9" s="93">
        <f t="shared" ref="DB9:DB44" si="11">CX9-CR9</f>
        <v>1333904</v>
      </c>
      <c r="DC9" s="123" t="s">
        <v>355</v>
      </c>
      <c r="DD9" s="65">
        <v>11663767</v>
      </c>
      <c r="DE9" s="93">
        <f t="shared" ref="DE9:DE44" si="12">DD9-BZ9</f>
        <v>-809646</v>
      </c>
      <c r="DF9" s="93">
        <f t="shared" ref="DF9:DF44" si="13">DD9-CA9</f>
        <v>-106096</v>
      </c>
      <c r="DG9" s="93">
        <f>DD9-CX9</f>
        <v>-2440000</v>
      </c>
      <c r="DH9" s="123" t="s">
        <v>374</v>
      </c>
      <c r="DI9" s="65">
        <v>14103767</v>
      </c>
      <c r="DJ9" s="128" t="s">
        <v>355</v>
      </c>
      <c r="DK9" s="130"/>
      <c r="DL9" s="93">
        <f t="shared" ref="DL9:DL43" si="14">DI9</f>
        <v>14103767</v>
      </c>
      <c r="DM9" s="127">
        <f t="shared" ref="DM9:DM52" si="15">DL9-BZ9</f>
        <v>1630354</v>
      </c>
      <c r="DN9" s="148">
        <v>11323745</v>
      </c>
      <c r="DO9" s="22">
        <f>DN9-DL9</f>
        <v>-2780022</v>
      </c>
      <c r="DP9" s="80" t="s">
        <v>407</v>
      </c>
      <c r="DQ9" s="145">
        <v>11823711</v>
      </c>
      <c r="DR9" s="145"/>
      <c r="DS9" s="148">
        <f t="shared" ref="DS9:DS12" si="16">SUM(DQ9:DR9)</f>
        <v>11823711</v>
      </c>
      <c r="DT9" s="24">
        <f>DQ9-DL9</f>
        <v>-2280056</v>
      </c>
      <c r="DU9" s="22">
        <f>DQ9-DN9</f>
        <v>499966</v>
      </c>
      <c r="DV9" s="22">
        <f>+DS9-DL9</f>
        <v>-2280056</v>
      </c>
      <c r="DW9" s="22">
        <f>+DS9-DN9</f>
        <v>499966</v>
      </c>
      <c r="DX9" s="80" t="s">
        <v>435</v>
      </c>
      <c r="DY9" s="80" t="s">
        <v>435</v>
      </c>
      <c r="DZ9" s="148">
        <v>12098745</v>
      </c>
      <c r="EA9" s="24" t="e">
        <f>DX9-DS9</f>
        <v>#VALUE!</v>
      </c>
      <c r="EB9" s="22" t="e">
        <f>DX9-DU9</f>
        <v>#VALUE!</v>
      </c>
      <c r="EC9" s="22">
        <f>DZ9-DL9</f>
        <v>-2005022</v>
      </c>
      <c r="ED9" s="22">
        <f>DZ9-DN9</f>
        <v>775000</v>
      </c>
      <c r="EE9" s="22">
        <f>DZ9-DS9</f>
        <v>275034</v>
      </c>
      <c r="EF9" s="159" t="s">
        <v>513</v>
      </c>
      <c r="EG9" s="65">
        <f>60000+100000+50000+75000+50000+5000+50000+75000+50000+15000+500000+25000+50000+50000+75000+130000</f>
        <v>1360000</v>
      </c>
      <c r="EH9" s="148">
        <f>DZ9+EG9</f>
        <v>13458745</v>
      </c>
      <c r="EI9" s="24">
        <f>EE9-DZ9</f>
        <v>-11823711</v>
      </c>
      <c r="EJ9" s="22" t="e">
        <f>EE9-EB9</f>
        <v>#VALUE!</v>
      </c>
      <c r="EK9" s="22">
        <f>EH9-DL9</f>
        <v>-645022</v>
      </c>
      <c r="EL9" s="22">
        <f>EH9-DN9</f>
        <v>2135000</v>
      </c>
      <c r="EM9" s="22">
        <f>EH9-DS9</f>
        <v>1635034</v>
      </c>
      <c r="EN9" s="22">
        <f>EH9-DZ9</f>
        <v>1360000</v>
      </c>
      <c r="EO9" s="159" t="s">
        <v>588</v>
      </c>
      <c r="EP9" s="145">
        <v>12988711</v>
      </c>
      <c r="EQ9" s="148">
        <v>12988711</v>
      </c>
      <c r="ER9" s="148">
        <v>20900</v>
      </c>
      <c r="ES9" s="148">
        <f>EQ9+ER9</f>
        <v>13009611</v>
      </c>
      <c r="ET9" s="22">
        <f>ES9-DN9</f>
        <v>1685866</v>
      </c>
      <c r="EU9" s="22">
        <f>ES9-DL9</f>
        <v>-1094156</v>
      </c>
      <c r="EV9" s="159" t="s">
        <v>640</v>
      </c>
      <c r="EW9" s="201" t="s">
        <v>640</v>
      </c>
      <c r="EX9" s="148">
        <v>11602752</v>
      </c>
      <c r="EY9" s="5">
        <f>EX9-ES9</f>
        <v>-1406859</v>
      </c>
      <c r="EZ9" s="80" t="s">
        <v>689</v>
      </c>
      <c r="FA9" s="145">
        <v>11502752</v>
      </c>
      <c r="FB9" s="5">
        <f t="shared" si="0"/>
        <v>-1506859</v>
      </c>
      <c r="FC9" s="5">
        <f t="shared" si="1"/>
        <v>-100000</v>
      </c>
      <c r="FD9" s="80" t="s">
        <v>717</v>
      </c>
      <c r="FF9" s="3"/>
    </row>
    <row r="10" spans="1:162" ht="25.5" x14ac:dyDescent="0.2">
      <c r="A10" s="10" t="s">
        <v>14</v>
      </c>
      <c r="B10" s="10"/>
      <c r="C10" s="27" t="s">
        <v>46</v>
      </c>
      <c r="D10" s="20">
        <v>17912443</v>
      </c>
      <c r="E10" s="20">
        <v>19142582</v>
      </c>
      <c r="F10" s="5">
        <f t="shared" ref="F10:F65" si="17">E10-D10</f>
        <v>1230139</v>
      </c>
      <c r="G10" s="22">
        <v>19142582</v>
      </c>
      <c r="H10" s="5">
        <f t="shared" ref="H10:H65" si="18">G10-D10</f>
        <v>1230139</v>
      </c>
      <c r="I10" s="5">
        <f>G10-E10</f>
        <v>0</v>
      </c>
      <c r="J10" s="31"/>
      <c r="K10" s="19">
        <v>20142582</v>
      </c>
      <c r="L10" s="11">
        <f t="shared" ref="L10:L65" si="19">K10-D10</f>
        <v>2230139</v>
      </c>
      <c r="M10" s="11">
        <f>K10-E10</f>
        <v>1000000</v>
      </c>
      <c r="N10" s="11">
        <f t="shared" ref="N10:N65" si="20">K10-G10</f>
        <v>1000000</v>
      </c>
      <c r="O10" s="19">
        <v>17912443</v>
      </c>
      <c r="P10" s="11">
        <f t="shared" ref="P10:P65" si="21">O10-D10</f>
        <v>0</v>
      </c>
      <c r="Q10" s="11">
        <f>O10-E10</f>
        <v>-1230139</v>
      </c>
      <c r="R10" s="11">
        <f t="shared" ref="R10:R65" si="22">O10-K10</f>
        <v>-2230139</v>
      </c>
      <c r="S10" s="19">
        <f>17912443+2000000</f>
        <v>19912443</v>
      </c>
      <c r="T10" s="11">
        <f t="shared" ref="T10:T65" si="23">S10-D10</f>
        <v>2000000</v>
      </c>
      <c r="U10" s="11">
        <f>S10-E10</f>
        <v>769861</v>
      </c>
      <c r="V10" s="11">
        <f>S10-K10</f>
        <v>-230139</v>
      </c>
      <c r="W10" s="11">
        <f t="shared" ref="W10:W65" si="24">S10-O10</f>
        <v>2000000</v>
      </c>
      <c r="X10" s="19">
        <v>20142582</v>
      </c>
      <c r="Y10" s="11">
        <f>X10-D10</f>
        <v>2230139</v>
      </c>
      <c r="Z10" s="11">
        <f>X10-E10</f>
        <v>1000000</v>
      </c>
      <c r="AA10" s="11">
        <f t="shared" ref="AA10:AA65" si="25">X10-K10</f>
        <v>0</v>
      </c>
      <c r="AB10" s="11">
        <f t="shared" ref="AB10:AB65" si="26">X10-S10</f>
        <v>230139</v>
      </c>
      <c r="AC10" s="19">
        <v>20142582</v>
      </c>
      <c r="AD10" s="11">
        <f>AC10-D10</f>
        <v>2230139</v>
      </c>
      <c r="AE10" s="11">
        <f t="shared" ref="AE10:AE65" si="27">AC10-X10</f>
        <v>0</v>
      </c>
      <c r="AF10" s="11">
        <f t="shared" si="2"/>
        <v>0</v>
      </c>
      <c r="AG10" s="19">
        <v>20142582</v>
      </c>
      <c r="AH10" s="11">
        <f>AG10-D10</f>
        <v>2230139</v>
      </c>
      <c r="AI10" s="11"/>
      <c r="AJ10" s="11">
        <f t="shared" ref="AJ10:AJ65" si="28">AG10+AI10</f>
        <v>20142582</v>
      </c>
      <c r="AK10" s="11"/>
      <c r="AL10" s="11"/>
      <c r="AM10" s="11">
        <f t="shared" ref="AM10:AM65" si="29">AJ10+AL10+AK10</f>
        <v>20142582</v>
      </c>
      <c r="AN10" s="19">
        <v>20142582</v>
      </c>
      <c r="AO10" s="11">
        <f t="shared" ref="AO10:AO65" si="30">AN10-AM10</f>
        <v>0</v>
      </c>
      <c r="AP10" s="11"/>
      <c r="AQ10" s="19">
        <v>20142582</v>
      </c>
      <c r="AR10" s="19">
        <f t="shared" ref="AR10:AR65" si="31">AQ10-AM10</f>
        <v>0</v>
      </c>
      <c r="AS10" s="19">
        <f t="shared" ref="AS10:AS65" si="32">AQ10-AN10</f>
        <v>0</v>
      </c>
      <c r="AT10" s="19">
        <v>20642582</v>
      </c>
      <c r="AU10" s="19">
        <f t="shared" ref="AU10:AU65" si="33">AT10-AM10</f>
        <v>500000</v>
      </c>
      <c r="AV10" s="19">
        <f t="shared" ref="AV10:AV65" si="34">AT10-AN10</f>
        <v>500000</v>
      </c>
      <c r="AW10" s="19">
        <f t="shared" ref="AW10:AW65" si="35">AT10-AQ10</f>
        <v>500000</v>
      </c>
      <c r="AX10" s="19"/>
      <c r="AY10" s="19">
        <v>20142582</v>
      </c>
      <c r="AZ10" s="19">
        <f t="shared" ref="AZ10:AZ65" si="36">AY10-AM10</f>
        <v>0</v>
      </c>
      <c r="BA10" s="19">
        <f t="shared" ref="BA10:BA65" si="37">AY10-AN10</f>
        <v>0</v>
      </c>
      <c r="BB10" s="19">
        <f t="shared" ref="BB10:BB65" si="38">AY10-AT10</f>
        <v>-500000</v>
      </c>
      <c r="BC10" s="66"/>
      <c r="BD10" s="19">
        <v>20142582</v>
      </c>
      <c r="BE10" s="19">
        <f t="shared" ref="BE10:BE65" si="39">BD10-AM10</f>
        <v>0</v>
      </c>
      <c r="BF10" s="19">
        <f t="shared" ref="BF10:BF65" si="40">BD10-AN10</f>
        <v>0</v>
      </c>
      <c r="BG10" s="19">
        <f t="shared" ref="BG10:BG65" si="41">BD10-AT10</f>
        <v>-500000</v>
      </c>
      <c r="BH10" s="19">
        <f t="shared" ref="BH10:BH65" si="42">BD10-AY10</f>
        <v>0</v>
      </c>
      <c r="BI10" s="73"/>
      <c r="BJ10" s="19">
        <v>20642582</v>
      </c>
      <c r="BK10" s="12"/>
      <c r="BL10" s="19">
        <f t="shared" ref="BL10:BL65" si="43">+BJ10+BK10</f>
        <v>20642582</v>
      </c>
      <c r="BM10" s="20"/>
      <c r="BN10" s="19">
        <f t="shared" ref="BN10:BN65" si="44">+BL10+BM10</f>
        <v>20642582</v>
      </c>
      <c r="BO10" s="12">
        <f t="shared" si="3"/>
        <v>500000</v>
      </c>
      <c r="BP10" s="19">
        <f t="shared" si="4"/>
        <v>500000</v>
      </c>
      <c r="BQ10" s="19">
        <f t="shared" si="5"/>
        <v>0</v>
      </c>
      <c r="BR10" s="19">
        <f t="shared" si="6"/>
        <v>500000</v>
      </c>
      <c r="BS10" s="19">
        <f t="shared" si="7"/>
        <v>0</v>
      </c>
      <c r="BT10" s="73"/>
      <c r="BU10" s="80"/>
      <c r="BV10" s="78">
        <f t="shared" ref="BV10:BV65" si="45">BN10+BU10</f>
        <v>20642582</v>
      </c>
      <c r="BW10" s="78"/>
      <c r="BX10" s="78">
        <f t="shared" ref="BX10:BX65" si="46">BV10+BW10</f>
        <v>20642582</v>
      </c>
      <c r="BY10" s="78"/>
      <c r="BZ10" s="93">
        <v>20642582</v>
      </c>
      <c r="CA10" s="93">
        <v>20642582</v>
      </c>
      <c r="CB10" s="88">
        <f t="shared" ref="CB10:CB11" si="47">CA10-BZ10</f>
        <v>0</v>
      </c>
      <c r="CC10" s="80"/>
      <c r="CD10" s="65">
        <v>21142582</v>
      </c>
      <c r="CE10" s="93">
        <f t="shared" ref="CE10:CE58" si="48">CD10-BZ10</f>
        <v>500000</v>
      </c>
      <c r="CF10" s="93">
        <f t="shared" ref="CF10:CF58" si="49">CD10-CA10</f>
        <v>500000</v>
      </c>
      <c r="CG10" s="80"/>
      <c r="CH10" s="65">
        <v>21142582</v>
      </c>
      <c r="CI10" s="93">
        <f t="shared" ref="CI10:CI65" si="50">CH10-BZ10</f>
        <v>500000</v>
      </c>
      <c r="CJ10" s="93">
        <f t="shared" ref="CJ10:CJ65" si="51">CH10-CA10</f>
        <v>500000</v>
      </c>
      <c r="CK10" s="93">
        <f t="shared" ref="CK10:CK65" si="52">CH10-CD10</f>
        <v>0</v>
      </c>
      <c r="CL10" s="80"/>
      <c r="CM10" s="65">
        <v>21000000</v>
      </c>
      <c r="CN10" s="93">
        <f>CM10-BZ10</f>
        <v>357418</v>
      </c>
      <c r="CO10" s="93">
        <f t="shared" ref="CO10:CO65" si="53">CM10-CA10</f>
        <v>357418</v>
      </c>
      <c r="CP10" s="93">
        <f t="shared" ref="CP10:CP65" si="54">CM10-CH10</f>
        <v>-142582</v>
      </c>
      <c r="CQ10" s="80"/>
      <c r="CR10" s="65">
        <v>21000000</v>
      </c>
      <c r="CS10" s="93">
        <f t="shared" ref="CS10:CS65" si="55">CR10-BZ10</f>
        <v>357418</v>
      </c>
      <c r="CT10" s="93">
        <f t="shared" ref="CT10:CT65" si="56">CR10-CA10</f>
        <v>357418</v>
      </c>
      <c r="CU10" s="93">
        <f t="shared" ref="CU10:CU65" si="57">CR10-CH10</f>
        <v>-142582</v>
      </c>
      <c r="CV10" s="93">
        <f t="shared" ref="CV10:CV65" si="58">CR10-CM10</f>
        <v>0</v>
      </c>
      <c r="CW10" s="80"/>
      <c r="CX10" s="65">
        <v>20642582</v>
      </c>
      <c r="CY10" s="93">
        <f t="shared" si="8"/>
        <v>0</v>
      </c>
      <c r="CZ10" s="93">
        <f t="shared" si="9"/>
        <v>0</v>
      </c>
      <c r="DA10" s="93">
        <f t="shared" si="10"/>
        <v>-500000</v>
      </c>
      <c r="DB10" s="93">
        <f t="shared" si="11"/>
        <v>-357418</v>
      </c>
      <c r="DC10" s="80"/>
      <c r="DD10" s="65">
        <v>20642582</v>
      </c>
      <c r="DE10" s="93">
        <f t="shared" si="12"/>
        <v>0</v>
      </c>
      <c r="DF10" s="93">
        <f t="shared" si="13"/>
        <v>0</v>
      </c>
      <c r="DG10" s="93">
        <f t="shared" ref="DG10:DG65" si="59">DD10-CX10</f>
        <v>0</v>
      </c>
      <c r="DH10" s="80"/>
      <c r="DI10" s="65">
        <v>20642582</v>
      </c>
      <c r="DJ10" s="80"/>
      <c r="DK10" s="96"/>
      <c r="DL10" s="93">
        <f t="shared" si="14"/>
        <v>20642582</v>
      </c>
      <c r="DM10" s="127">
        <f t="shared" si="15"/>
        <v>0</v>
      </c>
      <c r="DN10" s="148">
        <v>20642582</v>
      </c>
      <c r="DO10" s="22">
        <f t="shared" ref="DO10:DO65" si="60">DN10-DL10</f>
        <v>0</v>
      </c>
      <c r="DP10" s="80"/>
      <c r="DQ10" s="145">
        <v>22142582</v>
      </c>
      <c r="DR10" s="145"/>
      <c r="DS10" s="148">
        <f t="shared" si="16"/>
        <v>22142582</v>
      </c>
      <c r="DT10" s="24">
        <f t="shared" ref="DT10:DT65" si="61">DQ10-DL10</f>
        <v>1500000</v>
      </c>
      <c r="DU10" s="22">
        <f t="shared" ref="DU10:DU65" si="62">DQ10-DN10</f>
        <v>1500000</v>
      </c>
      <c r="DV10" s="22">
        <f t="shared" ref="DV10:DV65" si="63">+DS10-DL10</f>
        <v>1500000</v>
      </c>
      <c r="DW10" s="22">
        <f t="shared" ref="DW10:DW65" si="64">+DS10-DN10</f>
        <v>1500000</v>
      </c>
      <c r="DX10" s="80"/>
      <c r="DY10" s="157"/>
      <c r="DZ10" s="148">
        <v>21142582</v>
      </c>
      <c r="EA10" s="24">
        <f t="shared" ref="EA10:EA15" si="65">DX10-DS10</f>
        <v>-22142582</v>
      </c>
      <c r="EB10" s="22">
        <f t="shared" ref="EB10:EB15" si="66">DX10-DU10</f>
        <v>-1500000</v>
      </c>
      <c r="EC10" s="22">
        <f t="shared" ref="EC10:EC65" si="67">DZ10-DL10</f>
        <v>500000</v>
      </c>
      <c r="ED10" s="22">
        <f t="shared" ref="ED10:ED44" si="68">DZ10-DN10</f>
        <v>500000</v>
      </c>
      <c r="EE10" s="22">
        <f t="shared" ref="EE10:EE44" si="69">DZ10-DS10</f>
        <v>-1000000</v>
      </c>
      <c r="EF10" s="159"/>
      <c r="EG10" s="65">
        <f>40000+1000000</f>
        <v>1040000</v>
      </c>
      <c r="EH10" s="148">
        <f t="shared" ref="EH10:EH65" si="70">DZ10+EG10</f>
        <v>22182582</v>
      </c>
      <c r="EI10" s="24">
        <f t="shared" ref="EI10:EI15" si="71">EE10-DZ10</f>
        <v>-22142582</v>
      </c>
      <c r="EJ10" s="22">
        <f t="shared" ref="EJ10:EJ15" si="72">EE10-EB10</f>
        <v>500000</v>
      </c>
      <c r="EK10" s="22">
        <f t="shared" ref="EK10:EK68" si="73">EH10-DL10</f>
        <v>1540000</v>
      </c>
      <c r="EL10" s="22">
        <f t="shared" ref="EL10:EL65" si="74">EH10-DN10</f>
        <v>1540000</v>
      </c>
      <c r="EM10" s="22">
        <f t="shared" ref="EM10:EM65" si="75">EH10-DS10</f>
        <v>40000</v>
      </c>
      <c r="EN10" s="22">
        <f t="shared" ref="EN10:EN68" si="76">EH10-DZ10</f>
        <v>1040000</v>
      </c>
      <c r="EO10" s="159" t="s">
        <v>608</v>
      </c>
      <c r="EP10" s="145">
        <v>22182582</v>
      </c>
      <c r="EQ10" s="148">
        <v>22182582</v>
      </c>
      <c r="ER10" s="148"/>
      <c r="ES10" s="148">
        <f t="shared" ref="ES10:ES68" si="77">EQ10+ER10</f>
        <v>22182582</v>
      </c>
      <c r="ET10" s="22">
        <f t="shared" ref="ET10:ET68" si="78">ES10-DN10</f>
        <v>1540000</v>
      </c>
      <c r="EU10" s="22">
        <f t="shared" ref="EU10:EU68" si="79">ES10-DL10</f>
        <v>1540000</v>
      </c>
      <c r="EV10" s="159" t="s">
        <v>626</v>
      </c>
      <c r="EW10" s="201" t="s">
        <v>626</v>
      </c>
      <c r="EX10" s="148">
        <v>22142582</v>
      </c>
      <c r="EY10" s="5">
        <f t="shared" ref="EY10:EY68" si="80">EX10-ES10</f>
        <v>-40000</v>
      </c>
      <c r="EZ10" s="80" t="s">
        <v>689</v>
      </c>
      <c r="FA10" s="145">
        <v>23642582</v>
      </c>
      <c r="FB10" s="5">
        <f t="shared" si="0"/>
        <v>1460000</v>
      </c>
      <c r="FC10" s="5">
        <f t="shared" si="1"/>
        <v>1500000</v>
      </c>
      <c r="FD10" s="80" t="s">
        <v>718</v>
      </c>
    </row>
    <row r="11" spans="1:162" ht="12.75" customHeight="1" x14ac:dyDescent="0.2">
      <c r="A11" s="8" t="s">
        <v>41</v>
      </c>
      <c r="B11" s="9"/>
      <c r="C11" s="27" t="s">
        <v>68</v>
      </c>
      <c r="D11" s="20">
        <v>394000</v>
      </c>
      <c r="E11" s="20">
        <v>0</v>
      </c>
      <c r="F11" s="5">
        <f t="shared" si="17"/>
        <v>-394000</v>
      </c>
      <c r="G11" s="22">
        <v>400000</v>
      </c>
      <c r="H11" s="5">
        <f t="shared" si="18"/>
        <v>6000</v>
      </c>
      <c r="I11" s="5">
        <f>G11-E11</f>
        <v>400000</v>
      </c>
      <c r="J11" s="29" t="s">
        <v>116</v>
      </c>
      <c r="K11" s="19">
        <v>400000</v>
      </c>
      <c r="L11" s="11">
        <f t="shared" si="19"/>
        <v>6000</v>
      </c>
      <c r="M11" s="11">
        <f>K11-E11</f>
        <v>400000</v>
      </c>
      <c r="N11" s="11">
        <f t="shared" si="20"/>
        <v>0</v>
      </c>
      <c r="O11" s="19">
        <v>0</v>
      </c>
      <c r="P11" s="11">
        <f t="shared" si="21"/>
        <v>-394000</v>
      </c>
      <c r="Q11" s="11">
        <f>O11-E11</f>
        <v>0</v>
      </c>
      <c r="R11" s="11">
        <f t="shared" si="22"/>
        <v>-400000</v>
      </c>
      <c r="S11" s="19">
        <v>0</v>
      </c>
      <c r="T11" s="11">
        <f t="shared" si="23"/>
        <v>-394000</v>
      </c>
      <c r="U11" s="11">
        <f>S11-E11</f>
        <v>0</v>
      </c>
      <c r="V11" s="11">
        <f t="shared" ref="V11:V65" si="81">S11-K11</f>
        <v>-400000</v>
      </c>
      <c r="W11" s="11">
        <f t="shared" si="24"/>
        <v>0</v>
      </c>
      <c r="X11" s="19">
        <v>400000</v>
      </c>
      <c r="Y11" s="11">
        <f>X11-D11</f>
        <v>6000</v>
      </c>
      <c r="Z11" s="11">
        <f>X11-E11</f>
        <v>400000</v>
      </c>
      <c r="AA11" s="11">
        <f t="shared" si="25"/>
        <v>0</v>
      </c>
      <c r="AB11" s="11">
        <f t="shared" si="26"/>
        <v>400000</v>
      </c>
      <c r="AC11" s="19">
        <v>400000</v>
      </c>
      <c r="AD11" s="11">
        <f>AC11-D11</f>
        <v>6000</v>
      </c>
      <c r="AE11" s="11">
        <f t="shared" si="27"/>
        <v>0</v>
      </c>
      <c r="AF11" s="11">
        <f t="shared" si="2"/>
        <v>0</v>
      </c>
      <c r="AG11" s="19">
        <v>400000</v>
      </c>
      <c r="AH11" s="11">
        <f>AG11-D11</f>
        <v>6000</v>
      </c>
      <c r="AI11" s="11"/>
      <c r="AJ11" s="11">
        <f t="shared" si="28"/>
        <v>400000</v>
      </c>
      <c r="AK11" s="11"/>
      <c r="AL11" s="11"/>
      <c r="AM11" s="11">
        <f t="shared" si="29"/>
        <v>400000</v>
      </c>
      <c r="AN11" s="19">
        <v>0</v>
      </c>
      <c r="AO11" s="11">
        <f t="shared" si="30"/>
        <v>-400000</v>
      </c>
      <c r="AP11" s="11"/>
      <c r="AQ11" s="19">
        <v>400000</v>
      </c>
      <c r="AR11" s="19">
        <f t="shared" si="31"/>
        <v>0</v>
      </c>
      <c r="AS11" s="19">
        <f t="shared" si="32"/>
        <v>400000</v>
      </c>
      <c r="AT11" s="19">
        <v>400000</v>
      </c>
      <c r="AU11" s="19">
        <f t="shared" si="33"/>
        <v>0</v>
      </c>
      <c r="AV11" s="19">
        <f t="shared" si="34"/>
        <v>400000</v>
      </c>
      <c r="AW11" s="19">
        <f t="shared" si="35"/>
        <v>0</v>
      </c>
      <c r="AX11" s="19"/>
      <c r="AY11" s="19">
        <v>0</v>
      </c>
      <c r="AZ11" s="19">
        <f t="shared" si="36"/>
        <v>-400000</v>
      </c>
      <c r="BA11" s="19">
        <f t="shared" si="37"/>
        <v>0</v>
      </c>
      <c r="BB11" s="19">
        <f t="shared" si="38"/>
        <v>-400000</v>
      </c>
      <c r="BC11" s="66"/>
      <c r="BD11" s="19">
        <v>0</v>
      </c>
      <c r="BE11" s="19">
        <f t="shared" si="39"/>
        <v>-400000</v>
      </c>
      <c r="BF11" s="19">
        <f t="shared" si="40"/>
        <v>0</v>
      </c>
      <c r="BG11" s="19">
        <f t="shared" si="41"/>
        <v>-400000</v>
      </c>
      <c r="BH11" s="19">
        <f t="shared" si="42"/>
        <v>0</v>
      </c>
      <c r="BI11" s="73"/>
      <c r="BJ11" s="19">
        <v>400000</v>
      </c>
      <c r="BK11" s="12">
        <v>-400000</v>
      </c>
      <c r="BL11" s="19">
        <f t="shared" si="43"/>
        <v>0</v>
      </c>
      <c r="BM11" s="20">
        <v>400000</v>
      </c>
      <c r="BN11" s="19">
        <f t="shared" si="44"/>
        <v>400000</v>
      </c>
      <c r="BO11" s="12">
        <f t="shared" si="3"/>
        <v>0</v>
      </c>
      <c r="BP11" s="19">
        <f t="shared" si="4"/>
        <v>400000</v>
      </c>
      <c r="BQ11" s="19">
        <f t="shared" si="5"/>
        <v>0</v>
      </c>
      <c r="BR11" s="19">
        <f t="shared" si="6"/>
        <v>400000</v>
      </c>
      <c r="BS11" s="19">
        <f t="shared" si="7"/>
        <v>0</v>
      </c>
      <c r="BT11" s="73"/>
      <c r="BU11" s="80"/>
      <c r="BV11" s="78">
        <f t="shared" si="45"/>
        <v>400000</v>
      </c>
      <c r="BW11" s="78"/>
      <c r="BX11" s="78">
        <f t="shared" si="46"/>
        <v>400000</v>
      </c>
      <c r="BY11" s="78">
        <v>-266667</v>
      </c>
      <c r="BZ11" s="93">
        <v>133333</v>
      </c>
      <c r="CA11" s="93">
        <v>0</v>
      </c>
      <c r="CB11" s="88">
        <f t="shared" si="47"/>
        <v>-133333</v>
      </c>
      <c r="CC11" s="80" t="s">
        <v>237</v>
      </c>
      <c r="CD11" s="65">
        <v>250000</v>
      </c>
      <c r="CE11" s="93">
        <f t="shared" si="48"/>
        <v>116667</v>
      </c>
      <c r="CF11" s="93">
        <f t="shared" si="49"/>
        <v>250000</v>
      </c>
      <c r="CG11" s="80" t="s">
        <v>253</v>
      </c>
      <c r="CH11" s="65">
        <f>250000+150000</f>
        <v>400000</v>
      </c>
      <c r="CI11" s="93">
        <f t="shared" si="50"/>
        <v>266667</v>
      </c>
      <c r="CJ11" s="93">
        <f t="shared" si="51"/>
        <v>400000</v>
      </c>
      <c r="CK11" s="93">
        <f t="shared" si="52"/>
        <v>150000</v>
      </c>
      <c r="CL11" s="80" t="s">
        <v>270</v>
      </c>
      <c r="CM11" s="65">
        <v>0</v>
      </c>
      <c r="CN11" s="93">
        <f t="shared" ref="CN11:CN65" si="82">CM11-BZ11</f>
        <v>-133333</v>
      </c>
      <c r="CO11" s="93">
        <f t="shared" si="53"/>
        <v>0</v>
      </c>
      <c r="CP11" s="93">
        <f t="shared" si="54"/>
        <v>-400000</v>
      </c>
      <c r="CQ11" s="80"/>
      <c r="CR11" s="65">
        <v>0</v>
      </c>
      <c r="CS11" s="93">
        <f t="shared" si="55"/>
        <v>-133333</v>
      </c>
      <c r="CT11" s="93">
        <f t="shared" si="56"/>
        <v>0</v>
      </c>
      <c r="CU11" s="93">
        <f t="shared" si="57"/>
        <v>-400000</v>
      </c>
      <c r="CV11" s="93">
        <f t="shared" si="58"/>
        <v>0</v>
      </c>
      <c r="CW11" s="80"/>
      <c r="CX11" s="65">
        <v>339500</v>
      </c>
      <c r="CY11" s="93">
        <f t="shared" si="8"/>
        <v>206167</v>
      </c>
      <c r="CZ11" s="93">
        <f t="shared" si="9"/>
        <v>339500</v>
      </c>
      <c r="DA11" s="93">
        <f t="shared" si="10"/>
        <v>-60500</v>
      </c>
      <c r="DB11" s="93">
        <f t="shared" si="11"/>
        <v>339500</v>
      </c>
      <c r="DC11" s="80"/>
      <c r="DD11" s="65">
        <v>339500</v>
      </c>
      <c r="DE11" s="93">
        <f t="shared" si="12"/>
        <v>206167</v>
      </c>
      <c r="DF11" s="93">
        <f t="shared" si="13"/>
        <v>339500</v>
      </c>
      <c r="DG11" s="93">
        <f t="shared" si="59"/>
        <v>0</v>
      </c>
      <c r="DH11" s="80"/>
      <c r="DI11" s="65">
        <v>339500</v>
      </c>
      <c r="DJ11" s="80"/>
      <c r="DK11" s="96"/>
      <c r="DL11" s="93">
        <f t="shared" si="14"/>
        <v>339500</v>
      </c>
      <c r="DM11" s="127">
        <f t="shared" si="15"/>
        <v>206167</v>
      </c>
      <c r="DN11" s="148">
        <v>0</v>
      </c>
      <c r="DO11" s="22">
        <f t="shared" si="60"/>
        <v>-339500</v>
      </c>
      <c r="DP11" s="80" t="s">
        <v>399</v>
      </c>
      <c r="DQ11" s="145">
        <v>339500</v>
      </c>
      <c r="DR11" s="145"/>
      <c r="DS11" s="148">
        <f t="shared" si="16"/>
        <v>339500</v>
      </c>
      <c r="DT11" s="24">
        <f t="shared" si="61"/>
        <v>0</v>
      </c>
      <c r="DU11" s="22">
        <f t="shared" si="62"/>
        <v>339500</v>
      </c>
      <c r="DV11" s="22">
        <f t="shared" si="63"/>
        <v>0</v>
      </c>
      <c r="DW11" s="22">
        <f t="shared" si="64"/>
        <v>339500</v>
      </c>
      <c r="DX11" s="80"/>
      <c r="DY11" s="157"/>
      <c r="DZ11" s="148">
        <v>0</v>
      </c>
      <c r="EA11" s="24">
        <f t="shared" si="65"/>
        <v>-339500</v>
      </c>
      <c r="EB11" s="22">
        <f t="shared" si="66"/>
        <v>-339500</v>
      </c>
      <c r="EC11" s="22">
        <f t="shared" si="67"/>
        <v>-339500</v>
      </c>
      <c r="ED11" s="22">
        <f t="shared" si="68"/>
        <v>0</v>
      </c>
      <c r="EE11" s="22">
        <f t="shared" si="69"/>
        <v>-339500</v>
      </c>
      <c r="EF11" s="159" t="s">
        <v>514</v>
      </c>
      <c r="EG11" s="65"/>
      <c r="EH11" s="148">
        <f t="shared" si="70"/>
        <v>0</v>
      </c>
      <c r="EI11" s="24">
        <f t="shared" si="71"/>
        <v>-339500</v>
      </c>
      <c r="EJ11" s="22">
        <f t="shared" si="72"/>
        <v>0</v>
      </c>
      <c r="EK11" s="22">
        <f t="shared" si="73"/>
        <v>-339500</v>
      </c>
      <c r="EL11" s="22">
        <f t="shared" si="74"/>
        <v>0</v>
      </c>
      <c r="EM11" s="22">
        <f t="shared" si="75"/>
        <v>-339500</v>
      </c>
      <c r="EN11" s="22">
        <f t="shared" si="76"/>
        <v>0</v>
      </c>
      <c r="EO11" s="159" t="s">
        <v>514</v>
      </c>
      <c r="EP11" s="145">
        <v>0</v>
      </c>
      <c r="EQ11" s="148">
        <v>0</v>
      </c>
      <c r="ER11" s="148"/>
      <c r="ES11" s="148">
        <f t="shared" si="77"/>
        <v>0</v>
      </c>
      <c r="ET11" s="22">
        <f t="shared" si="78"/>
        <v>0</v>
      </c>
      <c r="EU11" s="22">
        <f t="shared" si="79"/>
        <v>-339500</v>
      </c>
      <c r="EV11" s="159"/>
      <c r="EW11" s="201"/>
      <c r="EX11" s="148">
        <v>0</v>
      </c>
      <c r="EY11" s="5">
        <f t="shared" si="80"/>
        <v>0</v>
      </c>
      <c r="EZ11" s="80"/>
      <c r="FA11" s="145">
        <v>0</v>
      </c>
      <c r="FB11" s="5">
        <f t="shared" si="0"/>
        <v>0</v>
      </c>
      <c r="FC11" s="5">
        <f t="shared" si="1"/>
        <v>0</v>
      </c>
      <c r="FD11" s="80"/>
    </row>
    <row r="12" spans="1:162" ht="12.75" hidden="1" customHeight="1" x14ac:dyDescent="0.2">
      <c r="A12" s="21" t="s">
        <v>148</v>
      </c>
      <c r="B12" s="9"/>
      <c r="C12" s="26" t="s">
        <v>151</v>
      </c>
      <c r="D12" s="20">
        <v>0</v>
      </c>
      <c r="E12" s="20">
        <v>0</v>
      </c>
      <c r="F12" s="5">
        <f t="shared" si="17"/>
        <v>0</v>
      </c>
      <c r="G12" s="24"/>
      <c r="H12" s="5">
        <f t="shared" si="18"/>
        <v>0</v>
      </c>
      <c r="I12" s="23"/>
      <c r="J12" s="62"/>
      <c r="K12" s="20"/>
      <c r="L12" s="11">
        <f t="shared" si="19"/>
        <v>0</v>
      </c>
      <c r="M12" s="14"/>
      <c r="N12" s="14"/>
      <c r="O12" s="20"/>
      <c r="P12" s="11">
        <f t="shared" si="21"/>
        <v>0</v>
      </c>
      <c r="Q12" s="14"/>
      <c r="R12" s="14"/>
      <c r="S12" s="20"/>
      <c r="T12" s="11">
        <f t="shared" si="23"/>
        <v>0</v>
      </c>
      <c r="U12" s="14"/>
      <c r="V12" s="14"/>
      <c r="W12" s="14"/>
      <c r="X12" s="20"/>
      <c r="Y12" s="14"/>
      <c r="Z12" s="14"/>
      <c r="AA12" s="14"/>
      <c r="AB12" s="14"/>
      <c r="AC12" s="20"/>
      <c r="AD12" s="14"/>
      <c r="AE12" s="14"/>
      <c r="AF12" s="14"/>
      <c r="AG12" s="20">
        <v>0</v>
      </c>
      <c r="AH12" s="14"/>
      <c r="AI12" s="14"/>
      <c r="AJ12" s="14"/>
      <c r="AK12" s="14"/>
      <c r="AL12" s="14"/>
      <c r="AM12" s="14">
        <v>0</v>
      </c>
      <c r="AN12" s="20">
        <v>4529410</v>
      </c>
      <c r="AO12" s="14">
        <f t="shared" si="30"/>
        <v>4529410</v>
      </c>
      <c r="AP12" s="14"/>
      <c r="AQ12" s="20">
        <v>0</v>
      </c>
      <c r="AR12" s="19">
        <f t="shared" si="31"/>
        <v>0</v>
      </c>
      <c r="AS12" s="19">
        <f t="shared" si="32"/>
        <v>-4529410</v>
      </c>
      <c r="AT12" s="20">
        <v>0</v>
      </c>
      <c r="AU12" s="19">
        <f t="shared" si="33"/>
        <v>0</v>
      </c>
      <c r="AV12" s="19">
        <f t="shared" si="34"/>
        <v>-4529410</v>
      </c>
      <c r="AW12" s="19">
        <f t="shared" si="35"/>
        <v>0</v>
      </c>
      <c r="AX12" s="19"/>
      <c r="AY12" s="20">
        <v>0</v>
      </c>
      <c r="AZ12" s="19">
        <f t="shared" si="36"/>
        <v>0</v>
      </c>
      <c r="BA12" s="19">
        <f t="shared" si="37"/>
        <v>-4529410</v>
      </c>
      <c r="BB12" s="19">
        <f t="shared" si="38"/>
        <v>0</v>
      </c>
      <c r="BC12" s="66"/>
      <c r="BD12" s="20">
        <v>0</v>
      </c>
      <c r="BE12" s="19">
        <f t="shared" si="39"/>
        <v>0</v>
      </c>
      <c r="BF12" s="19">
        <f t="shared" si="40"/>
        <v>-4529410</v>
      </c>
      <c r="BG12" s="19">
        <f t="shared" si="41"/>
        <v>0</v>
      </c>
      <c r="BH12" s="19">
        <f t="shared" si="42"/>
        <v>0</v>
      </c>
      <c r="BI12" s="73"/>
      <c r="BJ12" s="20"/>
      <c r="BK12" s="13"/>
      <c r="BL12" s="19">
        <f t="shared" si="43"/>
        <v>0</v>
      </c>
      <c r="BM12" s="20"/>
      <c r="BN12" s="19">
        <f t="shared" si="44"/>
        <v>0</v>
      </c>
      <c r="BO12" s="12">
        <f t="shared" si="3"/>
        <v>0</v>
      </c>
      <c r="BP12" s="19">
        <f t="shared" si="4"/>
        <v>-4529410</v>
      </c>
      <c r="BQ12" s="19">
        <f t="shared" si="5"/>
        <v>0</v>
      </c>
      <c r="BR12" s="19">
        <f t="shared" si="6"/>
        <v>0</v>
      </c>
      <c r="BS12" s="19">
        <f t="shared" si="7"/>
        <v>0</v>
      </c>
      <c r="BT12" s="73"/>
      <c r="BU12" s="80"/>
      <c r="BV12" s="78">
        <f t="shared" si="45"/>
        <v>0</v>
      </c>
      <c r="BW12" s="78"/>
      <c r="BX12" s="78">
        <f t="shared" si="46"/>
        <v>0</v>
      </c>
      <c r="BY12" s="78"/>
      <c r="BZ12" s="93">
        <v>0</v>
      </c>
      <c r="CA12" s="93"/>
      <c r="CB12" s="88"/>
      <c r="CC12" s="80"/>
      <c r="CD12" s="65"/>
      <c r="CE12" s="93">
        <f t="shared" si="48"/>
        <v>0</v>
      </c>
      <c r="CF12" s="93">
        <f t="shared" si="49"/>
        <v>0</v>
      </c>
      <c r="CG12" s="80"/>
      <c r="CH12" s="65"/>
      <c r="CI12" s="93">
        <f t="shared" si="50"/>
        <v>0</v>
      </c>
      <c r="CJ12" s="93">
        <f t="shared" si="51"/>
        <v>0</v>
      </c>
      <c r="CK12" s="93">
        <f t="shared" si="52"/>
        <v>0</v>
      </c>
      <c r="CL12" s="80"/>
      <c r="CM12" s="65"/>
      <c r="CN12" s="93">
        <f t="shared" si="82"/>
        <v>0</v>
      </c>
      <c r="CO12" s="93">
        <f t="shared" si="53"/>
        <v>0</v>
      </c>
      <c r="CP12" s="93">
        <f t="shared" si="54"/>
        <v>0</v>
      </c>
      <c r="CQ12" s="80"/>
      <c r="CR12" s="65"/>
      <c r="CS12" s="93">
        <f t="shared" si="55"/>
        <v>0</v>
      </c>
      <c r="CT12" s="93">
        <f t="shared" si="56"/>
        <v>0</v>
      </c>
      <c r="CU12" s="93">
        <f t="shared" si="57"/>
        <v>0</v>
      </c>
      <c r="CV12" s="93">
        <f t="shared" si="58"/>
        <v>0</v>
      </c>
      <c r="CW12" s="80"/>
      <c r="CX12" s="65"/>
      <c r="CY12" s="93">
        <f t="shared" si="8"/>
        <v>0</v>
      </c>
      <c r="CZ12" s="93">
        <f t="shared" si="9"/>
        <v>0</v>
      </c>
      <c r="DA12" s="93">
        <f t="shared" si="10"/>
        <v>0</v>
      </c>
      <c r="DB12" s="93">
        <f t="shared" si="11"/>
        <v>0</v>
      </c>
      <c r="DC12" s="80"/>
      <c r="DD12" s="65"/>
      <c r="DE12" s="93">
        <f t="shared" si="12"/>
        <v>0</v>
      </c>
      <c r="DF12" s="93">
        <f t="shared" si="13"/>
        <v>0</v>
      </c>
      <c r="DG12" s="93">
        <f t="shared" si="59"/>
        <v>0</v>
      </c>
      <c r="DH12" s="80"/>
      <c r="DI12" s="65"/>
      <c r="DJ12" s="80"/>
      <c r="DK12" s="96"/>
      <c r="DL12" s="93">
        <f t="shared" si="14"/>
        <v>0</v>
      </c>
      <c r="DM12" s="127">
        <f t="shared" si="15"/>
        <v>0</v>
      </c>
      <c r="DN12" s="148"/>
      <c r="DO12" s="22">
        <f t="shared" si="60"/>
        <v>0</v>
      </c>
      <c r="DP12" s="80"/>
      <c r="DQ12" s="145"/>
      <c r="DR12" s="145"/>
      <c r="DS12" s="148">
        <f t="shared" si="16"/>
        <v>0</v>
      </c>
      <c r="DT12" s="24">
        <f t="shared" si="61"/>
        <v>0</v>
      </c>
      <c r="DU12" s="22">
        <f t="shared" si="62"/>
        <v>0</v>
      </c>
      <c r="DV12" s="22">
        <f t="shared" si="63"/>
        <v>0</v>
      </c>
      <c r="DW12" s="22">
        <f t="shared" si="64"/>
        <v>0</v>
      </c>
      <c r="DX12" s="80"/>
      <c r="DY12" s="157"/>
      <c r="DZ12" s="148"/>
      <c r="EA12" s="24">
        <f t="shared" si="65"/>
        <v>0</v>
      </c>
      <c r="EB12" s="22">
        <f t="shared" si="66"/>
        <v>0</v>
      </c>
      <c r="EC12" s="22">
        <f t="shared" si="67"/>
        <v>0</v>
      </c>
      <c r="ED12" s="22">
        <f t="shared" si="68"/>
        <v>0</v>
      </c>
      <c r="EE12" s="22">
        <f t="shared" si="69"/>
        <v>0</v>
      </c>
      <c r="EF12" s="164"/>
      <c r="EG12" s="172"/>
      <c r="EH12" s="148">
        <f t="shared" si="70"/>
        <v>0</v>
      </c>
      <c r="EI12" s="24">
        <f t="shared" si="71"/>
        <v>0</v>
      </c>
      <c r="EJ12" s="22">
        <f t="shared" si="72"/>
        <v>0</v>
      </c>
      <c r="EK12" s="22">
        <f t="shared" si="73"/>
        <v>0</v>
      </c>
      <c r="EL12" s="22">
        <f t="shared" si="74"/>
        <v>0</v>
      </c>
      <c r="EM12" s="22">
        <f t="shared" si="75"/>
        <v>0</v>
      </c>
      <c r="EN12" s="22">
        <f t="shared" si="76"/>
        <v>0</v>
      </c>
      <c r="EO12" s="164"/>
      <c r="EP12" s="145"/>
      <c r="EQ12" s="148"/>
      <c r="ER12" s="148"/>
      <c r="ES12" s="148">
        <f t="shared" si="77"/>
        <v>0</v>
      </c>
      <c r="ET12" s="22">
        <f t="shared" si="78"/>
        <v>0</v>
      </c>
      <c r="EU12" s="22">
        <f t="shared" si="79"/>
        <v>0</v>
      </c>
      <c r="EV12" s="159"/>
      <c r="EW12" s="201"/>
      <c r="EX12" s="148">
        <v>0</v>
      </c>
      <c r="EY12" s="5">
        <f t="shared" si="80"/>
        <v>0</v>
      </c>
      <c r="EZ12" s="80"/>
      <c r="FA12" s="145"/>
      <c r="FB12" s="5">
        <f t="shared" si="0"/>
        <v>0</v>
      </c>
      <c r="FC12" s="5">
        <f t="shared" si="1"/>
        <v>0</v>
      </c>
      <c r="FD12" s="80"/>
    </row>
    <row r="13" spans="1:162" ht="48" x14ac:dyDescent="0.2">
      <c r="A13" s="8" t="s">
        <v>44</v>
      </c>
      <c r="B13" s="9"/>
      <c r="C13" s="26" t="s">
        <v>748</v>
      </c>
      <c r="D13" s="20">
        <v>1895016</v>
      </c>
      <c r="E13" s="20">
        <v>0</v>
      </c>
      <c r="F13" s="5">
        <f t="shared" si="17"/>
        <v>-1895016</v>
      </c>
      <c r="G13" s="22">
        <v>1800000</v>
      </c>
      <c r="H13" s="5">
        <f t="shared" si="18"/>
        <v>-95016</v>
      </c>
      <c r="I13" s="5">
        <f t="shared" ref="I13:I44" si="83">G13-E13</f>
        <v>1800000</v>
      </c>
      <c r="J13" s="29" t="s">
        <v>116</v>
      </c>
      <c r="K13" s="19">
        <v>1900000</v>
      </c>
      <c r="L13" s="11">
        <f t="shared" si="19"/>
        <v>4984</v>
      </c>
      <c r="M13" s="11">
        <f t="shared" ref="M13:M44" si="84">K13-E13</f>
        <v>1900000</v>
      </c>
      <c r="N13" s="11">
        <f t="shared" si="20"/>
        <v>100000</v>
      </c>
      <c r="O13" s="19">
        <v>2800000</v>
      </c>
      <c r="P13" s="11">
        <f t="shared" si="21"/>
        <v>904984</v>
      </c>
      <c r="Q13" s="11">
        <f t="shared" ref="Q13:Q44" si="85">O13-E13</f>
        <v>2800000</v>
      </c>
      <c r="R13" s="11">
        <f t="shared" si="22"/>
        <v>900000</v>
      </c>
      <c r="S13" s="19">
        <v>2800000</v>
      </c>
      <c r="T13" s="11">
        <f t="shared" si="23"/>
        <v>904984</v>
      </c>
      <c r="U13" s="11">
        <f t="shared" ref="U13:U44" si="86">S13-E13</f>
        <v>2800000</v>
      </c>
      <c r="V13" s="11">
        <f t="shared" si="81"/>
        <v>900000</v>
      </c>
      <c r="W13" s="11">
        <f t="shared" si="24"/>
        <v>0</v>
      </c>
      <c r="X13" s="19">
        <v>2000000</v>
      </c>
      <c r="Y13" s="11">
        <f t="shared" ref="Y13:Y44" si="87">X13-D13</f>
        <v>104984</v>
      </c>
      <c r="Z13" s="11">
        <f t="shared" ref="Z13:Z44" si="88">X13-E13</f>
        <v>2000000</v>
      </c>
      <c r="AA13" s="11">
        <f t="shared" si="25"/>
        <v>100000</v>
      </c>
      <c r="AB13" s="11">
        <f t="shared" si="26"/>
        <v>-800000</v>
      </c>
      <c r="AC13" s="19">
        <v>2000000</v>
      </c>
      <c r="AD13" s="11">
        <f t="shared" ref="AD13:AD44" si="89">AC13-D13</f>
        <v>104984</v>
      </c>
      <c r="AE13" s="11">
        <f t="shared" si="27"/>
        <v>0</v>
      </c>
      <c r="AF13" s="11">
        <f t="shared" si="2"/>
        <v>0</v>
      </c>
      <c r="AG13" s="19">
        <v>2000000</v>
      </c>
      <c r="AH13" s="11">
        <f t="shared" ref="AH13:AH44" si="90">AG13-D13</f>
        <v>104984</v>
      </c>
      <c r="AI13" s="11"/>
      <c r="AJ13" s="11">
        <f t="shared" si="28"/>
        <v>2000000</v>
      </c>
      <c r="AK13" s="11"/>
      <c r="AL13" s="11"/>
      <c r="AM13" s="11">
        <f t="shared" si="29"/>
        <v>2000000</v>
      </c>
      <c r="AN13" s="19">
        <v>0</v>
      </c>
      <c r="AO13" s="11">
        <f t="shared" si="30"/>
        <v>-2000000</v>
      </c>
      <c r="AP13" s="11"/>
      <c r="AQ13" s="19">
        <v>1789671</v>
      </c>
      <c r="AR13" s="19">
        <f t="shared" si="31"/>
        <v>-210329</v>
      </c>
      <c r="AS13" s="19">
        <f t="shared" si="32"/>
        <v>1789671</v>
      </c>
      <c r="AT13" s="19">
        <v>1789671</v>
      </c>
      <c r="AU13" s="19">
        <f t="shared" si="33"/>
        <v>-210329</v>
      </c>
      <c r="AV13" s="19">
        <f t="shared" si="34"/>
        <v>1789671</v>
      </c>
      <c r="AW13" s="19">
        <f t="shared" si="35"/>
        <v>0</v>
      </c>
      <c r="AX13" s="19" t="s">
        <v>175</v>
      </c>
      <c r="AY13" s="19">
        <v>2400000</v>
      </c>
      <c r="AZ13" s="19">
        <f t="shared" si="36"/>
        <v>400000</v>
      </c>
      <c r="BA13" s="19">
        <f t="shared" si="37"/>
        <v>2400000</v>
      </c>
      <c r="BB13" s="19">
        <f t="shared" si="38"/>
        <v>610329</v>
      </c>
      <c r="BC13" s="67" t="s">
        <v>183</v>
      </c>
      <c r="BD13" s="19">
        <v>2600000</v>
      </c>
      <c r="BE13" s="19">
        <f t="shared" si="39"/>
        <v>600000</v>
      </c>
      <c r="BF13" s="19">
        <f t="shared" si="40"/>
        <v>2600000</v>
      </c>
      <c r="BG13" s="19">
        <f t="shared" si="41"/>
        <v>810329</v>
      </c>
      <c r="BH13" s="19">
        <f t="shared" si="42"/>
        <v>200000</v>
      </c>
      <c r="BI13" s="73" t="s">
        <v>203</v>
      </c>
      <c r="BJ13" s="19">
        <v>2200000</v>
      </c>
      <c r="BK13" s="12">
        <v>-600000</v>
      </c>
      <c r="BL13" s="19">
        <f t="shared" si="43"/>
        <v>1600000</v>
      </c>
      <c r="BM13" s="20">
        <v>600000</v>
      </c>
      <c r="BN13" s="19">
        <f t="shared" si="44"/>
        <v>2200000</v>
      </c>
      <c r="BO13" s="12">
        <f t="shared" si="3"/>
        <v>200000</v>
      </c>
      <c r="BP13" s="19">
        <f t="shared" si="4"/>
        <v>2200000</v>
      </c>
      <c r="BQ13" s="19">
        <f t="shared" si="5"/>
        <v>410329</v>
      </c>
      <c r="BR13" s="19">
        <f t="shared" si="6"/>
        <v>-400000</v>
      </c>
      <c r="BS13" s="19">
        <f t="shared" si="7"/>
        <v>0</v>
      </c>
      <c r="BT13" s="73" t="s">
        <v>211</v>
      </c>
      <c r="BU13" s="80"/>
      <c r="BV13" s="78">
        <f t="shared" si="45"/>
        <v>2200000</v>
      </c>
      <c r="BW13" s="78"/>
      <c r="BX13" s="78">
        <f t="shared" si="46"/>
        <v>2200000</v>
      </c>
      <c r="BY13" s="78">
        <v>-580000</v>
      </c>
      <c r="BZ13" s="93">
        <v>1620000</v>
      </c>
      <c r="CA13" s="93">
        <v>0</v>
      </c>
      <c r="CB13" s="88">
        <f t="shared" ref="CB13:CB21" si="91">CA13-BZ13</f>
        <v>-1620000</v>
      </c>
      <c r="CC13" s="80" t="s">
        <v>238</v>
      </c>
      <c r="CD13" s="65">
        <v>1549389</v>
      </c>
      <c r="CE13" s="93">
        <f t="shared" si="48"/>
        <v>-70611</v>
      </c>
      <c r="CF13" s="93">
        <f t="shared" si="49"/>
        <v>1549389</v>
      </c>
      <c r="CG13" s="80" t="s">
        <v>261</v>
      </c>
      <c r="CH13" s="65">
        <f>1549389+200000</f>
        <v>1749389</v>
      </c>
      <c r="CI13" s="93">
        <f t="shared" si="50"/>
        <v>129389</v>
      </c>
      <c r="CJ13" s="93">
        <f t="shared" si="51"/>
        <v>1749389</v>
      </c>
      <c r="CK13" s="93">
        <f t="shared" si="52"/>
        <v>200000</v>
      </c>
      <c r="CL13" s="80" t="s">
        <v>301</v>
      </c>
      <c r="CM13" s="65">
        <v>2100000</v>
      </c>
      <c r="CN13" s="93">
        <f t="shared" si="82"/>
        <v>480000</v>
      </c>
      <c r="CO13" s="93">
        <f t="shared" si="53"/>
        <v>2100000</v>
      </c>
      <c r="CP13" s="93">
        <f t="shared" si="54"/>
        <v>350611</v>
      </c>
      <c r="CQ13" s="80" t="s">
        <v>319</v>
      </c>
      <c r="CR13" s="65">
        <f>2100000+100000</f>
        <v>2200000</v>
      </c>
      <c r="CS13" s="93">
        <f t="shared" si="55"/>
        <v>580000</v>
      </c>
      <c r="CT13" s="93">
        <f t="shared" si="56"/>
        <v>2200000</v>
      </c>
      <c r="CU13" s="93">
        <f t="shared" si="57"/>
        <v>450611</v>
      </c>
      <c r="CV13" s="93">
        <f t="shared" si="58"/>
        <v>100000</v>
      </c>
      <c r="CW13" s="80" t="s">
        <v>327</v>
      </c>
      <c r="CX13" s="65">
        <v>1696907</v>
      </c>
      <c r="CY13" s="93">
        <f t="shared" si="8"/>
        <v>76907</v>
      </c>
      <c r="CZ13" s="93">
        <f t="shared" si="9"/>
        <v>1696907</v>
      </c>
      <c r="DA13" s="93">
        <f t="shared" si="10"/>
        <v>-52482</v>
      </c>
      <c r="DB13" s="93">
        <f t="shared" si="11"/>
        <v>-503093</v>
      </c>
      <c r="DC13" s="123" t="s">
        <v>360</v>
      </c>
      <c r="DD13" s="65">
        <v>1396907</v>
      </c>
      <c r="DE13" s="93">
        <f t="shared" si="12"/>
        <v>-223093</v>
      </c>
      <c r="DF13" s="93">
        <f t="shared" si="13"/>
        <v>1396907</v>
      </c>
      <c r="DG13" s="93">
        <f t="shared" si="59"/>
        <v>-300000</v>
      </c>
      <c r="DH13" s="123" t="s">
        <v>375</v>
      </c>
      <c r="DI13" s="65">
        <v>1696907</v>
      </c>
      <c r="DJ13" s="128" t="s">
        <v>360</v>
      </c>
      <c r="DK13" s="130"/>
      <c r="DL13" s="93">
        <f t="shared" si="14"/>
        <v>1696907</v>
      </c>
      <c r="DM13" s="127">
        <f t="shared" si="15"/>
        <v>76907</v>
      </c>
      <c r="DN13" s="148">
        <v>3276228</v>
      </c>
      <c r="DO13" s="22">
        <f t="shared" si="60"/>
        <v>1579321</v>
      </c>
      <c r="DP13" s="80" t="s">
        <v>408</v>
      </c>
      <c r="DQ13" s="145">
        <v>1496545</v>
      </c>
      <c r="DR13" s="145">
        <f>200000+60000</f>
        <v>260000</v>
      </c>
      <c r="DS13" s="148">
        <f>SUM(DQ13:DR13)</f>
        <v>1756545</v>
      </c>
      <c r="DT13" s="24">
        <f t="shared" si="61"/>
        <v>-200362</v>
      </c>
      <c r="DU13" s="22">
        <f t="shared" si="62"/>
        <v>-1779683</v>
      </c>
      <c r="DV13" s="22">
        <f t="shared" si="63"/>
        <v>59638</v>
      </c>
      <c r="DW13" s="22">
        <f t="shared" si="64"/>
        <v>-1519683</v>
      </c>
      <c r="DX13" s="80" t="s">
        <v>429</v>
      </c>
      <c r="DY13" s="80" t="s">
        <v>438</v>
      </c>
      <c r="DZ13" s="148">
        <v>2026226</v>
      </c>
      <c r="EA13" s="24" t="e">
        <f t="shared" si="65"/>
        <v>#VALUE!</v>
      </c>
      <c r="EB13" s="22" t="e">
        <f t="shared" si="66"/>
        <v>#VALUE!</v>
      </c>
      <c r="EC13" s="22">
        <f t="shared" si="67"/>
        <v>329319</v>
      </c>
      <c r="ED13" s="22">
        <f t="shared" si="68"/>
        <v>-1250002</v>
      </c>
      <c r="EE13" s="22">
        <f t="shared" si="69"/>
        <v>269681</v>
      </c>
      <c r="EF13" s="80" t="s">
        <v>516</v>
      </c>
      <c r="EG13" s="96"/>
      <c r="EH13" s="148">
        <f t="shared" si="70"/>
        <v>2026226</v>
      </c>
      <c r="EI13" s="24">
        <f t="shared" si="71"/>
        <v>-1756545</v>
      </c>
      <c r="EJ13" s="22" t="e">
        <f t="shared" si="72"/>
        <v>#VALUE!</v>
      </c>
      <c r="EK13" s="22">
        <f t="shared" si="73"/>
        <v>329319</v>
      </c>
      <c r="EL13" s="22">
        <f t="shared" si="74"/>
        <v>-1250002</v>
      </c>
      <c r="EM13" s="22">
        <f t="shared" si="75"/>
        <v>269681</v>
      </c>
      <c r="EN13" s="22">
        <f t="shared" si="76"/>
        <v>0</v>
      </c>
      <c r="EO13" s="80" t="s">
        <v>589</v>
      </c>
      <c r="EP13" s="145">
        <v>2076045</v>
      </c>
      <c r="EQ13" s="148">
        <v>2076045</v>
      </c>
      <c r="ER13" s="148"/>
      <c r="ES13" s="148">
        <f t="shared" si="77"/>
        <v>2076045</v>
      </c>
      <c r="ET13" s="22">
        <f t="shared" si="78"/>
        <v>-1200183</v>
      </c>
      <c r="EU13" s="22">
        <f t="shared" si="79"/>
        <v>379138</v>
      </c>
      <c r="EV13" s="29" t="s">
        <v>609</v>
      </c>
      <c r="EW13" s="80" t="s">
        <v>609</v>
      </c>
      <c r="EX13" s="148">
        <v>4336809</v>
      </c>
      <c r="EY13" s="5">
        <f t="shared" si="80"/>
        <v>2260764</v>
      </c>
      <c r="EZ13" s="80" t="s">
        <v>686</v>
      </c>
      <c r="FA13" s="145">
        <v>2595418</v>
      </c>
      <c r="FB13" s="5">
        <f>FA13-ES13</f>
        <v>519373</v>
      </c>
      <c r="FC13" s="5">
        <f t="shared" si="1"/>
        <v>-1741391</v>
      </c>
      <c r="FD13" s="80" t="s">
        <v>725</v>
      </c>
      <c r="FF13" s="3"/>
    </row>
    <row r="14" spans="1:162" ht="12.75" hidden="1" x14ac:dyDescent="0.2">
      <c r="A14" s="21" t="s">
        <v>91</v>
      </c>
      <c r="B14" s="9"/>
      <c r="C14" s="26" t="s">
        <v>92</v>
      </c>
      <c r="D14" s="20">
        <v>0</v>
      </c>
      <c r="E14" s="20">
        <v>0</v>
      </c>
      <c r="F14" s="5">
        <f t="shared" si="17"/>
        <v>0</v>
      </c>
      <c r="G14" s="22">
        <v>0</v>
      </c>
      <c r="H14" s="5">
        <f t="shared" si="18"/>
        <v>0</v>
      </c>
      <c r="I14" s="5">
        <f t="shared" si="83"/>
        <v>0</v>
      </c>
      <c r="J14" s="31"/>
      <c r="K14" s="19"/>
      <c r="L14" s="11">
        <f t="shared" si="19"/>
        <v>0</v>
      </c>
      <c r="M14" s="11">
        <f t="shared" si="84"/>
        <v>0</v>
      </c>
      <c r="N14" s="11">
        <f t="shared" si="20"/>
        <v>0</v>
      </c>
      <c r="O14" s="19">
        <v>300000</v>
      </c>
      <c r="P14" s="11">
        <f t="shared" si="21"/>
        <v>300000</v>
      </c>
      <c r="Q14" s="11">
        <f t="shared" si="85"/>
        <v>300000</v>
      </c>
      <c r="R14" s="11">
        <f t="shared" si="22"/>
        <v>300000</v>
      </c>
      <c r="S14" s="19">
        <v>300000</v>
      </c>
      <c r="T14" s="11">
        <f t="shared" si="23"/>
        <v>300000</v>
      </c>
      <c r="U14" s="11">
        <f t="shared" si="86"/>
        <v>300000</v>
      </c>
      <c r="V14" s="11">
        <f t="shared" si="81"/>
        <v>300000</v>
      </c>
      <c r="W14" s="11">
        <f t="shared" si="24"/>
        <v>0</v>
      </c>
      <c r="X14" s="19">
        <v>300000</v>
      </c>
      <c r="Y14" s="11">
        <f t="shared" si="87"/>
        <v>300000</v>
      </c>
      <c r="Z14" s="11">
        <f t="shared" si="88"/>
        <v>300000</v>
      </c>
      <c r="AA14" s="11">
        <f t="shared" si="25"/>
        <v>300000</v>
      </c>
      <c r="AB14" s="11">
        <f t="shared" si="26"/>
        <v>0</v>
      </c>
      <c r="AC14" s="19">
        <v>300000</v>
      </c>
      <c r="AD14" s="11">
        <f t="shared" si="89"/>
        <v>300000</v>
      </c>
      <c r="AE14" s="11">
        <f t="shared" si="27"/>
        <v>0</v>
      </c>
      <c r="AF14" s="11">
        <f t="shared" si="2"/>
        <v>0</v>
      </c>
      <c r="AG14" s="19">
        <v>300000</v>
      </c>
      <c r="AH14" s="11">
        <f t="shared" si="90"/>
        <v>300000</v>
      </c>
      <c r="AI14" s="11"/>
      <c r="AJ14" s="11">
        <f t="shared" si="28"/>
        <v>300000</v>
      </c>
      <c r="AK14" s="11"/>
      <c r="AL14" s="11"/>
      <c r="AM14" s="11">
        <f t="shared" si="29"/>
        <v>300000</v>
      </c>
      <c r="AN14" s="19">
        <v>0</v>
      </c>
      <c r="AO14" s="11">
        <f t="shared" si="30"/>
        <v>-300000</v>
      </c>
      <c r="AP14" s="11"/>
      <c r="AQ14" s="19">
        <v>0</v>
      </c>
      <c r="AR14" s="19">
        <f t="shared" si="31"/>
        <v>-300000</v>
      </c>
      <c r="AS14" s="19">
        <f t="shared" si="32"/>
        <v>0</v>
      </c>
      <c r="AT14" s="19">
        <v>0</v>
      </c>
      <c r="AU14" s="19">
        <f t="shared" si="33"/>
        <v>-300000</v>
      </c>
      <c r="AV14" s="19">
        <f t="shared" si="34"/>
        <v>0</v>
      </c>
      <c r="AW14" s="19">
        <f t="shared" si="35"/>
        <v>0</v>
      </c>
      <c r="AX14" s="19"/>
      <c r="AY14" s="19">
        <v>0</v>
      </c>
      <c r="AZ14" s="19">
        <f t="shared" si="36"/>
        <v>-300000</v>
      </c>
      <c r="BA14" s="19">
        <f t="shared" si="37"/>
        <v>0</v>
      </c>
      <c r="BB14" s="19">
        <f t="shared" si="38"/>
        <v>0</v>
      </c>
      <c r="BC14" s="66"/>
      <c r="BD14" s="19">
        <v>0</v>
      </c>
      <c r="BE14" s="19">
        <f t="shared" si="39"/>
        <v>-300000</v>
      </c>
      <c r="BF14" s="19">
        <f t="shared" si="40"/>
        <v>0</v>
      </c>
      <c r="BG14" s="19">
        <f t="shared" si="41"/>
        <v>0</v>
      </c>
      <c r="BH14" s="19">
        <f t="shared" si="42"/>
        <v>0</v>
      </c>
      <c r="BI14" s="31"/>
      <c r="BJ14" s="19">
        <v>0</v>
      </c>
      <c r="BK14" s="12"/>
      <c r="BL14" s="19">
        <f t="shared" si="43"/>
        <v>0</v>
      </c>
      <c r="BM14" s="20"/>
      <c r="BN14" s="19">
        <f t="shared" si="44"/>
        <v>0</v>
      </c>
      <c r="BO14" s="12">
        <f t="shared" si="3"/>
        <v>-300000</v>
      </c>
      <c r="BP14" s="19">
        <f t="shared" si="4"/>
        <v>0</v>
      </c>
      <c r="BQ14" s="19">
        <f t="shared" si="5"/>
        <v>0</v>
      </c>
      <c r="BR14" s="19">
        <f t="shared" si="6"/>
        <v>0</v>
      </c>
      <c r="BS14" s="19">
        <f t="shared" si="7"/>
        <v>0</v>
      </c>
      <c r="BT14" s="31"/>
      <c r="BU14" s="31"/>
      <c r="BV14" s="78">
        <f t="shared" si="45"/>
        <v>0</v>
      </c>
      <c r="BW14" s="78"/>
      <c r="BX14" s="78">
        <f t="shared" si="46"/>
        <v>0</v>
      </c>
      <c r="BY14" s="78"/>
      <c r="BZ14" s="93">
        <v>0</v>
      </c>
      <c r="CA14" s="93">
        <v>0</v>
      </c>
      <c r="CB14" s="88">
        <f t="shared" si="91"/>
        <v>0</v>
      </c>
      <c r="CC14" s="31"/>
      <c r="CD14" s="65">
        <v>0</v>
      </c>
      <c r="CE14" s="93">
        <f t="shared" si="48"/>
        <v>0</v>
      </c>
      <c r="CF14" s="93">
        <f t="shared" si="49"/>
        <v>0</v>
      </c>
      <c r="CG14" s="31"/>
      <c r="CH14" s="65">
        <v>0</v>
      </c>
      <c r="CI14" s="93">
        <f t="shared" si="50"/>
        <v>0</v>
      </c>
      <c r="CJ14" s="93">
        <f t="shared" si="51"/>
        <v>0</v>
      </c>
      <c r="CK14" s="93">
        <f t="shared" si="52"/>
        <v>0</v>
      </c>
      <c r="CL14" s="31"/>
      <c r="CM14" s="65"/>
      <c r="CN14" s="93">
        <f t="shared" si="82"/>
        <v>0</v>
      </c>
      <c r="CO14" s="93">
        <f t="shared" si="53"/>
        <v>0</v>
      </c>
      <c r="CP14" s="93">
        <f t="shared" si="54"/>
        <v>0</v>
      </c>
      <c r="CQ14" s="31"/>
      <c r="CR14" s="65"/>
      <c r="CS14" s="93">
        <f t="shared" si="55"/>
        <v>0</v>
      </c>
      <c r="CT14" s="93">
        <f t="shared" si="56"/>
        <v>0</v>
      </c>
      <c r="CU14" s="93">
        <f t="shared" si="57"/>
        <v>0</v>
      </c>
      <c r="CV14" s="93">
        <f t="shared" si="58"/>
        <v>0</v>
      </c>
      <c r="CW14" s="31"/>
      <c r="CX14" s="65"/>
      <c r="CY14" s="93">
        <f t="shared" si="8"/>
        <v>0</v>
      </c>
      <c r="CZ14" s="93">
        <f t="shared" si="9"/>
        <v>0</v>
      </c>
      <c r="DA14" s="93">
        <f t="shared" si="10"/>
        <v>0</v>
      </c>
      <c r="DB14" s="93">
        <f t="shared" si="11"/>
        <v>0</v>
      </c>
      <c r="DC14" s="31"/>
      <c r="DD14" s="65"/>
      <c r="DE14" s="93">
        <f t="shared" si="12"/>
        <v>0</v>
      </c>
      <c r="DF14" s="93">
        <f t="shared" si="13"/>
        <v>0</v>
      </c>
      <c r="DG14" s="93">
        <f t="shared" si="59"/>
        <v>0</v>
      </c>
      <c r="DH14" s="31"/>
      <c r="DI14" s="65"/>
      <c r="DJ14" s="29"/>
      <c r="DK14" s="65"/>
      <c r="DL14" s="93">
        <f t="shared" si="14"/>
        <v>0</v>
      </c>
      <c r="DM14" s="127">
        <f t="shared" si="15"/>
        <v>0</v>
      </c>
      <c r="DN14" s="148">
        <v>0</v>
      </c>
      <c r="DO14" s="22">
        <f t="shared" si="60"/>
        <v>0</v>
      </c>
      <c r="DP14" s="29"/>
      <c r="DQ14" s="145"/>
      <c r="DR14" s="145"/>
      <c r="DS14" s="148"/>
      <c r="DT14" s="24">
        <f t="shared" si="61"/>
        <v>0</v>
      </c>
      <c r="DU14" s="22">
        <f t="shared" si="62"/>
        <v>0</v>
      </c>
      <c r="DV14" s="22">
        <f t="shared" si="63"/>
        <v>0</v>
      </c>
      <c r="DW14" s="22">
        <f t="shared" si="64"/>
        <v>0</v>
      </c>
      <c r="DX14" s="29"/>
      <c r="DY14" s="144"/>
      <c r="DZ14" s="148"/>
      <c r="EA14" s="24">
        <f t="shared" si="65"/>
        <v>0</v>
      </c>
      <c r="EB14" s="22">
        <f t="shared" si="66"/>
        <v>0</v>
      </c>
      <c r="EC14" s="22">
        <f t="shared" si="67"/>
        <v>0</v>
      </c>
      <c r="ED14" s="22">
        <f t="shared" si="68"/>
        <v>0</v>
      </c>
      <c r="EE14" s="22">
        <f t="shared" si="69"/>
        <v>0</v>
      </c>
      <c r="EF14" s="31"/>
      <c r="EG14" s="172"/>
      <c r="EH14" s="148">
        <f t="shared" si="70"/>
        <v>0</v>
      </c>
      <c r="EI14" s="24">
        <f t="shared" si="71"/>
        <v>0</v>
      </c>
      <c r="EJ14" s="22">
        <f t="shared" si="72"/>
        <v>0</v>
      </c>
      <c r="EK14" s="22">
        <f t="shared" si="73"/>
        <v>0</v>
      </c>
      <c r="EL14" s="22">
        <f t="shared" si="74"/>
        <v>0</v>
      </c>
      <c r="EM14" s="22">
        <f t="shared" si="75"/>
        <v>0</v>
      </c>
      <c r="EN14" s="22">
        <f t="shared" si="76"/>
        <v>0</v>
      </c>
      <c r="EO14" s="31"/>
      <c r="EP14" s="145"/>
      <c r="EQ14" s="148"/>
      <c r="ER14" s="148"/>
      <c r="ES14" s="148">
        <f t="shared" si="77"/>
        <v>0</v>
      </c>
      <c r="ET14" s="22">
        <f t="shared" si="78"/>
        <v>0</v>
      </c>
      <c r="EU14" s="22">
        <f t="shared" si="79"/>
        <v>0</v>
      </c>
      <c r="EV14" s="29"/>
      <c r="EW14" s="80"/>
      <c r="EX14" s="148">
        <v>0</v>
      </c>
      <c r="EY14" s="5">
        <f t="shared" si="80"/>
        <v>0</v>
      </c>
      <c r="EZ14" s="80"/>
      <c r="FA14" s="145"/>
      <c r="FB14" s="5">
        <f t="shared" si="0"/>
        <v>0</v>
      </c>
      <c r="FC14" s="5">
        <f t="shared" si="1"/>
        <v>0</v>
      </c>
      <c r="FD14" s="80"/>
    </row>
    <row r="15" spans="1:162" ht="25.5" hidden="1" x14ac:dyDescent="0.2">
      <c r="A15" s="21" t="s">
        <v>93</v>
      </c>
      <c r="B15" s="9"/>
      <c r="C15" s="27" t="s">
        <v>94</v>
      </c>
      <c r="D15" s="20">
        <v>0</v>
      </c>
      <c r="E15" s="20">
        <v>0</v>
      </c>
      <c r="F15" s="5">
        <f t="shared" si="17"/>
        <v>0</v>
      </c>
      <c r="G15" s="22">
        <v>0</v>
      </c>
      <c r="H15" s="5">
        <f t="shared" si="18"/>
        <v>0</v>
      </c>
      <c r="I15" s="5">
        <f t="shared" si="83"/>
        <v>0</v>
      </c>
      <c r="J15" s="31"/>
      <c r="K15" s="19"/>
      <c r="L15" s="11">
        <f t="shared" si="19"/>
        <v>0</v>
      </c>
      <c r="M15" s="11">
        <f t="shared" si="84"/>
        <v>0</v>
      </c>
      <c r="N15" s="11">
        <f t="shared" si="20"/>
        <v>0</v>
      </c>
      <c r="O15" s="19">
        <v>1500000</v>
      </c>
      <c r="P15" s="11">
        <f t="shared" si="21"/>
        <v>1500000</v>
      </c>
      <c r="Q15" s="11">
        <f t="shared" si="85"/>
        <v>1500000</v>
      </c>
      <c r="R15" s="11">
        <f t="shared" si="22"/>
        <v>1500000</v>
      </c>
      <c r="S15" s="19">
        <v>1500000</v>
      </c>
      <c r="T15" s="11">
        <f t="shared" si="23"/>
        <v>1500000</v>
      </c>
      <c r="U15" s="11">
        <f t="shared" si="86"/>
        <v>1500000</v>
      </c>
      <c r="V15" s="11">
        <f t="shared" si="81"/>
        <v>1500000</v>
      </c>
      <c r="W15" s="11">
        <f t="shared" si="24"/>
        <v>0</v>
      </c>
      <c r="X15" s="19">
        <v>500000</v>
      </c>
      <c r="Y15" s="11">
        <f t="shared" si="87"/>
        <v>500000</v>
      </c>
      <c r="Z15" s="11">
        <f t="shared" si="88"/>
        <v>500000</v>
      </c>
      <c r="AA15" s="11">
        <f t="shared" si="25"/>
        <v>500000</v>
      </c>
      <c r="AB15" s="11">
        <f t="shared" si="26"/>
        <v>-1000000</v>
      </c>
      <c r="AC15" s="19">
        <v>500000</v>
      </c>
      <c r="AD15" s="11">
        <f t="shared" si="89"/>
        <v>500000</v>
      </c>
      <c r="AE15" s="11">
        <f t="shared" si="27"/>
        <v>0</v>
      </c>
      <c r="AF15" s="11">
        <f t="shared" si="2"/>
        <v>0</v>
      </c>
      <c r="AG15" s="19">
        <v>500000</v>
      </c>
      <c r="AH15" s="11">
        <f t="shared" si="90"/>
        <v>500000</v>
      </c>
      <c r="AI15" s="11">
        <v>3800000</v>
      </c>
      <c r="AJ15" s="11">
        <f t="shared" si="28"/>
        <v>4300000</v>
      </c>
      <c r="AK15" s="11"/>
      <c r="AL15" s="11"/>
      <c r="AM15" s="11">
        <f t="shared" si="29"/>
        <v>4300000</v>
      </c>
      <c r="AN15" s="19">
        <v>0</v>
      </c>
      <c r="AO15" s="11">
        <f t="shared" si="30"/>
        <v>-4300000</v>
      </c>
      <c r="AP15" s="11"/>
      <c r="AQ15" s="19">
        <v>0</v>
      </c>
      <c r="AR15" s="19">
        <f t="shared" si="31"/>
        <v>-4300000</v>
      </c>
      <c r="AS15" s="19">
        <f t="shared" si="32"/>
        <v>0</v>
      </c>
      <c r="AT15" s="19">
        <v>0</v>
      </c>
      <c r="AU15" s="19">
        <f t="shared" si="33"/>
        <v>-4300000</v>
      </c>
      <c r="AV15" s="19">
        <f t="shared" si="34"/>
        <v>0</v>
      </c>
      <c r="AW15" s="19">
        <f t="shared" si="35"/>
        <v>0</v>
      </c>
      <c r="AX15" s="19"/>
      <c r="AY15" s="19">
        <v>0</v>
      </c>
      <c r="AZ15" s="19">
        <f t="shared" si="36"/>
        <v>-4300000</v>
      </c>
      <c r="BA15" s="19">
        <f t="shared" si="37"/>
        <v>0</v>
      </c>
      <c r="BB15" s="19">
        <f t="shared" si="38"/>
        <v>0</v>
      </c>
      <c r="BC15" s="66"/>
      <c r="BD15" s="19">
        <v>0</v>
      </c>
      <c r="BE15" s="19">
        <f t="shared" si="39"/>
        <v>-4300000</v>
      </c>
      <c r="BF15" s="19">
        <f t="shared" si="40"/>
        <v>0</v>
      </c>
      <c r="BG15" s="19">
        <f t="shared" si="41"/>
        <v>0</v>
      </c>
      <c r="BH15" s="19">
        <f t="shared" si="42"/>
        <v>0</v>
      </c>
      <c r="BI15" s="31"/>
      <c r="BJ15" s="19">
        <v>0</v>
      </c>
      <c r="BK15" s="12"/>
      <c r="BL15" s="19">
        <f t="shared" si="43"/>
        <v>0</v>
      </c>
      <c r="BM15" s="20"/>
      <c r="BN15" s="19">
        <f t="shared" si="44"/>
        <v>0</v>
      </c>
      <c r="BO15" s="12">
        <f t="shared" si="3"/>
        <v>-4300000</v>
      </c>
      <c r="BP15" s="19">
        <f t="shared" si="4"/>
        <v>0</v>
      </c>
      <c r="BQ15" s="19">
        <f t="shared" si="5"/>
        <v>0</v>
      </c>
      <c r="BR15" s="19">
        <f t="shared" si="6"/>
        <v>0</v>
      </c>
      <c r="BS15" s="19">
        <f t="shared" si="7"/>
        <v>0</v>
      </c>
      <c r="BT15" s="31"/>
      <c r="BU15" s="31"/>
      <c r="BV15" s="78">
        <f t="shared" si="45"/>
        <v>0</v>
      </c>
      <c r="BW15" s="78"/>
      <c r="BX15" s="78">
        <f t="shared" si="46"/>
        <v>0</v>
      </c>
      <c r="BY15" s="78"/>
      <c r="BZ15" s="93">
        <v>0</v>
      </c>
      <c r="CA15" s="93">
        <v>0</v>
      </c>
      <c r="CB15" s="88">
        <f t="shared" si="91"/>
        <v>0</v>
      </c>
      <c r="CC15" s="31"/>
      <c r="CD15" s="65">
        <v>0</v>
      </c>
      <c r="CE15" s="93">
        <f t="shared" si="48"/>
        <v>0</v>
      </c>
      <c r="CF15" s="93">
        <f t="shared" si="49"/>
        <v>0</v>
      </c>
      <c r="CG15" s="31"/>
      <c r="CH15" s="65">
        <v>0</v>
      </c>
      <c r="CI15" s="93">
        <f t="shared" si="50"/>
        <v>0</v>
      </c>
      <c r="CJ15" s="93">
        <f t="shared" si="51"/>
        <v>0</v>
      </c>
      <c r="CK15" s="93">
        <f t="shared" si="52"/>
        <v>0</v>
      </c>
      <c r="CL15" s="31"/>
      <c r="CM15" s="65"/>
      <c r="CN15" s="93">
        <f t="shared" si="82"/>
        <v>0</v>
      </c>
      <c r="CO15" s="93">
        <f t="shared" si="53"/>
        <v>0</v>
      </c>
      <c r="CP15" s="93">
        <f t="shared" si="54"/>
        <v>0</v>
      </c>
      <c r="CQ15" s="31"/>
      <c r="CR15" s="65"/>
      <c r="CS15" s="93">
        <f t="shared" si="55"/>
        <v>0</v>
      </c>
      <c r="CT15" s="93">
        <f t="shared" si="56"/>
        <v>0</v>
      </c>
      <c r="CU15" s="93">
        <f t="shared" si="57"/>
        <v>0</v>
      </c>
      <c r="CV15" s="93">
        <f t="shared" si="58"/>
        <v>0</v>
      </c>
      <c r="CW15" s="31"/>
      <c r="CX15" s="65"/>
      <c r="CY15" s="93">
        <f t="shared" si="8"/>
        <v>0</v>
      </c>
      <c r="CZ15" s="93">
        <f t="shared" si="9"/>
        <v>0</v>
      </c>
      <c r="DA15" s="93">
        <f t="shared" si="10"/>
        <v>0</v>
      </c>
      <c r="DB15" s="93">
        <f t="shared" si="11"/>
        <v>0</v>
      </c>
      <c r="DC15" s="31"/>
      <c r="DD15" s="65"/>
      <c r="DE15" s="93">
        <f t="shared" si="12"/>
        <v>0</v>
      </c>
      <c r="DF15" s="93">
        <f t="shared" si="13"/>
        <v>0</v>
      </c>
      <c r="DG15" s="93">
        <f t="shared" si="59"/>
        <v>0</v>
      </c>
      <c r="DH15" s="31"/>
      <c r="DI15" s="65"/>
      <c r="DJ15" s="29"/>
      <c r="DK15" s="65"/>
      <c r="DL15" s="93">
        <f t="shared" si="14"/>
        <v>0</v>
      </c>
      <c r="DM15" s="127">
        <f t="shared" si="15"/>
        <v>0</v>
      </c>
      <c r="DN15" s="148">
        <v>0</v>
      </c>
      <c r="DO15" s="22">
        <f t="shared" si="60"/>
        <v>0</v>
      </c>
      <c r="DP15" s="29"/>
      <c r="DQ15" s="145"/>
      <c r="DR15" s="145"/>
      <c r="DS15" s="148"/>
      <c r="DT15" s="24">
        <f t="shared" si="61"/>
        <v>0</v>
      </c>
      <c r="DU15" s="22">
        <f t="shared" si="62"/>
        <v>0</v>
      </c>
      <c r="DV15" s="22">
        <f t="shared" si="63"/>
        <v>0</v>
      </c>
      <c r="DW15" s="22">
        <f t="shared" si="64"/>
        <v>0</v>
      </c>
      <c r="DX15" s="29"/>
      <c r="DY15" s="144"/>
      <c r="DZ15" s="148"/>
      <c r="EA15" s="24">
        <f t="shared" si="65"/>
        <v>0</v>
      </c>
      <c r="EB15" s="22">
        <f t="shared" si="66"/>
        <v>0</v>
      </c>
      <c r="EC15" s="22">
        <f t="shared" si="67"/>
        <v>0</v>
      </c>
      <c r="ED15" s="22">
        <f t="shared" si="68"/>
        <v>0</v>
      </c>
      <c r="EE15" s="22">
        <f t="shared" si="69"/>
        <v>0</v>
      </c>
      <c r="EF15" s="31"/>
      <c r="EG15" s="172"/>
      <c r="EH15" s="148">
        <f t="shared" si="70"/>
        <v>0</v>
      </c>
      <c r="EI15" s="24">
        <f t="shared" si="71"/>
        <v>0</v>
      </c>
      <c r="EJ15" s="22">
        <f t="shared" si="72"/>
        <v>0</v>
      </c>
      <c r="EK15" s="22">
        <f t="shared" si="73"/>
        <v>0</v>
      </c>
      <c r="EL15" s="22">
        <f t="shared" si="74"/>
        <v>0</v>
      </c>
      <c r="EM15" s="22">
        <f t="shared" si="75"/>
        <v>0</v>
      </c>
      <c r="EN15" s="22">
        <f t="shared" si="76"/>
        <v>0</v>
      </c>
      <c r="EO15" s="31"/>
      <c r="EP15" s="145"/>
      <c r="EQ15" s="148"/>
      <c r="ER15" s="148"/>
      <c r="ES15" s="148">
        <f t="shared" si="77"/>
        <v>0</v>
      </c>
      <c r="ET15" s="22">
        <f t="shared" si="78"/>
        <v>0</v>
      </c>
      <c r="EU15" s="22">
        <f t="shared" si="79"/>
        <v>0</v>
      </c>
      <c r="EV15" s="29"/>
      <c r="EW15" s="80"/>
      <c r="EX15" s="148">
        <v>0</v>
      </c>
      <c r="EY15" s="5">
        <f t="shared" si="80"/>
        <v>0</v>
      </c>
      <c r="EZ15" s="80"/>
      <c r="FA15" s="145"/>
      <c r="FB15" s="5">
        <f t="shared" si="0"/>
        <v>0</v>
      </c>
      <c r="FC15" s="5">
        <f t="shared" si="1"/>
        <v>0</v>
      </c>
      <c r="FD15" s="80"/>
    </row>
    <row r="16" spans="1:162" ht="24" x14ac:dyDescent="0.2">
      <c r="A16" s="21" t="s">
        <v>439</v>
      </c>
      <c r="B16" s="9"/>
      <c r="C16" s="26" t="s">
        <v>440</v>
      </c>
      <c r="D16" s="104"/>
      <c r="E16" s="104"/>
      <c r="F16" s="5"/>
      <c r="G16" s="24"/>
      <c r="H16" s="5"/>
      <c r="I16" s="23"/>
      <c r="J16" s="62"/>
      <c r="K16" s="104"/>
      <c r="L16" s="11"/>
      <c r="M16" s="14"/>
      <c r="N16" s="14"/>
      <c r="O16" s="104"/>
      <c r="P16" s="11"/>
      <c r="Q16" s="14"/>
      <c r="R16" s="14"/>
      <c r="S16" s="104"/>
      <c r="T16" s="11"/>
      <c r="U16" s="14"/>
      <c r="V16" s="14"/>
      <c r="W16" s="14"/>
      <c r="X16" s="104"/>
      <c r="Y16" s="14"/>
      <c r="Z16" s="14"/>
      <c r="AA16" s="14"/>
      <c r="AB16" s="14"/>
      <c r="AC16" s="104"/>
      <c r="AD16" s="14"/>
      <c r="AE16" s="14"/>
      <c r="AF16" s="14"/>
      <c r="AG16" s="104"/>
      <c r="AH16" s="14"/>
      <c r="AI16" s="14"/>
      <c r="AJ16" s="14"/>
      <c r="AK16" s="14"/>
      <c r="AL16" s="14"/>
      <c r="AM16" s="14"/>
      <c r="AN16" s="104"/>
      <c r="AO16" s="14"/>
      <c r="AP16" s="14"/>
      <c r="AQ16" s="104"/>
      <c r="AR16" s="102"/>
      <c r="AS16" s="102"/>
      <c r="AT16" s="104"/>
      <c r="AU16" s="102"/>
      <c r="AV16" s="102"/>
      <c r="AW16" s="102"/>
      <c r="AX16" s="102"/>
      <c r="AY16" s="104"/>
      <c r="AZ16" s="102"/>
      <c r="BA16" s="102"/>
      <c r="BB16" s="102"/>
      <c r="BC16" s="66"/>
      <c r="BD16" s="104"/>
      <c r="BE16" s="102"/>
      <c r="BF16" s="102"/>
      <c r="BG16" s="102"/>
      <c r="BH16" s="102"/>
      <c r="BI16" s="80"/>
      <c r="BJ16" s="104"/>
      <c r="BK16" s="13"/>
      <c r="BL16" s="102"/>
      <c r="BM16" s="104"/>
      <c r="BN16" s="102"/>
      <c r="BO16" s="103"/>
      <c r="BP16" s="102"/>
      <c r="BQ16" s="102"/>
      <c r="BR16" s="102"/>
      <c r="BS16" s="102"/>
      <c r="BT16" s="80"/>
      <c r="BU16" s="80"/>
      <c r="BV16" s="78"/>
      <c r="BW16" s="78"/>
      <c r="BX16" s="78"/>
      <c r="BY16" s="78"/>
      <c r="BZ16" s="93"/>
      <c r="CA16" s="93"/>
      <c r="CB16" s="88"/>
      <c r="CC16" s="80"/>
      <c r="CD16" s="65"/>
      <c r="CE16" s="93"/>
      <c r="CF16" s="93"/>
      <c r="CG16" s="80"/>
      <c r="CH16" s="65"/>
      <c r="CI16" s="93"/>
      <c r="CJ16" s="93"/>
      <c r="CK16" s="93"/>
      <c r="CL16" s="80"/>
      <c r="CM16" s="65"/>
      <c r="CN16" s="93"/>
      <c r="CO16" s="93"/>
      <c r="CP16" s="93"/>
      <c r="CQ16" s="80"/>
      <c r="CR16" s="65"/>
      <c r="CS16" s="93"/>
      <c r="CT16" s="93"/>
      <c r="CU16" s="93"/>
      <c r="CV16" s="93"/>
      <c r="CW16" s="80"/>
      <c r="CX16" s="65"/>
      <c r="CY16" s="93"/>
      <c r="CZ16" s="93"/>
      <c r="DA16" s="93"/>
      <c r="DB16" s="93"/>
      <c r="DC16" s="80"/>
      <c r="DD16" s="65"/>
      <c r="DE16" s="93"/>
      <c r="DF16" s="93"/>
      <c r="DG16" s="93"/>
      <c r="DH16" s="80"/>
      <c r="DI16" s="65"/>
      <c r="DJ16" s="128"/>
      <c r="DK16" s="130"/>
      <c r="DL16" s="93"/>
      <c r="DM16" s="127"/>
      <c r="DN16" s="148"/>
      <c r="DO16" s="22"/>
      <c r="DP16" s="80"/>
      <c r="DQ16" s="145"/>
      <c r="DR16" s="145">
        <v>1210000</v>
      </c>
      <c r="DS16" s="148">
        <f>SUM(DQ16:DR16)</f>
        <v>1210000</v>
      </c>
      <c r="DT16" s="24"/>
      <c r="DU16" s="22"/>
      <c r="DV16" s="22">
        <f>+DS16-DL16</f>
        <v>1210000</v>
      </c>
      <c r="DW16" s="22">
        <f>+DS16-DN16</f>
        <v>1210000</v>
      </c>
      <c r="DX16" s="80"/>
      <c r="DY16" s="140" t="s">
        <v>441</v>
      </c>
      <c r="DZ16" s="148">
        <v>0</v>
      </c>
      <c r="EA16" s="24"/>
      <c r="EB16" s="22"/>
      <c r="EC16" s="22">
        <f t="shared" si="67"/>
        <v>0</v>
      </c>
      <c r="ED16" s="22">
        <f t="shared" si="68"/>
        <v>0</v>
      </c>
      <c r="EE16" s="22">
        <f t="shared" si="69"/>
        <v>-1210000</v>
      </c>
      <c r="EF16" s="29"/>
      <c r="EG16" s="65"/>
      <c r="EH16" s="148">
        <f t="shared" si="70"/>
        <v>0</v>
      </c>
      <c r="EI16" s="24"/>
      <c r="EJ16" s="22"/>
      <c r="EK16" s="22">
        <f t="shared" si="73"/>
        <v>0</v>
      </c>
      <c r="EL16" s="22">
        <f t="shared" si="74"/>
        <v>0</v>
      </c>
      <c r="EM16" s="22">
        <f t="shared" si="75"/>
        <v>-1210000</v>
      </c>
      <c r="EN16" s="22">
        <f t="shared" si="76"/>
        <v>0</v>
      </c>
      <c r="EO16" s="29"/>
      <c r="EP16" s="145">
        <v>1625000</v>
      </c>
      <c r="EQ16" s="148">
        <v>1625000</v>
      </c>
      <c r="ER16" s="148"/>
      <c r="ES16" s="148">
        <f t="shared" si="77"/>
        <v>1625000</v>
      </c>
      <c r="ET16" s="22">
        <f t="shared" si="78"/>
        <v>1625000</v>
      </c>
      <c r="EU16" s="22">
        <f t="shared" si="79"/>
        <v>1625000</v>
      </c>
      <c r="EV16" s="29" t="s">
        <v>612</v>
      </c>
      <c r="EW16" s="80" t="s">
        <v>612</v>
      </c>
      <c r="EX16" s="148">
        <v>0</v>
      </c>
      <c r="EY16" s="5">
        <f t="shared" si="80"/>
        <v>-1625000</v>
      </c>
      <c r="EZ16" s="80" t="s">
        <v>694</v>
      </c>
      <c r="FA16" s="145">
        <v>500000</v>
      </c>
      <c r="FB16" s="5">
        <f t="shared" si="0"/>
        <v>-1125000</v>
      </c>
      <c r="FC16" s="5">
        <f t="shared" si="1"/>
        <v>500000</v>
      </c>
      <c r="FD16" s="80" t="s">
        <v>720</v>
      </c>
    </row>
    <row r="17" spans="1:160" ht="12.75" x14ac:dyDescent="0.2">
      <c r="A17" s="21" t="s">
        <v>712</v>
      </c>
      <c r="B17" s="9"/>
      <c r="C17" s="26" t="s">
        <v>713</v>
      </c>
      <c r="D17" s="104"/>
      <c r="E17" s="104"/>
      <c r="F17" s="5"/>
      <c r="G17" s="24"/>
      <c r="H17" s="5"/>
      <c r="I17" s="23"/>
      <c r="J17" s="62"/>
      <c r="K17" s="104"/>
      <c r="L17" s="11"/>
      <c r="M17" s="14"/>
      <c r="N17" s="14"/>
      <c r="O17" s="104"/>
      <c r="P17" s="11"/>
      <c r="Q17" s="14"/>
      <c r="R17" s="14"/>
      <c r="S17" s="104"/>
      <c r="T17" s="11"/>
      <c r="U17" s="14"/>
      <c r="V17" s="14"/>
      <c r="W17" s="14"/>
      <c r="X17" s="104"/>
      <c r="Y17" s="14"/>
      <c r="Z17" s="14"/>
      <c r="AA17" s="14"/>
      <c r="AB17" s="14"/>
      <c r="AC17" s="104"/>
      <c r="AD17" s="14"/>
      <c r="AE17" s="14"/>
      <c r="AF17" s="14"/>
      <c r="AG17" s="104"/>
      <c r="AH17" s="14"/>
      <c r="AI17" s="14"/>
      <c r="AJ17" s="14"/>
      <c r="AK17" s="14"/>
      <c r="AL17" s="14"/>
      <c r="AM17" s="14"/>
      <c r="AN17" s="104"/>
      <c r="AO17" s="14"/>
      <c r="AP17" s="14"/>
      <c r="AQ17" s="104"/>
      <c r="AR17" s="102"/>
      <c r="AS17" s="102"/>
      <c r="AT17" s="104"/>
      <c r="AU17" s="102"/>
      <c r="AV17" s="102"/>
      <c r="AW17" s="102"/>
      <c r="AX17" s="102"/>
      <c r="AY17" s="104"/>
      <c r="AZ17" s="102"/>
      <c r="BA17" s="102"/>
      <c r="BB17" s="102"/>
      <c r="BC17" s="66"/>
      <c r="BD17" s="104"/>
      <c r="BE17" s="102"/>
      <c r="BF17" s="102"/>
      <c r="BG17" s="102"/>
      <c r="BH17" s="102"/>
      <c r="BI17" s="80"/>
      <c r="BJ17" s="104"/>
      <c r="BK17" s="13"/>
      <c r="BL17" s="102"/>
      <c r="BM17" s="104"/>
      <c r="BN17" s="102"/>
      <c r="BO17" s="103"/>
      <c r="BP17" s="102"/>
      <c r="BQ17" s="102"/>
      <c r="BR17" s="102"/>
      <c r="BS17" s="102"/>
      <c r="BT17" s="80"/>
      <c r="BU17" s="80"/>
      <c r="BV17" s="78"/>
      <c r="BW17" s="78"/>
      <c r="BX17" s="78"/>
      <c r="BY17" s="78"/>
      <c r="BZ17" s="93"/>
      <c r="CA17" s="93"/>
      <c r="CB17" s="88"/>
      <c r="CC17" s="80"/>
      <c r="CD17" s="65"/>
      <c r="CE17" s="93"/>
      <c r="CF17" s="93"/>
      <c r="CG17" s="80"/>
      <c r="CH17" s="65"/>
      <c r="CI17" s="93"/>
      <c r="CJ17" s="93"/>
      <c r="CK17" s="93"/>
      <c r="CL17" s="80"/>
      <c r="CM17" s="65"/>
      <c r="CN17" s="93"/>
      <c r="CO17" s="93"/>
      <c r="CP17" s="93"/>
      <c r="CQ17" s="80"/>
      <c r="CR17" s="65"/>
      <c r="CS17" s="93"/>
      <c r="CT17" s="93"/>
      <c r="CU17" s="93"/>
      <c r="CV17" s="93"/>
      <c r="CW17" s="80"/>
      <c r="CX17" s="65"/>
      <c r="CY17" s="93"/>
      <c r="CZ17" s="93"/>
      <c r="DA17" s="93"/>
      <c r="DB17" s="93"/>
      <c r="DC17" s="80"/>
      <c r="DD17" s="65"/>
      <c r="DE17" s="93"/>
      <c r="DF17" s="93"/>
      <c r="DG17" s="93"/>
      <c r="DH17" s="80"/>
      <c r="DI17" s="65"/>
      <c r="DJ17" s="128"/>
      <c r="DK17" s="130"/>
      <c r="DL17" s="93"/>
      <c r="DM17" s="127"/>
      <c r="DN17" s="148"/>
      <c r="DO17" s="22"/>
      <c r="DP17" s="80"/>
      <c r="DQ17" s="145"/>
      <c r="DR17" s="145"/>
      <c r="DS17" s="148"/>
      <c r="DT17" s="24"/>
      <c r="DU17" s="22"/>
      <c r="DV17" s="22"/>
      <c r="DW17" s="22"/>
      <c r="DX17" s="80"/>
      <c r="DY17" s="140"/>
      <c r="DZ17" s="148"/>
      <c r="EA17" s="24"/>
      <c r="EB17" s="22"/>
      <c r="EC17" s="22"/>
      <c r="ED17" s="22"/>
      <c r="EE17" s="22"/>
      <c r="EF17" s="29"/>
      <c r="EG17" s="65"/>
      <c r="EH17" s="148"/>
      <c r="EI17" s="24"/>
      <c r="EJ17" s="22"/>
      <c r="EK17" s="22"/>
      <c r="EL17" s="22"/>
      <c r="EM17" s="22"/>
      <c r="EN17" s="22"/>
      <c r="EO17" s="29"/>
      <c r="EP17" s="145"/>
      <c r="EQ17" s="148"/>
      <c r="ER17" s="148"/>
      <c r="ES17" s="148"/>
      <c r="ET17" s="22"/>
      <c r="EU17" s="22"/>
      <c r="EV17" s="29"/>
      <c r="EW17" s="80"/>
      <c r="EX17" s="148"/>
      <c r="EY17" s="5"/>
      <c r="EZ17" s="80"/>
      <c r="FA17" s="145">
        <v>1000000</v>
      </c>
      <c r="FB17" s="5">
        <f t="shared" si="0"/>
        <v>1000000</v>
      </c>
      <c r="FC17" s="5">
        <f t="shared" si="1"/>
        <v>1000000</v>
      </c>
      <c r="FD17" s="80"/>
    </row>
    <row r="18" spans="1:160" ht="38.25" x14ac:dyDescent="0.2">
      <c r="A18" s="8" t="s">
        <v>15</v>
      </c>
      <c r="B18" s="9"/>
      <c r="C18" s="27" t="s">
        <v>61</v>
      </c>
      <c r="D18" s="20">
        <v>2708750</v>
      </c>
      <c r="E18" s="20">
        <v>2708750</v>
      </c>
      <c r="F18" s="5">
        <f t="shared" si="17"/>
        <v>0</v>
      </c>
      <c r="G18" s="22">
        <v>1000000</v>
      </c>
      <c r="H18" s="5">
        <f t="shared" si="18"/>
        <v>-1708750</v>
      </c>
      <c r="I18" s="5">
        <f t="shared" si="83"/>
        <v>-1708750</v>
      </c>
      <c r="J18" s="29" t="s">
        <v>118</v>
      </c>
      <c r="K18" s="19">
        <v>2758750</v>
      </c>
      <c r="L18" s="11">
        <f t="shared" si="19"/>
        <v>50000</v>
      </c>
      <c r="M18" s="11">
        <f t="shared" si="84"/>
        <v>50000</v>
      </c>
      <c r="N18" s="11">
        <f t="shared" si="20"/>
        <v>1758750</v>
      </c>
      <c r="O18" s="19">
        <v>2800000</v>
      </c>
      <c r="P18" s="11">
        <f t="shared" si="21"/>
        <v>91250</v>
      </c>
      <c r="Q18" s="11">
        <f t="shared" si="85"/>
        <v>91250</v>
      </c>
      <c r="R18" s="11">
        <f t="shared" si="22"/>
        <v>41250</v>
      </c>
      <c r="S18" s="19">
        <f>2800000+75000+150000</f>
        <v>3025000</v>
      </c>
      <c r="T18" s="11">
        <f t="shared" si="23"/>
        <v>316250</v>
      </c>
      <c r="U18" s="11">
        <f t="shared" si="86"/>
        <v>316250</v>
      </c>
      <c r="V18" s="11">
        <f t="shared" si="81"/>
        <v>266250</v>
      </c>
      <c r="W18" s="11">
        <f t="shared" si="24"/>
        <v>225000</v>
      </c>
      <c r="X18" s="19">
        <f>2800000+75000+150000</f>
        <v>3025000</v>
      </c>
      <c r="Y18" s="11">
        <f t="shared" si="87"/>
        <v>316250</v>
      </c>
      <c r="Z18" s="11">
        <f t="shared" si="88"/>
        <v>316250</v>
      </c>
      <c r="AA18" s="11">
        <f t="shared" si="25"/>
        <v>266250</v>
      </c>
      <c r="AB18" s="11">
        <f t="shared" si="26"/>
        <v>0</v>
      </c>
      <c r="AC18" s="19">
        <f>2800000+75000+150000</f>
        <v>3025000</v>
      </c>
      <c r="AD18" s="11">
        <f t="shared" si="89"/>
        <v>316250</v>
      </c>
      <c r="AE18" s="11">
        <f t="shared" si="27"/>
        <v>0</v>
      </c>
      <c r="AF18" s="11">
        <f t="shared" si="2"/>
        <v>0</v>
      </c>
      <c r="AG18" s="19">
        <f>2800000+75000+150000</f>
        <v>3025000</v>
      </c>
      <c r="AH18" s="11">
        <f t="shared" si="90"/>
        <v>316250</v>
      </c>
      <c r="AI18" s="11"/>
      <c r="AJ18" s="11">
        <f t="shared" si="28"/>
        <v>3025000</v>
      </c>
      <c r="AK18" s="11"/>
      <c r="AL18" s="11"/>
      <c r="AM18" s="11">
        <f t="shared" si="29"/>
        <v>3025000</v>
      </c>
      <c r="AN18" s="19">
        <v>5450138</v>
      </c>
      <c r="AO18" s="11">
        <f t="shared" si="30"/>
        <v>2425138</v>
      </c>
      <c r="AP18" s="19" t="s">
        <v>153</v>
      </c>
      <c r="AQ18" s="19">
        <v>1000000</v>
      </c>
      <c r="AR18" s="19">
        <f t="shared" si="31"/>
        <v>-2025000</v>
      </c>
      <c r="AS18" s="19">
        <f t="shared" si="32"/>
        <v>-4450138</v>
      </c>
      <c r="AT18" s="19">
        <v>2998750</v>
      </c>
      <c r="AU18" s="19">
        <f t="shared" si="33"/>
        <v>-26250</v>
      </c>
      <c r="AV18" s="19">
        <f t="shared" si="34"/>
        <v>-2451388</v>
      </c>
      <c r="AW18" s="19">
        <f t="shared" si="35"/>
        <v>1998750</v>
      </c>
      <c r="AX18" s="19" t="s">
        <v>168</v>
      </c>
      <c r="AY18" s="19">
        <v>2800000</v>
      </c>
      <c r="AZ18" s="19">
        <f t="shared" si="36"/>
        <v>-225000</v>
      </c>
      <c r="BA18" s="19">
        <f t="shared" si="37"/>
        <v>-2650138</v>
      </c>
      <c r="BB18" s="19">
        <f t="shared" si="38"/>
        <v>-198750</v>
      </c>
      <c r="BC18" s="66" t="s">
        <v>191</v>
      </c>
      <c r="BD18" s="19">
        <v>3550000</v>
      </c>
      <c r="BE18" s="19">
        <f t="shared" si="39"/>
        <v>525000</v>
      </c>
      <c r="BF18" s="19">
        <f t="shared" si="40"/>
        <v>-1900138</v>
      </c>
      <c r="BG18" s="19">
        <f t="shared" si="41"/>
        <v>551250</v>
      </c>
      <c r="BH18" s="19">
        <f t="shared" si="42"/>
        <v>750000</v>
      </c>
      <c r="BI18" s="73" t="s">
        <v>198</v>
      </c>
      <c r="BJ18" s="19">
        <v>3398750</v>
      </c>
      <c r="BK18" s="12">
        <v>-400000</v>
      </c>
      <c r="BL18" s="19">
        <f t="shared" si="43"/>
        <v>2998750</v>
      </c>
      <c r="BM18" s="20">
        <v>400000</v>
      </c>
      <c r="BN18" s="19">
        <f t="shared" si="44"/>
        <v>3398750</v>
      </c>
      <c r="BO18" s="12">
        <f t="shared" si="3"/>
        <v>373750</v>
      </c>
      <c r="BP18" s="19">
        <f t="shared" si="4"/>
        <v>-2051388</v>
      </c>
      <c r="BQ18" s="19">
        <f t="shared" si="5"/>
        <v>400000</v>
      </c>
      <c r="BR18" s="19">
        <f t="shared" si="6"/>
        <v>-151250</v>
      </c>
      <c r="BS18" s="19">
        <f t="shared" si="7"/>
        <v>0</v>
      </c>
      <c r="BT18" s="73" t="s">
        <v>222</v>
      </c>
      <c r="BU18" s="80"/>
      <c r="BV18" s="78">
        <f t="shared" si="45"/>
        <v>3398750</v>
      </c>
      <c r="BW18" s="78"/>
      <c r="BX18" s="78">
        <f t="shared" si="46"/>
        <v>3398750</v>
      </c>
      <c r="BY18" s="78">
        <v>-400000</v>
      </c>
      <c r="BZ18" s="93">
        <v>2998750</v>
      </c>
      <c r="CA18" s="93">
        <v>3468763</v>
      </c>
      <c r="CB18" s="88">
        <f t="shared" si="91"/>
        <v>470013</v>
      </c>
      <c r="CC18" s="80"/>
      <c r="CD18" s="65">
        <v>1000000</v>
      </c>
      <c r="CE18" s="93">
        <f t="shared" si="48"/>
        <v>-1998750</v>
      </c>
      <c r="CF18" s="93">
        <f t="shared" si="49"/>
        <v>-2468763</v>
      </c>
      <c r="CG18" s="80" t="s">
        <v>256</v>
      </c>
      <c r="CH18" s="65">
        <f>1000000+250000+1700000</f>
        <v>2950000</v>
      </c>
      <c r="CI18" s="93">
        <f t="shared" si="50"/>
        <v>-48750</v>
      </c>
      <c r="CJ18" s="93">
        <f t="shared" si="51"/>
        <v>-518763</v>
      </c>
      <c r="CK18" s="93">
        <f t="shared" si="52"/>
        <v>1950000</v>
      </c>
      <c r="CL18" s="80" t="s">
        <v>271</v>
      </c>
      <c r="CM18" s="65">
        <v>2600000</v>
      </c>
      <c r="CN18" s="93">
        <f t="shared" si="82"/>
        <v>-398750</v>
      </c>
      <c r="CO18" s="93">
        <f t="shared" si="53"/>
        <v>-868763</v>
      </c>
      <c r="CP18" s="93">
        <f t="shared" si="54"/>
        <v>-350000</v>
      </c>
      <c r="CQ18" s="80" t="s">
        <v>320</v>
      </c>
      <c r="CR18" s="65">
        <f>2600000+685000</f>
        <v>3285000</v>
      </c>
      <c r="CS18" s="93">
        <f t="shared" si="55"/>
        <v>286250</v>
      </c>
      <c r="CT18" s="93">
        <f t="shared" si="56"/>
        <v>-183763</v>
      </c>
      <c r="CU18" s="93">
        <f t="shared" si="57"/>
        <v>335000</v>
      </c>
      <c r="CV18" s="93">
        <f t="shared" si="58"/>
        <v>685000</v>
      </c>
      <c r="CW18" s="80" t="s">
        <v>342</v>
      </c>
      <c r="CX18" s="65">
        <v>3554000</v>
      </c>
      <c r="CY18" s="93">
        <f t="shared" si="8"/>
        <v>555250</v>
      </c>
      <c r="CZ18" s="93">
        <f t="shared" si="9"/>
        <v>85237</v>
      </c>
      <c r="DA18" s="93">
        <f t="shared" si="10"/>
        <v>604000</v>
      </c>
      <c r="DB18" s="93">
        <f t="shared" si="11"/>
        <v>269000</v>
      </c>
      <c r="DC18" s="80" t="s">
        <v>365</v>
      </c>
      <c r="DD18" s="65">
        <v>3150000</v>
      </c>
      <c r="DE18" s="93">
        <f t="shared" si="12"/>
        <v>151250</v>
      </c>
      <c r="DF18" s="93">
        <f t="shared" si="13"/>
        <v>-318763</v>
      </c>
      <c r="DG18" s="93">
        <f t="shared" si="59"/>
        <v>-404000</v>
      </c>
      <c r="DH18" s="80" t="s">
        <v>376</v>
      </c>
      <c r="DI18" s="65">
        <v>3554000</v>
      </c>
      <c r="DJ18" s="128" t="s">
        <v>365</v>
      </c>
      <c r="DK18" s="130"/>
      <c r="DL18" s="93">
        <f t="shared" si="14"/>
        <v>3554000</v>
      </c>
      <c r="DM18" s="127">
        <f t="shared" si="15"/>
        <v>555250</v>
      </c>
      <c r="DN18" s="148">
        <v>3918499</v>
      </c>
      <c r="DO18" s="22">
        <f t="shared" si="60"/>
        <v>364499</v>
      </c>
      <c r="DP18" s="80" t="s">
        <v>398</v>
      </c>
      <c r="DQ18" s="145">
        <v>3918499</v>
      </c>
      <c r="DR18" s="145">
        <v>200000</v>
      </c>
      <c r="DS18" s="148">
        <f t="shared" ref="DS18:DS65" si="92">SUM(DQ18:DR18)</f>
        <v>4118499</v>
      </c>
      <c r="DT18" s="24">
        <f t="shared" si="61"/>
        <v>364499</v>
      </c>
      <c r="DU18" s="22">
        <f t="shared" si="62"/>
        <v>0</v>
      </c>
      <c r="DV18" s="22">
        <f t="shared" si="63"/>
        <v>564499</v>
      </c>
      <c r="DW18" s="22">
        <f t="shared" si="64"/>
        <v>200000</v>
      </c>
      <c r="DX18" s="80" t="s">
        <v>605</v>
      </c>
      <c r="DY18" s="29" t="s">
        <v>606</v>
      </c>
      <c r="DZ18" s="148">
        <v>4000000</v>
      </c>
      <c r="EA18" s="24" t="e">
        <f t="shared" ref="EA18:EA65" si="93">DX18-DS18</f>
        <v>#VALUE!</v>
      </c>
      <c r="EB18" s="22" t="e">
        <f t="shared" ref="EB18:EB65" si="94">DX18-DU18</f>
        <v>#VALUE!</v>
      </c>
      <c r="EC18" s="22">
        <f t="shared" si="67"/>
        <v>446000</v>
      </c>
      <c r="ED18" s="22">
        <f t="shared" si="68"/>
        <v>81501</v>
      </c>
      <c r="EE18" s="22">
        <f t="shared" si="69"/>
        <v>-118499</v>
      </c>
      <c r="EF18" s="93"/>
      <c r="EG18" s="65">
        <f>50000+100000+500000+150000+100000</f>
        <v>900000</v>
      </c>
      <c r="EH18" s="148">
        <f t="shared" si="70"/>
        <v>4900000</v>
      </c>
      <c r="EI18" s="24">
        <f t="shared" ref="EI18:EI65" si="95">EE18-DZ18</f>
        <v>-4118499</v>
      </c>
      <c r="EJ18" s="22" t="e">
        <f t="shared" ref="EJ18:EJ65" si="96">EE18-EB18</f>
        <v>#VALUE!</v>
      </c>
      <c r="EK18" s="22">
        <f t="shared" si="73"/>
        <v>1346000</v>
      </c>
      <c r="EL18" s="22">
        <f t="shared" si="74"/>
        <v>981501</v>
      </c>
      <c r="EM18" s="22">
        <f t="shared" si="75"/>
        <v>781501</v>
      </c>
      <c r="EN18" s="22">
        <f t="shared" si="76"/>
        <v>900000</v>
      </c>
      <c r="EO18" s="159" t="s">
        <v>601</v>
      </c>
      <c r="EP18" s="145">
        <v>5000000</v>
      </c>
      <c r="EQ18" s="148">
        <v>5000000</v>
      </c>
      <c r="ER18" s="148"/>
      <c r="ES18" s="148">
        <f t="shared" si="77"/>
        <v>5000000</v>
      </c>
      <c r="ET18" s="22">
        <f t="shared" si="78"/>
        <v>1081501</v>
      </c>
      <c r="EU18" s="22">
        <f t="shared" si="79"/>
        <v>1446000</v>
      </c>
      <c r="EV18" s="159" t="s">
        <v>627</v>
      </c>
      <c r="EW18" s="201" t="s">
        <v>627</v>
      </c>
      <c r="EX18" s="148">
        <v>4502047</v>
      </c>
      <c r="EY18" s="5">
        <f t="shared" si="80"/>
        <v>-497953</v>
      </c>
      <c r="EZ18" s="80" t="s">
        <v>689</v>
      </c>
      <c r="FA18" s="145">
        <v>4502047</v>
      </c>
      <c r="FB18" s="5">
        <f t="shared" si="0"/>
        <v>-497953</v>
      </c>
      <c r="FC18" s="5">
        <f t="shared" si="1"/>
        <v>0</v>
      </c>
      <c r="FD18" s="80" t="s">
        <v>723</v>
      </c>
    </row>
    <row r="19" spans="1:160" ht="108" x14ac:dyDescent="0.2">
      <c r="A19" s="8" t="s">
        <v>29</v>
      </c>
      <c r="B19" s="9"/>
      <c r="C19" s="26" t="s">
        <v>141</v>
      </c>
      <c r="D19" s="20">
        <v>2805319</v>
      </c>
      <c r="E19" s="20">
        <v>2805319</v>
      </c>
      <c r="F19" s="5">
        <f t="shared" si="17"/>
        <v>0</v>
      </c>
      <c r="G19" s="22">
        <v>2805319</v>
      </c>
      <c r="H19" s="5">
        <f t="shared" si="18"/>
        <v>0</v>
      </c>
      <c r="I19" s="5">
        <f t="shared" si="83"/>
        <v>0</v>
      </c>
      <c r="J19" s="31"/>
      <c r="K19" s="19">
        <v>2805319</v>
      </c>
      <c r="L19" s="11">
        <f t="shared" si="19"/>
        <v>0</v>
      </c>
      <c r="M19" s="11">
        <f t="shared" si="84"/>
        <v>0</v>
      </c>
      <c r="N19" s="11">
        <f t="shared" si="20"/>
        <v>0</v>
      </c>
      <c r="O19" s="19">
        <v>2805319</v>
      </c>
      <c r="P19" s="11">
        <f t="shared" si="21"/>
        <v>0</v>
      </c>
      <c r="Q19" s="11">
        <f t="shared" si="85"/>
        <v>0</v>
      </c>
      <c r="R19" s="11">
        <f t="shared" si="22"/>
        <v>0</v>
      </c>
      <c r="S19" s="19">
        <v>2805319</v>
      </c>
      <c r="T19" s="11">
        <f t="shared" si="23"/>
        <v>0</v>
      </c>
      <c r="U19" s="11">
        <f t="shared" si="86"/>
        <v>0</v>
      </c>
      <c r="V19" s="11">
        <f t="shared" si="81"/>
        <v>0</v>
      </c>
      <c r="W19" s="11">
        <f t="shared" si="24"/>
        <v>0</v>
      </c>
      <c r="X19" s="19">
        <v>2805319</v>
      </c>
      <c r="Y19" s="11">
        <f t="shared" si="87"/>
        <v>0</v>
      </c>
      <c r="Z19" s="11">
        <f t="shared" si="88"/>
        <v>0</v>
      </c>
      <c r="AA19" s="11">
        <f t="shared" si="25"/>
        <v>0</v>
      </c>
      <c r="AB19" s="11">
        <f t="shared" si="26"/>
        <v>0</v>
      </c>
      <c r="AC19" s="19">
        <v>2805319</v>
      </c>
      <c r="AD19" s="11">
        <f t="shared" si="89"/>
        <v>0</v>
      </c>
      <c r="AE19" s="11">
        <f t="shared" si="27"/>
        <v>0</v>
      </c>
      <c r="AF19" s="11">
        <f t="shared" si="2"/>
        <v>0</v>
      </c>
      <c r="AG19" s="19">
        <v>2805319</v>
      </c>
      <c r="AH19" s="11">
        <f t="shared" si="90"/>
        <v>0</v>
      </c>
      <c r="AI19" s="11"/>
      <c r="AJ19" s="11">
        <f t="shared" si="28"/>
        <v>2805319</v>
      </c>
      <c r="AK19" s="11"/>
      <c r="AL19" s="11"/>
      <c r="AM19" s="11">
        <f t="shared" si="29"/>
        <v>2805319</v>
      </c>
      <c r="AN19" s="19">
        <v>1900500</v>
      </c>
      <c r="AO19" s="11">
        <f t="shared" si="30"/>
        <v>-904819</v>
      </c>
      <c r="AP19" s="11"/>
      <c r="AQ19" s="19">
        <v>1743981</v>
      </c>
      <c r="AR19" s="19">
        <f t="shared" si="31"/>
        <v>-1061338</v>
      </c>
      <c r="AS19" s="19">
        <f t="shared" si="32"/>
        <v>-156519</v>
      </c>
      <c r="AT19" s="19">
        <v>1743981</v>
      </c>
      <c r="AU19" s="19">
        <f t="shared" si="33"/>
        <v>-1061338</v>
      </c>
      <c r="AV19" s="19">
        <f t="shared" si="34"/>
        <v>-156519</v>
      </c>
      <c r="AW19" s="19">
        <f t="shared" si="35"/>
        <v>0</v>
      </c>
      <c r="AX19" s="19"/>
      <c r="AY19" s="19">
        <v>1856058</v>
      </c>
      <c r="AZ19" s="19">
        <f t="shared" si="36"/>
        <v>-949261</v>
      </c>
      <c r="BA19" s="19">
        <f t="shared" si="37"/>
        <v>-44442</v>
      </c>
      <c r="BB19" s="19">
        <f t="shared" si="38"/>
        <v>112077</v>
      </c>
      <c r="BC19" s="66"/>
      <c r="BD19" s="19">
        <v>1856058</v>
      </c>
      <c r="BE19" s="19">
        <f t="shared" si="39"/>
        <v>-949261</v>
      </c>
      <c r="BF19" s="19">
        <f t="shared" si="40"/>
        <v>-44442</v>
      </c>
      <c r="BG19" s="19">
        <f t="shared" si="41"/>
        <v>112077</v>
      </c>
      <c r="BH19" s="19">
        <f t="shared" si="42"/>
        <v>0</v>
      </c>
      <c r="BI19" s="73"/>
      <c r="BJ19" s="19">
        <v>1743981</v>
      </c>
      <c r="BK19" s="12"/>
      <c r="BL19" s="19">
        <f t="shared" si="43"/>
        <v>1743981</v>
      </c>
      <c r="BM19" s="20"/>
      <c r="BN19" s="19">
        <f t="shared" si="44"/>
        <v>1743981</v>
      </c>
      <c r="BO19" s="12">
        <f t="shared" si="3"/>
        <v>-1061338</v>
      </c>
      <c r="BP19" s="19">
        <f t="shared" si="4"/>
        <v>-156519</v>
      </c>
      <c r="BQ19" s="19">
        <f t="shared" si="5"/>
        <v>0</v>
      </c>
      <c r="BR19" s="19">
        <f t="shared" si="6"/>
        <v>-112077</v>
      </c>
      <c r="BS19" s="19">
        <f t="shared" si="7"/>
        <v>0</v>
      </c>
      <c r="BT19" s="73"/>
      <c r="BU19" s="80"/>
      <c r="BV19" s="78">
        <f t="shared" si="45"/>
        <v>1743981</v>
      </c>
      <c r="BW19" s="78">
        <v>-17440</v>
      </c>
      <c r="BX19" s="78">
        <f t="shared" si="46"/>
        <v>1726541</v>
      </c>
      <c r="BY19" s="78"/>
      <c r="BZ19" s="93">
        <v>1726541</v>
      </c>
      <c r="CA19" s="93">
        <v>0</v>
      </c>
      <c r="CB19" s="88">
        <f t="shared" si="91"/>
        <v>-1726541</v>
      </c>
      <c r="CC19" s="80" t="s">
        <v>238</v>
      </c>
      <c r="CD19" s="65">
        <v>881953</v>
      </c>
      <c r="CE19" s="93">
        <f t="shared" si="48"/>
        <v>-844588</v>
      </c>
      <c r="CF19" s="93">
        <f t="shared" si="49"/>
        <v>881953</v>
      </c>
      <c r="CG19" s="80" t="s">
        <v>252</v>
      </c>
      <c r="CH19" s="65">
        <v>881953</v>
      </c>
      <c r="CI19" s="93">
        <f t="shared" si="50"/>
        <v>-844588</v>
      </c>
      <c r="CJ19" s="93">
        <f t="shared" si="51"/>
        <v>881953</v>
      </c>
      <c r="CK19" s="93">
        <f t="shared" si="52"/>
        <v>0</v>
      </c>
      <c r="CL19" s="80" t="s">
        <v>252</v>
      </c>
      <c r="CM19" s="65">
        <v>881954</v>
      </c>
      <c r="CN19" s="93">
        <f t="shared" si="82"/>
        <v>-844587</v>
      </c>
      <c r="CO19" s="93">
        <f t="shared" si="53"/>
        <v>881954</v>
      </c>
      <c r="CP19" s="93">
        <f t="shared" si="54"/>
        <v>1</v>
      </c>
      <c r="CQ19" s="80"/>
      <c r="CR19" s="65">
        <v>881954</v>
      </c>
      <c r="CS19" s="93">
        <f t="shared" si="55"/>
        <v>-844587</v>
      </c>
      <c r="CT19" s="93">
        <f t="shared" si="56"/>
        <v>881954</v>
      </c>
      <c r="CU19" s="93">
        <f t="shared" si="57"/>
        <v>1</v>
      </c>
      <c r="CV19" s="93">
        <f t="shared" si="58"/>
        <v>0</v>
      </c>
      <c r="CW19" s="80"/>
      <c r="CX19" s="65">
        <v>855494</v>
      </c>
      <c r="CY19" s="93">
        <f t="shared" si="8"/>
        <v>-871047</v>
      </c>
      <c r="CZ19" s="93">
        <f t="shared" si="9"/>
        <v>855494</v>
      </c>
      <c r="DA19" s="93">
        <f t="shared" si="10"/>
        <v>-26459</v>
      </c>
      <c r="DB19" s="93">
        <f t="shared" si="11"/>
        <v>-26460</v>
      </c>
      <c r="DC19" s="123" t="s">
        <v>359</v>
      </c>
      <c r="DD19" s="65">
        <v>855494</v>
      </c>
      <c r="DE19" s="93">
        <f t="shared" si="12"/>
        <v>-871047</v>
      </c>
      <c r="DF19" s="93">
        <f t="shared" si="13"/>
        <v>855494</v>
      </c>
      <c r="DG19" s="93">
        <f t="shared" si="59"/>
        <v>0</v>
      </c>
      <c r="DH19" s="123" t="s">
        <v>359</v>
      </c>
      <c r="DI19" s="65">
        <v>855494</v>
      </c>
      <c r="DJ19" s="128" t="s">
        <v>359</v>
      </c>
      <c r="DK19" s="130"/>
      <c r="DL19" s="93">
        <f t="shared" si="14"/>
        <v>855494</v>
      </c>
      <c r="DM19" s="127">
        <f t="shared" si="15"/>
        <v>-871047</v>
      </c>
      <c r="DN19" s="148">
        <v>0</v>
      </c>
      <c r="DO19" s="22">
        <f t="shared" si="60"/>
        <v>-855494</v>
      </c>
      <c r="DP19" s="80" t="s">
        <v>399</v>
      </c>
      <c r="DQ19" s="145">
        <v>2500000</v>
      </c>
      <c r="DR19" s="145"/>
      <c r="DS19" s="148">
        <f t="shared" si="92"/>
        <v>2500000</v>
      </c>
      <c r="DT19" s="24">
        <f t="shared" si="61"/>
        <v>1644506</v>
      </c>
      <c r="DU19" s="22">
        <f t="shared" si="62"/>
        <v>2500000</v>
      </c>
      <c r="DV19" s="22">
        <f t="shared" si="63"/>
        <v>1644506</v>
      </c>
      <c r="DW19" s="22">
        <f t="shared" si="64"/>
        <v>2500000</v>
      </c>
      <c r="DX19" s="80" t="s">
        <v>419</v>
      </c>
      <c r="DY19" s="80" t="s">
        <v>419</v>
      </c>
      <c r="DZ19" s="148">
        <v>1550002</v>
      </c>
      <c r="EA19" s="24" t="e">
        <f t="shared" si="93"/>
        <v>#VALUE!</v>
      </c>
      <c r="EB19" s="22" t="e">
        <f t="shared" si="94"/>
        <v>#VALUE!</v>
      </c>
      <c r="EC19" s="22">
        <f t="shared" si="67"/>
        <v>694508</v>
      </c>
      <c r="ED19" s="22">
        <f t="shared" si="68"/>
        <v>1550002</v>
      </c>
      <c r="EE19" s="22">
        <f t="shared" si="69"/>
        <v>-949998</v>
      </c>
      <c r="EF19" s="159" t="s">
        <v>525</v>
      </c>
      <c r="EG19" s="65"/>
      <c r="EH19" s="148">
        <f t="shared" si="70"/>
        <v>1550002</v>
      </c>
      <c r="EI19" s="24">
        <f t="shared" si="95"/>
        <v>-2500000</v>
      </c>
      <c r="EJ19" s="22" t="e">
        <f t="shared" si="96"/>
        <v>#VALUE!</v>
      </c>
      <c r="EK19" s="22">
        <f t="shared" si="73"/>
        <v>694508</v>
      </c>
      <c r="EL19" s="22">
        <f t="shared" si="74"/>
        <v>1550002</v>
      </c>
      <c r="EM19" s="22">
        <f t="shared" si="75"/>
        <v>-949998</v>
      </c>
      <c r="EN19" s="22">
        <f t="shared" si="76"/>
        <v>0</v>
      </c>
      <c r="EO19" s="159" t="s">
        <v>600</v>
      </c>
      <c r="EP19" s="145">
        <v>2500000</v>
      </c>
      <c r="EQ19" s="148">
        <v>2500000</v>
      </c>
      <c r="ER19" s="148"/>
      <c r="ES19" s="148">
        <f t="shared" si="77"/>
        <v>2500000</v>
      </c>
      <c r="ET19" s="22">
        <f t="shared" si="78"/>
        <v>2500000</v>
      </c>
      <c r="EU19" s="22">
        <f t="shared" si="79"/>
        <v>1644506</v>
      </c>
      <c r="EV19" s="29" t="s">
        <v>619</v>
      </c>
      <c r="EW19" s="80" t="s">
        <v>619</v>
      </c>
      <c r="EX19" s="148">
        <v>0</v>
      </c>
      <c r="EY19" s="5">
        <f t="shared" si="80"/>
        <v>-2500000</v>
      </c>
      <c r="EZ19" s="80" t="s">
        <v>399</v>
      </c>
      <c r="FA19" s="145">
        <v>2781450</v>
      </c>
      <c r="FB19" s="5">
        <f t="shared" si="0"/>
        <v>281450</v>
      </c>
      <c r="FC19" s="5">
        <f t="shared" si="1"/>
        <v>2781450</v>
      </c>
      <c r="FD19" s="80" t="s">
        <v>726</v>
      </c>
    </row>
    <row r="20" spans="1:160" ht="21" customHeight="1" x14ac:dyDescent="0.2">
      <c r="A20" s="8" t="s">
        <v>3</v>
      </c>
      <c r="B20" s="9"/>
      <c r="C20" s="26" t="s">
        <v>69</v>
      </c>
      <c r="D20" s="20">
        <v>7967142</v>
      </c>
      <c r="E20" s="20">
        <v>8281698</v>
      </c>
      <c r="F20" s="5">
        <f t="shared" si="17"/>
        <v>314556</v>
      </c>
      <c r="G20" s="22">
        <v>8281697</v>
      </c>
      <c r="H20" s="5">
        <f t="shared" si="18"/>
        <v>314555</v>
      </c>
      <c r="I20" s="5">
        <f t="shared" si="83"/>
        <v>-1</v>
      </c>
      <c r="J20" s="31"/>
      <c r="K20" s="19">
        <v>8281697</v>
      </c>
      <c r="L20" s="11">
        <f t="shared" si="19"/>
        <v>314555</v>
      </c>
      <c r="M20" s="11">
        <f t="shared" si="84"/>
        <v>-1</v>
      </c>
      <c r="N20" s="11">
        <f t="shared" si="20"/>
        <v>0</v>
      </c>
      <c r="O20" s="19">
        <v>8281698</v>
      </c>
      <c r="P20" s="11">
        <f t="shared" si="21"/>
        <v>314556</v>
      </c>
      <c r="Q20" s="11">
        <f t="shared" si="85"/>
        <v>0</v>
      </c>
      <c r="R20" s="11">
        <f t="shared" si="22"/>
        <v>1</v>
      </c>
      <c r="S20" s="19">
        <v>8281698</v>
      </c>
      <c r="T20" s="11">
        <f t="shared" si="23"/>
        <v>314556</v>
      </c>
      <c r="U20" s="11">
        <f t="shared" si="86"/>
        <v>0</v>
      </c>
      <c r="V20" s="11">
        <f t="shared" si="81"/>
        <v>1</v>
      </c>
      <c r="W20" s="11">
        <f t="shared" si="24"/>
        <v>0</v>
      </c>
      <c r="X20" s="19">
        <v>8281698</v>
      </c>
      <c r="Y20" s="11">
        <f t="shared" si="87"/>
        <v>314556</v>
      </c>
      <c r="Z20" s="11">
        <f t="shared" si="88"/>
        <v>0</v>
      </c>
      <c r="AA20" s="11">
        <f t="shared" si="25"/>
        <v>1</v>
      </c>
      <c r="AB20" s="11">
        <f t="shared" si="26"/>
        <v>0</v>
      </c>
      <c r="AC20" s="19">
        <v>8281698</v>
      </c>
      <c r="AD20" s="11">
        <f t="shared" si="89"/>
        <v>314556</v>
      </c>
      <c r="AE20" s="11">
        <f t="shared" si="27"/>
        <v>0</v>
      </c>
      <c r="AF20" s="11">
        <f t="shared" si="2"/>
        <v>0</v>
      </c>
      <c r="AG20" s="19">
        <v>8281698</v>
      </c>
      <c r="AH20" s="11">
        <f t="shared" si="90"/>
        <v>314556</v>
      </c>
      <c r="AI20" s="11"/>
      <c r="AJ20" s="11">
        <f t="shared" si="28"/>
        <v>8281698</v>
      </c>
      <c r="AK20" s="11">
        <f>8094937-8281698</f>
        <v>-186761</v>
      </c>
      <c r="AL20" s="11"/>
      <c r="AM20" s="11">
        <f t="shared" si="29"/>
        <v>8094937</v>
      </c>
      <c r="AN20" s="19">
        <v>8144423</v>
      </c>
      <c r="AO20" s="11">
        <f t="shared" si="30"/>
        <v>49486</v>
      </c>
      <c r="AP20" s="11"/>
      <c r="AQ20" s="19">
        <v>8126495</v>
      </c>
      <c r="AR20" s="19">
        <f t="shared" si="31"/>
        <v>31558</v>
      </c>
      <c r="AS20" s="19">
        <f t="shared" si="32"/>
        <v>-17928</v>
      </c>
      <c r="AT20" s="19">
        <v>8126495</v>
      </c>
      <c r="AU20" s="19">
        <f t="shared" si="33"/>
        <v>31558</v>
      </c>
      <c r="AV20" s="19">
        <f t="shared" si="34"/>
        <v>-17928</v>
      </c>
      <c r="AW20" s="19">
        <f t="shared" si="35"/>
        <v>0</v>
      </c>
      <c r="AX20" s="19"/>
      <c r="AY20" s="19">
        <v>8144423</v>
      </c>
      <c r="AZ20" s="19">
        <f t="shared" si="36"/>
        <v>49486</v>
      </c>
      <c r="BA20" s="19">
        <f t="shared" si="37"/>
        <v>0</v>
      </c>
      <c r="BB20" s="19">
        <f t="shared" si="38"/>
        <v>17928</v>
      </c>
      <c r="BC20" s="66"/>
      <c r="BD20" s="19">
        <v>8144423</v>
      </c>
      <c r="BE20" s="19">
        <f t="shared" si="39"/>
        <v>49486</v>
      </c>
      <c r="BF20" s="19">
        <f t="shared" si="40"/>
        <v>0</v>
      </c>
      <c r="BG20" s="19">
        <f t="shared" si="41"/>
        <v>17928</v>
      </c>
      <c r="BH20" s="19">
        <f t="shared" si="42"/>
        <v>0</v>
      </c>
      <c r="BI20" s="73"/>
      <c r="BJ20" s="19">
        <v>8126495</v>
      </c>
      <c r="BK20" s="12"/>
      <c r="BL20" s="19">
        <f t="shared" si="43"/>
        <v>8126495</v>
      </c>
      <c r="BM20" s="20"/>
      <c r="BN20" s="19">
        <f t="shared" si="44"/>
        <v>8126495</v>
      </c>
      <c r="BO20" s="12">
        <f t="shared" si="3"/>
        <v>31558</v>
      </c>
      <c r="BP20" s="19">
        <f t="shared" si="4"/>
        <v>-17928</v>
      </c>
      <c r="BQ20" s="19">
        <f t="shared" si="5"/>
        <v>0</v>
      </c>
      <c r="BR20" s="19">
        <f t="shared" si="6"/>
        <v>-17928</v>
      </c>
      <c r="BS20" s="19">
        <f t="shared" si="7"/>
        <v>0</v>
      </c>
      <c r="BT20" s="73"/>
      <c r="BU20" s="80"/>
      <c r="BV20" s="78">
        <f t="shared" si="45"/>
        <v>8126495</v>
      </c>
      <c r="BW20" s="78">
        <v>-81265</v>
      </c>
      <c r="BX20" s="78">
        <f t="shared" si="46"/>
        <v>8045230</v>
      </c>
      <c r="BY20" s="78"/>
      <c r="BZ20" s="93">
        <v>8045230</v>
      </c>
      <c r="CA20" s="93">
        <v>7777420</v>
      </c>
      <c r="CB20" s="88">
        <f t="shared" si="91"/>
        <v>-267810</v>
      </c>
      <c r="CC20" s="80" t="s">
        <v>245</v>
      </c>
      <c r="CD20" s="65">
        <v>7768688</v>
      </c>
      <c r="CE20" s="93">
        <f t="shared" si="48"/>
        <v>-276542</v>
      </c>
      <c r="CF20" s="93">
        <f t="shared" si="49"/>
        <v>-8732</v>
      </c>
      <c r="CG20" s="80" t="s">
        <v>245</v>
      </c>
      <c r="CH20" s="65">
        <v>7768688</v>
      </c>
      <c r="CI20" s="93">
        <f t="shared" si="50"/>
        <v>-276542</v>
      </c>
      <c r="CJ20" s="93">
        <f t="shared" si="51"/>
        <v>-8732</v>
      </c>
      <c r="CK20" s="93">
        <f t="shared" si="52"/>
        <v>0</v>
      </c>
      <c r="CL20" s="80" t="s">
        <v>245</v>
      </c>
      <c r="CM20" s="65">
        <v>7768688</v>
      </c>
      <c r="CN20" s="93">
        <f t="shared" si="82"/>
        <v>-276542</v>
      </c>
      <c r="CO20" s="93">
        <f t="shared" si="53"/>
        <v>-8732</v>
      </c>
      <c r="CP20" s="93">
        <f t="shared" si="54"/>
        <v>0</v>
      </c>
      <c r="CQ20" s="80"/>
      <c r="CR20" s="65">
        <v>7768688</v>
      </c>
      <c r="CS20" s="93">
        <f t="shared" si="55"/>
        <v>-276542</v>
      </c>
      <c r="CT20" s="93">
        <f t="shared" si="56"/>
        <v>-8732</v>
      </c>
      <c r="CU20" s="93">
        <f t="shared" si="57"/>
        <v>0</v>
      </c>
      <c r="CV20" s="93">
        <f t="shared" si="58"/>
        <v>0</v>
      </c>
      <c r="CW20" s="80"/>
      <c r="CX20" s="65">
        <v>7535627</v>
      </c>
      <c r="CY20" s="93">
        <f t="shared" si="8"/>
        <v>-509603</v>
      </c>
      <c r="CZ20" s="93">
        <f t="shared" si="9"/>
        <v>-241793</v>
      </c>
      <c r="DA20" s="93">
        <f t="shared" si="10"/>
        <v>-233061</v>
      </c>
      <c r="DB20" s="93">
        <f t="shared" si="11"/>
        <v>-233061</v>
      </c>
      <c r="DC20" s="123" t="s">
        <v>361</v>
      </c>
      <c r="DD20" s="65">
        <v>7535627</v>
      </c>
      <c r="DE20" s="93">
        <f t="shared" si="12"/>
        <v>-509603</v>
      </c>
      <c r="DF20" s="93">
        <f t="shared" si="13"/>
        <v>-241793</v>
      </c>
      <c r="DG20" s="93">
        <f t="shared" si="59"/>
        <v>0</v>
      </c>
      <c r="DH20" s="123" t="s">
        <v>361</v>
      </c>
      <c r="DI20" s="65">
        <v>7535627</v>
      </c>
      <c r="DJ20" s="128" t="s">
        <v>361</v>
      </c>
      <c r="DK20" s="130"/>
      <c r="DL20" s="93">
        <f t="shared" si="14"/>
        <v>7535627</v>
      </c>
      <c r="DM20" s="127">
        <f t="shared" si="15"/>
        <v>-509603</v>
      </c>
      <c r="DN20" s="148">
        <v>7498285</v>
      </c>
      <c r="DO20" s="22">
        <f t="shared" si="60"/>
        <v>-37342</v>
      </c>
      <c r="DP20" s="80"/>
      <c r="DQ20" s="145">
        <v>7498286</v>
      </c>
      <c r="DR20" s="145"/>
      <c r="DS20" s="148">
        <f t="shared" si="92"/>
        <v>7498286</v>
      </c>
      <c r="DT20" s="24">
        <f t="shared" si="61"/>
        <v>-37341</v>
      </c>
      <c r="DU20" s="22">
        <f t="shared" si="62"/>
        <v>1</v>
      </c>
      <c r="DV20" s="22">
        <f t="shared" si="63"/>
        <v>-37341</v>
      </c>
      <c r="DW20" s="22">
        <f t="shared" si="64"/>
        <v>1</v>
      </c>
      <c r="DX20" s="80"/>
      <c r="DY20" s="157"/>
      <c r="DZ20" s="148">
        <v>7498285</v>
      </c>
      <c r="EA20" s="24">
        <f t="shared" si="93"/>
        <v>-7498286</v>
      </c>
      <c r="EB20" s="22">
        <f t="shared" si="94"/>
        <v>-1</v>
      </c>
      <c r="EC20" s="22">
        <f t="shared" si="67"/>
        <v>-37342</v>
      </c>
      <c r="ED20" s="22">
        <f t="shared" si="68"/>
        <v>0</v>
      </c>
      <c r="EE20" s="22">
        <f t="shared" si="69"/>
        <v>-1</v>
      </c>
      <c r="EF20" s="164"/>
      <c r="EG20" s="172"/>
      <c r="EH20" s="148">
        <f t="shared" si="70"/>
        <v>7498285</v>
      </c>
      <c r="EI20" s="24">
        <f t="shared" si="95"/>
        <v>-7498286</v>
      </c>
      <c r="EJ20" s="22">
        <f t="shared" si="96"/>
        <v>0</v>
      </c>
      <c r="EK20" s="22">
        <f t="shared" si="73"/>
        <v>-37342</v>
      </c>
      <c r="EL20" s="22">
        <f t="shared" si="74"/>
        <v>0</v>
      </c>
      <c r="EM20" s="22">
        <f t="shared" si="75"/>
        <v>-1</v>
      </c>
      <c r="EN20" s="22">
        <f t="shared" si="76"/>
        <v>0</v>
      </c>
      <c r="EO20" s="164"/>
      <c r="EP20" s="145">
        <v>7498286</v>
      </c>
      <c r="EQ20" s="148">
        <v>7498286</v>
      </c>
      <c r="ER20" s="148"/>
      <c r="ES20" s="148">
        <f t="shared" si="77"/>
        <v>7498286</v>
      </c>
      <c r="ET20" s="22">
        <f t="shared" si="78"/>
        <v>1</v>
      </c>
      <c r="EU20" s="22">
        <f t="shared" si="79"/>
        <v>-37341</v>
      </c>
      <c r="EV20" s="159"/>
      <c r="EW20" s="201"/>
      <c r="EX20" s="148">
        <v>7680007</v>
      </c>
      <c r="EY20" s="5">
        <f t="shared" si="80"/>
        <v>181721</v>
      </c>
      <c r="EZ20" s="80"/>
      <c r="FA20" s="145">
        <v>7680007</v>
      </c>
      <c r="FB20" s="5">
        <f t="shared" si="0"/>
        <v>181721</v>
      </c>
      <c r="FC20" s="5">
        <f t="shared" si="1"/>
        <v>0</v>
      </c>
      <c r="FD20" s="80"/>
    </row>
    <row r="21" spans="1:160" ht="25.5" hidden="1" x14ac:dyDescent="0.2">
      <c r="A21" s="8" t="s">
        <v>16</v>
      </c>
      <c r="B21" s="9"/>
      <c r="C21" s="26" t="s">
        <v>158</v>
      </c>
      <c r="D21" s="20">
        <v>18589713</v>
      </c>
      <c r="E21" s="20">
        <v>0</v>
      </c>
      <c r="F21" s="5">
        <f t="shared" si="17"/>
        <v>-18589713</v>
      </c>
      <c r="G21" s="22">
        <v>18589713</v>
      </c>
      <c r="H21" s="5">
        <f t="shared" si="18"/>
        <v>0</v>
      </c>
      <c r="I21" s="5">
        <f t="shared" si="83"/>
        <v>18589713</v>
      </c>
      <c r="J21" s="31"/>
      <c r="K21" s="19">
        <v>18589713</v>
      </c>
      <c r="L21" s="11">
        <f t="shared" si="19"/>
        <v>0</v>
      </c>
      <c r="M21" s="11">
        <f t="shared" si="84"/>
        <v>18589713</v>
      </c>
      <c r="N21" s="11">
        <f t="shared" si="20"/>
        <v>0</v>
      </c>
      <c r="O21" s="19">
        <v>1000000</v>
      </c>
      <c r="P21" s="11">
        <f t="shared" si="21"/>
        <v>-17589713</v>
      </c>
      <c r="Q21" s="11">
        <f t="shared" si="85"/>
        <v>1000000</v>
      </c>
      <c r="R21" s="11">
        <f t="shared" si="22"/>
        <v>-17589713</v>
      </c>
      <c r="S21" s="19">
        <v>1000000</v>
      </c>
      <c r="T21" s="11">
        <f t="shared" si="23"/>
        <v>-17589713</v>
      </c>
      <c r="U21" s="11">
        <f t="shared" si="86"/>
        <v>1000000</v>
      </c>
      <c r="V21" s="11">
        <f t="shared" si="81"/>
        <v>-17589713</v>
      </c>
      <c r="W21" s="11">
        <f t="shared" si="24"/>
        <v>0</v>
      </c>
      <c r="X21" s="19">
        <v>18589713</v>
      </c>
      <c r="Y21" s="11">
        <f t="shared" si="87"/>
        <v>0</v>
      </c>
      <c r="Z21" s="11">
        <f t="shared" si="88"/>
        <v>18589713</v>
      </c>
      <c r="AA21" s="11">
        <f t="shared" si="25"/>
        <v>0</v>
      </c>
      <c r="AB21" s="11">
        <f t="shared" si="26"/>
        <v>17589713</v>
      </c>
      <c r="AC21" s="19">
        <f>18589713-17589713</f>
        <v>1000000</v>
      </c>
      <c r="AD21" s="11">
        <f t="shared" si="89"/>
        <v>-17589713</v>
      </c>
      <c r="AE21" s="11">
        <f t="shared" si="27"/>
        <v>-17589713</v>
      </c>
      <c r="AF21" s="11">
        <f t="shared" si="2"/>
        <v>17589713</v>
      </c>
      <c r="AG21" s="19">
        <f>18589713</f>
        <v>18589713</v>
      </c>
      <c r="AH21" s="11">
        <f t="shared" si="90"/>
        <v>0</v>
      </c>
      <c r="AI21" s="11"/>
      <c r="AJ21" s="11">
        <f t="shared" si="28"/>
        <v>18589713</v>
      </c>
      <c r="AK21" s="11"/>
      <c r="AL21" s="11"/>
      <c r="AM21" s="11">
        <f t="shared" si="29"/>
        <v>18589713</v>
      </c>
      <c r="AN21" s="19">
        <v>18589713</v>
      </c>
      <c r="AO21" s="11">
        <f t="shared" si="30"/>
        <v>0</v>
      </c>
      <c r="AP21" s="11"/>
      <c r="AQ21" s="19">
        <v>18589713</v>
      </c>
      <c r="AR21" s="19">
        <f t="shared" si="31"/>
        <v>0</v>
      </c>
      <c r="AS21" s="19">
        <f t="shared" si="32"/>
        <v>0</v>
      </c>
      <c r="AT21" s="19">
        <v>18589713</v>
      </c>
      <c r="AU21" s="19">
        <f t="shared" si="33"/>
        <v>0</v>
      </c>
      <c r="AV21" s="19">
        <f t="shared" si="34"/>
        <v>0</v>
      </c>
      <c r="AW21" s="19">
        <f t="shared" si="35"/>
        <v>0</v>
      </c>
      <c r="AX21" s="19"/>
      <c r="AY21" s="19">
        <v>2000000</v>
      </c>
      <c r="AZ21" s="19">
        <f t="shared" si="36"/>
        <v>-16589713</v>
      </c>
      <c r="BA21" s="19">
        <f t="shared" si="37"/>
        <v>-16589713</v>
      </c>
      <c r="BB21" s="19">
        <f t="shared" si="38"/>
        <v>-16589713</v>
      </c>
      <c r="BC21" s="66" t="s">
        <v>187</v>
      </c>
      <c r="BD21" s="19">
        <v>2000000</v>
      </c>
      <c r="BE21" s="19">
        <f t="shared" si="39"/>
        <v>-16589713</v>
      </c>
      <c r="BF21" s="19">
        <f t="shared" si="40"/>
        <v>-16589713</v>
      </c>
      <c r="BG21" s="19">
        <f t="shared" si="41"/>
        <v>-16589713</v>
      </c>
      <c r="BH21" s="19">
        <f t="shared" si="42"/>
        <v>0</v>
      </c>
      <c r="BI21" s="67" t="s">
        <v>187</v>
      </c>
      <c r="BJ21" s="19">
        <v>0</v>
      </c>
      <c r="BK21" s="12"/>
      <c r="BL21" s="19">
        <f t="shared" si="43"/>
        <v>0</v>
      </c>
      <c r="BM21" s="20"/>
      <c r="BN21" s="19">
        <f t="shared" si="44"/>
        <v>0</v>
      </c>
      <c r="BO21" s="12">
        <f t="shared" si="3"/>
        <v>-18589713</v>
      </c>
      <c r="BP21" s="19">
        <f t="shared" si="4"/>
        <v>-18589713</v>
      </c>
      <c r="BQ21" s="19">
        <f t="shared" si="5"/>
        <v>-18589713</v>
      </c>
      <c r="BR21" s="19">
        <f t="shared" si="6"/>
        <v>-2000000</v>
      </c>
      <c r="BS21" s="19">
        <f t="shared" si="7"/>
        <v>0</v>
      </c>
      <c r="BT21" s="67"/>
      <c r="BU21" s="67"/>
      <c r="BV21" s="78">
        <f t="shared" si="45"/>
        <v>0</v>
      </c>
      <c r="BW21" s="78"/>
      <c r="BX21" s="78">
        <f t="shared" si="46"/>
        <v>0</v>
      </c>
      <c r="BY21" s="78"/>
      <c r="BZ21" s="93">
        <v>0</v>
      </c>
      <c r="CA21" s="93">
        <v>0</v>
      </c>
      <c r="CB21" s="88">
        <f t="shared" si="91"/>
        <v>0</v>
      </c>
      <c r="CC21" s="67"/>
      <c r="CD21" s="65">
        <v>0</v>
      </c>
      <c r="CE21" s="93">
        <f t="shared" si="48"/>
        <v>0</v>
      </c>
      <c r="CF21" s="93">
        <f t="shared" si="49"/>
        <v>0</v>
      </c>
      <c r="CG21" s="67"/>
      <c r="CH21" s="65">
        <v>0</v>
      </c>
      <c r="CI21" s="93">
        <f t="shared" si="50"/>
        <v>0</v>
      </c>
      <c r="CJ21" s="93">
        <f t="shared" si="51"/>
        <v>0</v>
      </c>
      <c r="CK21" s="93">
        <f t="shared" si="52"/>
        <v>0</v>
      </c>
      <c r="CL21" s="96"/>
      <c r="CM21" s="65"/>
      <c r="CN21" s="93">
        <f t="shared" si="82"/>
        <v>0</v>
      </c>
      <c r="CO21" s="93">
        <f t="shared" si="53"/>
        <v>0</v>
      </c>
      <c r="CP21" s="93">
        <f t="shared" si="54"/>
        <v>0</v>
      </c>
      <c r="CQ21" s="96"/>
      <c r="CR21" s="65"/>
      <c r="CS21" s="93">
        <f t="shared" si="55"/>
        <v>0</v>
      </c>
      <c r="CT21" s="93">
        <f t="shared" si="56"/>
        <v>0</v>
      </c>
      <c r="CU21" s="93">
        <f t="shared" si="57"/>
        <v>0</v>
      </c>
      <c r="CV21" s="93">
        <f t="shared" si="58"/>
        <v>0</v>
      </c>
      <c r="CW21" s="96"/>
      <c r="CX21" s="65"/>
      <c r="CY21" s="93">
        <f t="shared" si="8"/>
        <v>0</v>
      </c>
      <c r="CZ21" s="93">
        <f t="shared" si="9"/>
        <v>0</v>
      </c>
      <c r="DA21" s="93">
        <f t="shared" si="10"/>
        <v>0</v>
      </c>
      <c r="DB21" s="93">
        <f t="shared" si="11"/>
        <v>0</v>
      </c>
      <c r="DC21" s="96"/>
      <c r="DD21" s="65"/>
      <c r="DE21" s="93">
        <f t="shared" si="12"/>
        <v>0</v>
      </c>
      <c r="DF21" s="93">
        <f t="shared" si="13"/>
        <v>0</v>
      </c>
      <c r="DG21" s="93">
        <f t="shared" si="59"/>
        <v>0</v>
      </c>
      <c r="DH21" s="96"/>
      <c r="DI21" s="65"/>
      <c r="DJ21" s="96"/>
      <c r="DK21" s="96"/>
      <c r="DL21" s="93">
        <f t="shared" si="14"/>
        <v>0</v>
      </c>
      <c r="DM21" s="127">
        <f t="shared" si="15"/>
        <v>0</v>
      </c>
      <c r="DN21" s="148">
        <v>0</v>
      </c>
      <c r="DO21" s="22">
        <f t="shared" si="60"/>
        <v>0</v>
      </c>
      <c r="DP21" s="96"/>
      <c r="DQ21" s="145"/>
      <c r="DR21" s="145"/>
      <c r="DS21" s="148">
        <f t="shared" si="92"/>
        <v>0</v>
      </c>
      <c r="DT21" s="24">
        <f t="shared" si="61"/>
        <v>0</v>
      </c>
      <c r="DU21" s="22">
        <f t="shared" si="62"/>
        <v>0</v>
      </c>
      <c r="DV21" s="22">
        <f t="shared" si="63"/>
        <v>0</v>
      </c>
      <c r="DW21" s="22">
        <f t="shared" si="64"/>
        <v>0</v>
      </c>
      <c r="DX21" s="96"/>
      <c r="DY21" s="157"/>
      <c r="DZ21" s="148"/>
      <c r="EA21" s="24">
        <f t="shared" si="93"/>
        <v>0</v>
      </c>
      <c r="EB21" s="22">
        <f t="shared" si="94"/>
        <v>0</v>
      </c>
      <c r="EC21" s="22">
        <f t="shared" si="67"/>
        <v>0</v>
      </c>
      <c r="ED21" s="22">
        <f t="shared" si="68"/>
        <v>0</v>
      </c>
      <c r="EE21" s="22">
        <f t="shared" si="69"/>
        <v>0</v>
      </c>
      <c r="EF21" s="164"/>
      <c r="EG21" s="172"/>
      <c r="EH21" s="148">
        <f t="shared" si="70"/>
        <v>0</v>
      </c>
      <c r="EI21" s="24">
        <f t="shared" si="95"/>
        <v>0</v>
      </c>
      <c r="EJ21" s="22">
        <f t="shared" si="96"/>
        <v>0</v>
      </c>
      <c r="EK21" s="22">
        <f t="shared" si="73"/>
        <v>0</v>
      </c>
      <c r="EL21" s="22">
        <f t="shared" si="74"/>
        <v>0</v>
      </c>
      <c r="EM21" s="22">
        <f t="shared" si="75"/>
        <v>0</v>
      </c>
      <c r="EN21" s="22">
        <f t="shared" si="76"/>
        <v>0</v>
      </c>
      <c r="EO21" s="164"/>
      <c r="EP21" s="145"/>
      <c r="EQ21" s="148"/>
      <c r="ER21" s="148"/>
      <c r="ES21" s="148">
        <f t="shared" si="77"/>
        <v>0</v>
      </c>
      <c r="ET21" s="22">
        <f t="shared" si="78"/>
        <v>0</v>
      </c>
      <c r="EU21" s="22">
        <f t="shared" si="79"/>
        <v>0</v>
      </c>
      <c r="EV21" s="159"/>
      <c r="EW21" s="201"/>
      <c r="EX21" s="148">
        <v>0</v>
      </c>
      <c r="EY21" s="5">
        <f t="shared" si="80"/>
        <v>0</v>
      </c>
      <c r="EZ21" s="80"/>
      <c r="FA21" s="145"/>
      <c r="FB21" s="5">
        <f t="shared" si="0"/>
        <v>0</v>
      </c>
      <c r="FC21" s="5">
        <f t="shared" si="1"/>
        <v>0</v>
      </c>
      <c r="FD21" s="80"/>
    </row>
    <row r="22" spans="1:160" ht="12.75" hidden="1" customHeight="1" x14ac:dyDescent="0.2">
      <c r="A22" s="8" t="s">
        <v>17</v>
      </c>
      <c r="B22" s="9"/>
      <c r="C22" s="27" t="s">
        <v>52</v>
      </c>
      <c r="D22" s="20">
        <v>295500</v>
      </c>
      <c r="E22" s="20">
        <v>0</v>
      </c>
      <c r="F22" s="5">
        <f t="shared" si="17"/>
        <v>-295500</v>
      </c>
      <c r="G22" s="22">
        <v>0</v>
      </c>
      <c r="H22" s="5">
        <f t="shared" si="18"/>
        <v>-295500</v>
      </c>
      <c r="I22" s="5">
        <f t="shared" si="83"/>
        <v>0</v>
      </c>
      <c r="J22" s="29" t="s">
        <v>116</v>
      </c>
      <c r="K22" s="19">
        <v>0</v>
      </c>
      <c r="L22" s="11">
        <f t="shared" si="19"/>
        <v>-295500</v>
      </c>
      <c r="M22" s="11">
        <f t="shared" si="84"/>
        <v>0</v>
      </c>
      <c r="N22" s="11">
        <f t="shared" si="20"/>
        <v>0</v>
      </c>
      <c r="O22" s="19">
        <v>0</v>
      </c>
      <c r="P22" s="11">
        <f t="shared" si="21"/>
        <v>-295500</v>
      </c>
      <c r="Q22" s="11">
        <f t="shared" si="85"/>
        <v>0</v>
      </c>
      <c r="R22" s="11">
        <f t="shared" si="22"/>
        <v>0</v>
      </c>
      <c r="S22" s="19">
        <v>0</v>
      </c>
      <c r="T22" s="11">
        <f t="shared" si="23"/>
        <v>-295500</v>
      </c>
      <c r="U22" s="11">
        <f t="shared" si="86"/>
        <v>0</v>
      </c>
      <c r="V22" s="11">
        <f t="shared" si="81"/>
        <v>0</v>
      </c>
      <c r="W22" s="11">
        <f t="shared" si="24"/>
        <v>0</v>
      </c>
      <c r="X22" s="19">
        <v>0</v>
      </c>
      <c r="Y22" s="11">
        <f t="shared" si="87"/>
        <v>-295500</v>
      </c>
      <c r="Z22" s="11">
        <f t="shared" si="88"/>
        <v>0</v>
      </c>
      <c r="AA22" s="11">
        <f t="shared" si="25"/>
        <v>0</v>
      </c>
      <c r="AB22" s="11">
        <f t="shared" si="26"/>
        <v>0</v>
      </c>
      <c r="AC22" s="19">
        <v>0</v>
      </c>
      <c r="AD22" s="11">
        <f t="shared" si="89"/>
        <v>-295500</v>
      </c>
      <c r="AE22" s="11">
        <f t="shared" si="27"/>
        <v>0</v>
      </c>
      <c r="AF22" s="11">
        <f t="shared" si="2"/>
        <v>0</v>
      </c>
      <c r="AG22" s="19">
        <v>0</v>
      </c>
      <c r="AH22" s="11">
        <f t="shared" si="90"/>
        <v>-295500</v>
      </c>
      <c r="AI22" s="11"/>
      <c r="AJ22" s="11">
        <f t="shared" si="28"/>
        <v>0</v>
      </c>
      <c r="AK22" s="11"/>
      <c r="AL22" s="11"/>
      <c r="AM22" s="11">
        <f t="shared" si="29"/>
        <v>0</v>
      </c>
      <c r="AN22" s="19">
        <v>0</v>
      </c>
      <c r="AO22" s="11">
        <f t="shared" si="30"/>
        <v>0</v>
      </c>
      <c r="AP22" s="11"/>
      <c r="AQ22" s="19">
        <v>0</v>
      </c>
      <c r="AR22" s="19">
        <f t="shared" si="31"/>
        <v>0</v>
      </c>
      <c r="AS22" s="19">
        <f t="shared" si="32"/>
        <v>0</v>
      </c>
      <c r="AT22" s="19">
        <v>0</v>
      </c>
      <c r="AU22" s="19">
        <f t="shared" si="33"/>
        <v>0</v>
      </c>
      <c r="AV22" s="19">
        <f t="shared" si="34"/>
        <v>0</v>
      </c>
      <c r="AW22" s="19">
        <f t="shared" si="35"/>
        <v>0</v>
      </c>
      <c r="AX22" s="19"/>
      <c r="AY22" s="19">
        <v>0</v>
      </c>
      <c r="AZ22" s="19">
        <f t="shared" si="36"/>
        <v>0</v>
      </c>
      <c r="BA22" s="19">
        <f t="shared" si="37"/>
        <v>0</v>
      </c>
      <c r="BB22" s="19">
        <f t="shared" si="38"/>
        <v>0</v>
      </c>
      <c r="BC22" s="66"/>
      <c r="BD22" s="19">
        <v>0</v>
      </c>
      <c r="BE22" s="19">
        <f t="shared" si="39"/>
        <v>0</v>
      </c>
      <c r="BF22" s="19">
        <f t="shared" si="40"/>
        <v>0</v>
      </c>
      <c r="BG22" s="19">
        <f t="shared" si="41"/>
        <v>0</v>
      </c>
      <c r="BH22" s="19">
        <f t="shared" si="42"/>
        <v>0</v>
      </c>
      <c r="BI22" s="73"/>
      <c r="BJ22" s="19"/>
      <c r="BK22" s="12"/>
      <c r="BL22" s="19">
        <f t="shared" si="43"/>
        <v>0</v>
      </c>
      <c r="BM22" s="20"/>
      <c r="BN22" s="19">
        <f t="shared" si="44"/>
        <v>0</v>
      </c>
      <c r="BO22" s="12">
        <f t="shared" si="3"/>
        <v>0</v>
      </c>
      <c r="BP22" s="19">
        <f t="shared" si="4"/>
        <v>0</v>
      </c>
      <c r="BQ22" s="19">
        <f t="shared" si="5"/>
        <v>0</v>
      </c>
      <c r="BR22" s="19">
        <f t="shared" si="6"/>
        <v>0</v>
      </c>
      <c r="BS22" s="19">
        <f t="shared" si="7"/>
        <v>0</v>
      </c>
      <c r="BT22" s="73"/>
      <c r="BU22" s="80"/>
      <c r="BV22" s="78">
        <f t="shared" si="45"/>
        <v>0</v>
      </c>
      <c r="BW22" s="78"/>
      <c r="BX22" s="78">
        <f t="shared" si="46"/>
        <v>0</v>
      </c>
      <c r="BY22" s="78"/>
      <c r="BZ22" s="93">
        <v>0</v>
      </c>
      <c r="CA22" s="93">
        <v>0</v>
      </c>
      <c r="CB22" s="88"/>
      <c r="CC22" s="80"/>
      <c r="CD22" s="65"/>
      <c r="CE22" s="93">
        <f t="shared" si="48"/>
        <v>0</v>
      </c>
      <c r="CF22" s="93">
        <f t="shared" si="49"/>
        <v>0</v>
      </c>
      <c r="CG22" s="80"/>
      <c r="CH22" s="65"/>
      <c r="CI22" s="93">
        <f t="shared" si="50"/>
        <v>0</v>
      </c>
      <c r="CJ22" s="93">
        <f t="shared" si="51"/>
        <v>0</v>
      </c>
      <c r="CK22" s="93">
        <f t="shared" si="52"/>
        <v>0</v>
      </c>
      <c r="CL22" s="80"/>
      <c r="CM22" s="65"/>
      <c r="CN22" s="93">
        <f t="shared" si="82"/>
        <v>0</v>
      </c>
      <c r="CO22" s="93">
        <f t="shared" si="53"/>
        <v>0</v>
      </c>
      <c r="CP22" s="93">
        <f t="shared" si="54"/>
        <v>0</v>
      </c>
      <c r="CQ22" s="80"/>
      <c r="CR22" s="65"/>
      <c r="CS22" s="93">
        <f t="shared" si="55"/>
        <v>0</v>
      </c>
      <c r="CT22" s="93">
        <f t="shared" si="56"/>
        <v>0</v>
      </c>
      <c r="CU22" s="93">
        <f t="shared" si="57"/>
        <v>0</v>
      </c>
      <c r="CV22" s="93">
        <f t="shared" si="58"/>
        <v>0</v>
      </c>
      <c r="CW22" s="80"/>
      <c r="CX22" s="65"/>
      <c r="CY22" s="93">
        <f t="shared" si="8"/>
        <v>0</v>
      </c>
      <c r="CZ22" s="93">
        <f t="shared" si="9"/>
        <v>0</v>
      </c>
      <c r="DA22" s="93">
        <f t="shared" si="10"/>
        <v>0</v>
      </c>
      <c r="DB22" s="93">
        <f t="shared" si="11"/>
        <v>0</v>
      </c>
      <c r="DC22" s="80"/>
      <c r="DD22" s="65"/>
      <c r="DE22" s="93">
        <f t="shared" si="12"/>
        <v>0</v>
      </c>
      <c r="DF22" s="93">
        <f t="shared" si="13"/>
        <v>0</v>
      </c>
      <c r="DG22" s="93">
        <f t="shared" si="59"/>
        <v>0</v>
      </c>
      <c r="DH22" s="80"/>
      <c r="DI22" s="65"/>
      <c r="DJ22" s="80"/>
      <c r="DK22" s="96"/>
      <c r="DL22" s="93">
        <f t="shared" si="14"/>
        <v>0</v>
      </c>
      <c r="DM22" s="127">
        <f t="shared" si="15"/>
        <v>0</v>
      </c>
      <c r="DN22" s="148">
        <v>0</v>
      </c>
      <c r="DO22" s="22">
        <f t="shared" si="60"/>
        <v>0</v>
      </c>
      <c r="DP22" s="80"/>
      <c r="DQ22" s="145"/>
      <c r="DR22" s="145"/>
      <c r="DS22" s="148">
        <f t="shared" si="92"/>
        <v>0</v>
      </c>
      <c r="DT22" s="24">
        <f t="shared" si="61"/>
        <v>0</v>
      </c>
      <c r="DU22" s="22">
        <f t="shared" si="62"/>
        <v>0</v>
      </c>
      <c r="DV22" s="22">
        <f t="shared" si="63"/>
        <v>0</v>
      </c>
      <c r="DW22" s="22">
        <f t="shared" si="64"/>
        <v>0</v>
      </c>
      <c r="DX22" s="80"/>
      <c r="DY22" s="157"/>
      <c r="DZ22" s="148"/>
      <c r="EA22" s="24">
        <f t="shared" si="93"/>
        <v>0</v>
      </c>
      <c r="EB22" s="22">
        <f t="shared" si="94"/>
        <v>0</v>
      </c>
      <c r="EC22" s="22">
        <f t="shared" si="67"/>
        <v>0</v>
      </c>
      <c r="ED22" s="22">
        <f t="shared" si="68"/>
        <v>0</v>
      </c>
      <c r="EE22" s="22">
        <f t="shared" si="69"/>
        <v>0</v>
      </c>
      <c r="EF22" s="164"/>
      <c r="EG22" s="172"/>
      <c r="EH22" s="148">
        <f t="shared" si="70"/>
        <v>0</v>
      </c>
      <c r="EI22" s="24">
        <f t="shared" si="95"/>
        <v>0</v>
      </c>
      <c r="EJ22" s="22">
        <f t="shared" si="96"/>
        <v>0</v>
      </c>
      <c r="EK22" s="22">
        <f t="shared" si="73"/>
        <v>0</v>
      </c>
      <c r="EL22" s="22">
        <f t="shared" si="74"/>
        <v>0</v>
      </c>
      <c r="EM22" s="22">
        <f t="shared" si="75"/>
        <v>0</v>
      </c>
      <c r="EN22" s="22">
        <f t="shared" si="76"/>
        <v>0</v>
      </c>
      <c r="EO22" s="164"/>
      <c r="EP22" s="145"/>
      <c r="EQ22" s="148"/>
      <c r="ER22" s="148"/>
      <c r="ES22" s="148">
        <f t="shared" si="77"/>
        <v>0</v>
      </c>
      <c r="ET22" s="22">
        <f t="shared" si="78"/>
        <v>0</v>
      </c>
      <c r="EU22" s="22">
        <f t="shared" si="79"/>
        <v>0</v>
      </c>
      <c r="EV22" s="159"/>
      <c r="EW22" s="201"/>
      <c r="EX22" s="148">
        <v>0</v>
      </c>
      <c r="EY22" s="5">
        <f t="shared" si="80"/>
        <v>0</v>
      </c>
      <c r="EZ22" s="80"/>
      <c r="FA22" s="145"/>
      <c r="FB22" s="5">
        <f t="shared" si="0"/>
        <v>0</v>
      </c>
      <c r="FC22" s="5">
        <f t="shared" si="1"/>
        <v>0</v>
      </c>
      <c r="FD22" s="80"/>
    </row>
    <row r="23" spans="1:160" ht="48" x14ac:dyDescent="0.2">
      <c r="A23" s="8" t="s">
        <v>18</v>
      </c>
      <c r="B23" s="9"/>
      <c r="C23" s="26" t="s">
        <v>123</v>
      </c>
      <c r="D23" s="20">
        <v>29668647</v>
      </c>
      <c r="E23" s="20">
        <v>30036166</v>
      </c>
      <c r="F23" s="5">
        <f t="shared" si="17"/>
        <v>367519</v>
      </c>
      <c r="G23" s="22">
        <v>29156340</v>
      </c>
      <c r="H23" s="5">
        <f t="shared" si="18"/>
        <v>-512307</v>
      </c>
      <c r="I23" s="5">
        <f t="shared" si="83"/>
        <v>-879826</v>
      </c>
      <c r="J23" s="31"/>
      <c r="K23" s="19">
        <v>30431340</v>
      </c>
      <c r="L23" s="11">
        <f t="shared" si="19"/>
        <v>762693</v>
      </c>
      <c r="M23" s="11">
        <f t="shared" si="84"/>
        <v>395174</v>
      </c>
      <c r="N23" s="11">
        <f t="shared" si="20"/>
        <v>1275000</v>
      </c>
      <c r="O23" s="19">
        <v>30374160</v>
      </c>
      <c r="P23" s="11">
        <f t="shared" si="21"/>
        <v>705513</v>
      </c>
      <c r="Q23" s="11">
        <f t="shared" si="85"/>
        <v>337994</v>
      </c>
      <c r="R23" s="11">
        <f t="shared" si="22"/>
        <v>-57180</v>
      </c>
      <c r="S23" s="19">
        <f>30374160+100000+500000+250000</f>
        <v>31224160</v>
      </c>
      <c r="T23" s="11">
        <f t="shared" si="23"/>
        <v>1555513</v>
      </c>
      <c r="U23" s="11">
        <f t="shared" si="86"/>
        <v>1187994</v>
      </c>
      <c r="V23" s="11">
        <f t="shared" si="81"/>
        <v>792820</v>
      </c>
      <c r="W23" s="11">
        <f t="shared" si="24"/>
        <v>850000</v>
      </c>
      <c r="X23" s="19">
        <v>31249160</v>
      </c>
      <c r="Y23" s="11">
        <f t="shared" si="87"/>
        <v>1580513</v>
      </c>
      <c r="Z23" s="11">
        <f t="shared" si="88"/>
        <v>1212994</v>
      </c>
      <c r="AA23" s="11">
        <f t="shared" si="25"/>
        <v>817820</v>
      </c>
      <c r="AB23" s="11">
        <f t="shared" si="26"/>
        <v>25000</v>
      </c>
      <c r="AC23" s="19">
        <v>31249160</v>
      </c>
      <c r="AD23" s="11">
        <f t="shared" si="89"/>
        <v>1580513</v>
      </c>
      <c r="AE23" s="11">
        <f t="shared" si="27"/>
        <v>0</v>
      </c>
      <c r="AF23" s="11">
        <f t="shared" si="2"/>
        <v>0</v>
      </c>
      <c r="AG23" s="19">
        <v>31249160</v>
      </c>
      <c r="AH23" s="11">
        <f t="shared" si="90"/>
        <v>1580513</v>
      </c>
      <c r="AI23" s="11"/>
      <c r="AJ23" s="11">
        <f t="shared" si="28"/>
        <v>31249160</v>
      </c>
      <c r="AK23" s="11">
        <f>31160279-31249160</f>
        <v>-88881</v>
      </c>
      <c r="AL23" s="11">
        <v>-500000</v>
      </c>
      <c r="AM23" s="11">
        <v>30660279</v>
      </c>
      <c r="AN23" s="19">
        <v>30274866</v>
      </c>
      <c r="AO23" s="11">
        <f t="shared" si="30"/>
        <v>-385413</v>
      </c>
      <c r="AP23" s="19" t="s">
        <v>154</v>
      </c>
      <c r="AQ23" s="19">
        <v>29093517</v>
      </c>
      <c r="AR23" s="19">
        <f t="shared" si="31"/>
        <v>-1566762</v>
      </c>
      <c r="AS23" s="19">
        <f t="shared" si="32"/>
        <v>-1181349</v>
      </c>
      <c r="AT23" s="19">
        <v>29318517</v>
      </c>
      <c r="AU23" s="19">
        <f t="shared" si="33"/>
        <v>-1341762</v>
      </c>
      <c r="AV23" s="19">
        <f t="shared" si="34"/>
        <v>-956349</v>
      </c>
      <c r="AW23" s="19">
        <f t="shared" si="35"/>
        <v>225000</v>
      </c>
      <c r="AX23" s="19" t="s">
        <v>169</v>
      </c>
      <c r="AY23" s="19">
        <v>30524866</v>
      </c>
      <c r="AZ23" s="19">
        <f t="shared" si="36"/>
        <v>-135413</v>
      </c>
      <c r="BA23" s="19">
        <f t="shared" si="37"/>
        <v>250000</v>
      </c>
      <c r="BB23" s="19">
        <f t="shared" si="38"/>
        <v>1206349</v>
      </c>
      <c r="BC23" s="67" t="s">
        <v>192</v>
      </c>
      <c r="BD23" s="19">
        <f>30524866+500000+50000</f>
        <v>31074866</v>
      </c>
      <c r="BE23" s="19">
        <f t="shared" si="39"/>
        <v>414587</v>
      </c>
      <c r="BF23" s="19">
        <f t="shared" si="40"/>
        <v>800000</v>
      </c>
      <c r="BG23" s="19">
        <f t="shared" si="41"/>
        <v>1756349</v>
      </c>
      <c r="BH23" s="19">
        <f t="shared" si="42"/>
        <v>550000</v>
      </c>
      <c r="BI23" s="73" t="s">
        <v>201</v>
      </c>
      <c r="BJ23" s="19">
        <v>29468517</v>
      </c>
      <c r="BK23" s="12">
        <v>-375000</v>
      </c>
      <c r="BL23" s="19">
        <f t="shared" si="43"/>
        <v>29093517</v>
      </c>
      <c r="BM23" s="20">
        <v>375000</v>
      </c>
      <c r="BN23" s="19">
        <f t="shared" si="44"/>
        <v>29468517</v>
      </c>
      <c r="BO23" s="12">
        <f t="shared" si="3"/>
        <v>-1191762</v>
      </c>
      <c r="BP23" s="19">
        <f t="shared" si="4"/>
        <v>-806349</v>
      </c>
      <c r="BQ23" s="19">
        <f t="shared" si="5"/>
        <v>150000</v>
      </c>
      <c r="BR23" s="19">
        <f t="shared" si="6"/>
        <v>-1606349</v>
      </c>
      <c r="BS23" s="19">
        <f t="shared" si="7"/>
        <v>0</v>
      </c>
      <c r="BT23" s="73" t="s">
        <v>213</v>
      </c>
      <c r="BU23" s="80"/>
      <c r="BV23" s="78">
        <f t="shared" si="45"/>
        <v>29468517</v>
      </c>
      <c r="BW23" s="78">
        <v>-20984</v>
      </c>
      <c r="BX23" s="78">
        <f t="shared" si="46"/>
        <v>29447533</v>
      </c>
      <c r="BY23" s="78">
        <v>-644444</v>
      </c>
      <c r="BZ23" s="93">
        <v>28803089</v>
      </c>
      <c r="CA23" s="93">
        <v>28482377</v>
      </c>
      <c r="CB23" s="88">
        <f t="shared" ref="CB23:CB27" si="97">CA23-BZ23</f>
        <v>-320712</v>
      </c>
      <c r="CC23" s="80" t="s">
        <v>240</v>
      </c>
      <c r="CD23" s="65">
        <v>28482378</v>
      </c>
      <c r="CE23" s="93">
        <f t="shared" si="48"/>
        <v>-320711</v>
      </c>
      <c r="CF23" s="93">
        <f t="shared" si="49"/>
        <v>1</v>
      </c>
      <c r="CG23" s="80" t="s">
        <v>257</v>
      </c>
      <c r="CH23" s="65">
        <f>28482378+200000+300000</f>
        <v>28982378</v>
      </c>
      <c r="CI23" s="93">
        <f t="shared" si="50"/>
        <v>179289</v>
      </c>
      <c r="CJ23" s="93">
        <f t="shared" si="51"/>
        <v>500001</v>
      </c>
      <c r="CK23" s="93">
        <f t="shared" si="52"/>
        <v>500000</v>
      </c>
      <c r="CL23" s="80" t="s">
        <v>275</v>
      </c>
      <c r="CM23" s="65">
        <v>30250000</v>
      </c>
      <c r="CN23" s="93">
        <f t="shared" si="82"/>
        <v>1446911</v>
      </c>
      <c r="CO23" s="93">
        <f t="shared" si="53"/>
        <v>1767623</v>
      </c>
      <c r="CP23" s="93">
        <f t="shared" si="54"/>
        <v>1267622</v>
      </c>
      <c r="CQ23" s="80" t="s">
        <v>322</v>
      </c>
      <c r="CR23" s="65">
        <f>30250000+500000+50000</f>
        <v>30800000</v>
      </c>
      <c r="CS23" s="93">
        <f t="shared" si="55"/>
        <v>1996911</v>
      </c>
      <c r="CT23" s="93">
        <f t="shared" si="56"/>
        <v>2317623</v>
      </c>
      <c r="CU23" s="93">
        <f t="shared" si="57"/>
        <v>1817622</v>
      </c>
      <c r="CV23" s="93">
        <f t="shared" si="58"/>
        <v>550000</v>
      </c>
      <c r="CW23" s="80" t="s">
        <v>344</v>
      </c>
      <c r="CX23" s="65">
        <v>29632378</v>
      </c>
      <c r="CY23" s="93">
        <f t="shared" si="8"/>
        <v>829289</v>
      </c>
      <c r="CZ23" s="93">
        <f t="shared" si="9"/>
        <v>1150001</v>
      </c>
      <c r="DA23" s="93">
        <f t="shared" si="10"/>
        <v>650000</v>
      </c>
      <c r="DB23" s="93">
        <f t="shared" si="11"/>
        <v>-1167622</v>
      </c>
      <c r="DC23" s="80" t="s">
        <v>366</v>
      </c>
      <c r="DD23" s="65">
        <v>28782377</v>
      </c>
      <c r="DE23" s="93">
        <f t="shared" si="12"/>
        <v>-20712</v>
      </c>
      <c r="DF23" s="93">
        <f t="shared" si="13"/>
        <v>300000</v>
      </c>
      <c r="DG23" s="93">
        <f t="shared" si="59"/>
        <v>-850001</v>
      </c>
      <c r="DH23" s="80" t="s">
        <v>377</v>
      </c>
      <c r="DI23" s="65">
        <v>29632378</v>
      </c>
      <c r="DJ23" s="128" t="s">
        <v>366</v>
      </c>
      <c r="DK23" s="130"/>
      <c r="DL23" s="93">
        <f t="shared" si="14"/>
        <v>29632378</v>
      </c>
      <c r="DM23" s="127">
        <f t="shared" si="15"/>
        <v>829289</v>
      </c>
      <c r="DN23" s="148">
        <v>28196421</v>
      </c>
      <c r="DO23" s="22">
        <f t="shared" si="60"/>
        <v>-1435957</v>
      </c>
      <c r="DP23" s="80" t="s">
        <v>400</v>
      </c>
      <c r="DQ23" s="145">
        <v>32582378</v>
      </c>
      <c r="DR23" s="145">
        <v>150000</v>
      </c>
      <c r="DS23" s="148">
        <f t="shared" si="92"/>
        <v>32732378</v>
      </c>
      <c r="DT23" s="24">
        <f t="shared" si="61"/>
        <v>2950000</v>
      </c>
      <c r="DU23" s="22">
        <f t="shared" si="62"/>
        <v>4385957</v>
      </c>
      <c r="DV23" s="22">
        <f t="shared" si="63"/>
        <v>3100000</v>
      </c>
      <c r="DW23" s="22">
        <f t="shared" si="64"/>
        <v>4535957</v>
      </c>
      <c r="DX23" s="80" t="s">
        <v>420</v>
      </c>
      <c r="DY23" s="159" t="s">
        <v>442</v>
      </c>
      <c r="DZ23" s="171">
        <v>31000000</v>
      </c>
      <c r="EA23" s="24" t="e">
        <f t="shared" si="93"/>
        <v>#VALUE!</v>
      </c>
      <c r="EB23" s="22" t="e">
        <f t="shared" si="94"/>
        <v>#VALUE!</v>
      </c>
      <c r="EC23" s="22">
        <f t="shared" si="67"/>
        <v>1367622</v>
      </c>
      <c r="ED23" s="22">
        <f t="shared" si="68"/>
        <v>2803579</v>
      </c>
      <c r="EE23" s="22">
        <f t="shared" si="69"/>
        <v>-1732378</v>
      </c>
      <c r="EF23" s="159" t="s">
        <v>517</v>
      </c>
      <c r="EG23" s="65">
        <f>250000+2000000+100000</f>
        <v>2350000</v>
      </c>
      <c r="EH23" s="148">
        <f t="shared" si="70"/>
        <v>33350000</v>
      </c>
      <c r="EI23" s="24">
        <f t="shared" si="95"/>
        <v>-32732378</v>
      </c>
      <c r="EJ23" s="22" t="e">
        <f t="shared" si="96"/>
        <v>#VALUE!</v>
      </c>
      <c r="EK23" s="22">
        <f t="shared" si="73"/>
        <v>3717622</v>
      </c>
      <c r="EL23" s="22">
        <f t="shared" si="74"/>
        <v>5153579</v>
      </c>
      <c r="EM23" s="22">
        <f t="shared" si="75"/>
        <v>617622</v>
      </c>
      <c r="EN23" s="22">
        <f t="shared" si="76"/>
        <v>2350000</v>
      </c>
      <c r="EO23" s="159" t="s">
        <v>598</v>
      </c>
      <c r="EP23" s="145">
        <v>33350000</v>
      </c>
      <c r="EQ23" s="148">
        <v>33350000</v>
      </c>
      <c r="ER23" s="148"/>
      <c r="ES23" s="148">
        <f t="shared" si="77"/>
        <v>33350000</v>
      </c>
      <c r="ET23" s="22">
        <f t="shared" si="78"/>
        <v>5153579</v>
      </c>
      <c r="EU23" s="22">
        <f t="shared" si="79"/>
        <v>3717622</v>
      </c>
      <c r="EV23" s="159" t="s">
        <v>628</v>
      </c>
      <c r="EW23" s="201" t="s">
        <v>628</v>
      </c>
      <c r="EX23" s="148">
        <v>37618112</v>
      </c>
      <c r="EY23" s="5">
        <f t="shared" si="80"/>
        <v>4268112</v>
      </c>
      <c r="EZ23" s="80" t="s">
        <v>695</v>
      </c>
      <c r="FA23" s="145">
        <v>38100000</v>
      </c>
      <c r="FB23" s="5">
        <f t="shared" si="0"/>
        <v>4750000</v>
      </c>
      <c r="FC23" s="5">
        <f t="shared" si="1"/>
        <v>481888</v>
      </c>
      <c r="FD23" s="205" t="s">
        <v>727</v>
      </c>
    </row>
    <row r="24" spans="1:160" ht="12.75" x14ac:dyDescent="0.2">
      <c r="A24" s="8" t="s">
        <v>4</v>
      </c>
      <c r="B24" s="9"/>
      <c r="C24" s="27" t="s">
        <v>42</v>
      </c>
      <c r="D24" s="20">
        <f>51521000+5000000</f>
        <v>56521000</v>
      </c>
      <c r="E24" s="20">
        <v>51521000</v>
      </c>
      <c r="F24" s="5">
        <f t="shared" si="17"/>
        <v>-5000000</v>
      </c>
      <c r="G24" s="22">
        <v>56521000</v>
      </c>
      <c r="H24" s="5">
        <f t="shared" si="18"/>
        <v>0</v>
      </c>
      <c r="I24" s="5">
        <f t="shared" si="83"/>
        <v>5000000</v>
      </c>
      <c r="J24" s="31"/>
      <c r="K24" s="19">
        <v>56521000</v>
      </c>
      <c r="L24" s="11">
        <f t="shared" si="19"/>
        <v>0</v>
      </c>
      <c r="M24" s="11">
        <f t="shared" si="84"/>
        <v>5000000</v>
      </c>
      <c r="N24" s="11">
        <f t="shared" si="20"/>
        <v>0</v>
      </c>
      <c r="O24" s="19">
        <v>56521000</v>
      </c>
      <c r="P24" s="11">
        <f t="shared" si="21"/>
        <v>0</v>
      </c>
      <c r="Q24" s="11">
        <f t="shared" si="85"/>
        <v>5000000</v>
      </c>
      <c r="R24" s="11">
        <f t="shared" si="22"/>
        <v>0</v>
      </c>
      <c r="S24" s="19">
        <f>56521000+3000000</f>
        <v>59521000</v>
      </c>
      <c r="T24" s="11">
        <f t="shared" si="23"/>
        <v>3000000</v>
      </c>
      <c r="U24" s="11">
        <f t="shared" si="86"/>
        <v>8000000</v>
      </c>
      <c r="V24" s="11">
        <f t="shared" si="81"/>
        <v>3000000</v>
      </c>
      <c r="W24" s="11">
        <f t="shared" si="24"/>
        <v>3000000</v>
      </c>
      <c r="X24" s="19">
        <v>59021000</v>
      </c>
      <c r="Y24" s="11">
        <f t="shared" si="87"/>
        <v>2500000</v>
      </c>
      <c r="Z24" s="11">
        <f t="shared" si="88"/>
        <v>7500000</v>
      </c>
      <c r="AA24" s="11">
        <f t="shared" si="25"/>
        <v>2500000</v>
      </c>
      <c r="AB24" s="11">
        <f t="shared" si="26"/>
        <v>-500000</v>
      </c>
      <c r="AC24" s="19">
        <v>59021000</v>
      </c>
      <c r="AD24" s="11">
        <f t="shared" si="89"/>
        <v>2500000</v>
      </c>
      <c r="AE24" s="11">
        <f t="shared" si="27"/>
        <v>0</v>
      </c>
      <c r="AF24" s="11">
        <f t="shared" si="2"/>
        <v>0</v>
      </c>
      <c r="AG24" s="19">
        <v>59021000</v>
      </c>
      <c r="AH24" s="11">
        <f t="shared" si="90"/>
        <v>2500000</v>
      </c>
      <c r="AI24" s="11"/>
      <c r="AJ24" s="11">
        <f t="shared" si="28"/>
        <v>59021000</v>
      </c>
      <c r="AK24" s="11"/>
      <c r="AL24" s="11"/>
      <c r="AM24" s="11">
        <f t="shared" si="29"/>
        <v>59021000</v>
      </c>
      <c r="AN24" s="19">
        <v>59021000</v>
      </c>
      <c r="AO24" s="11">
        <f t="shared" si="30"/>
        <v>0</v>
      </c>
      <c r="AP24" s="11"/>
      <c r="AQ24" s="19">
        <v>60021000</v>
      </c>
      <c r="AR24" s="19">
        <f t="shared" si="31"/>
        <v>1000000</v>
      </c>
      <c r="AS24" s="19">
        <f t="shared" si="32"/>
        <v>1000000</v>
      </c>
      <c r="AT24" s="19">
        <v>60021000</v>
      </c>
      <c r="AU24" s="19">
        <f t="shared" si="33"/>
        <v>1000000</v>
      </c>
      <c r="AV24" s="19">
        <f t="shared" si="34"/>
        <v>1000000</v>
      </c>
      <c r="AW24" s="19">
        <f t="shared" si="35"/>
        <v>0</v>
      </c>
      <c r="AX24" s="19"/>
      <c r="AY24" s="19">
        <v>59021000</v>
      </c>
      <c r="AZ24" s="19">
        <f t="shared" si="36"/>
        <v>0</v>
      </c>
      <c r="BA24" s="19">
        <f t="shared" si="37"/>
        <v>0</v>
      </c>
      <c r="BB24" s="19">
        <f t="shared" si="38"/>
        <v>-1000000</v>
      </c>
      <c r="BC24" s="66"/>
      <c r="BD24" s="19">
        <v>61021000</v>
      </c>
      <c r="BE24" s="19">
        <f t="shared" si="39"/>
        <v>2000000</v>
      </c>
      <c r="BF24" s="19">
        <f t="shared" si="40"/>
        <v>2000000</v>
      </c>
      <c r="BG24" s="19">
        <f t="shared" si="41"/>
        <v>1000000</v>
      </c>
      <c r="BH24" s="19">
        <f t="shared" si="42"/>
        <v>2000000</v>
      </c>
      <c r="BI24" s="73"/>
      <c r="BJ24" s="19">
        <v>61021000</v>
      </c>
      <c r="BK24" s="12"/>
      <c r="BL24" s="19">
        <f t="shared" si="43"/>
        <v>61021000</v>
      </c>
      <c r="BM24" s="20"/>
      <c r="BN24" s="19">
        <f t="shared" si="44"/>
        <v>61021000</v>
      </c>
      <c r="BO24" s="12">
        <f t="shared" si="3"/>
        <v>2000000</v>
      </c>
      <c r="BP24" s="19">
        <f t="shared" si="4"/>
        <v>2000000</v>
      </c>
      <c r="BQ24" s="19">
        <f t="shared" si="5"/>
        <v>1000000</v>
      </c>
      <c r="BR24" s="19">
        <f t="shared" si="6"/>
        <v>0</v>
      </c>
      <c r="BS24" s="19">
        <f t="shared" si="7"/>
        <v>0</v>
      </c>
      <c r="BT24" s="73"/>
      <c r="BU24" s="80"/>
      <c r="BV24" s="78">
        <f t="shared" si="45"/>
        <v>61021000</v>
      </c>
      <c r="BW24" s="78"/>
      <c r="BX24" s="78">
        <f t="shared" si="46"/>
        <v>61021000</v>
      </c>
      <c r="BY24" s="78"/>
      <c r="BZ24" s="93">
        <v>61021000</v>
      </c>
      <c r="CA24" s="93">
        <v>61021000</v>
      </c>
      <c r="CB24" s="88">
        <f t="shared" si="97"/>
        <v>0</v>
      </c>
      <c r="CC24" s="80"/>
      <c r="CD24" s="65">
        <v>62021000</v>
      </c>
      <c r="CE24" s="93">
        <f t="shared" si="48"/>
        <v>1000000</v>
      </c>
      <c r="CF24" s="93">
        <f t="shared" si="49"/>
        <v>1000000</v>
      </c>
      <c r="CG24" s="80"/>
      <c r="CH24" s="65">
        <v>62021000</v>
      </c>
      <c r="CI24" s="93">
        <f t="shared" si="50"/>
        <v>1000000</v>
      </c>
      <c r="CJ24" s="93">
        <f t="shared" si="51"/>
        <v>1000000</v>
      </c>
      <c r="CK24" s="93">
        <f t="shared" si="52"/>
        <v>0</v>
      </c>
      <c r="CL24" s="80"/>
      <c r="CM24" s="65">
        <v>61021000</v>
      </c>
      <c r="CN24" s="93">
        <f t="shared" si="82"/>
        <v>0</v>
      </c>
      <c r="CO24" s="93">
        <f t="shared" si="53"/>
        <v>0</v>
      </c>
      <c r="CP24" s="93">
        <f t="shared" si="54"/>
        <v>-1000000</v>
      </c>
      <c r="CQ24" s="80"/>
      <c r="CR24" s="65">
        <v>61021000</v>
      </c>
      <c r="CS24" s="93">
        <f t="shared" si="55"/>
        <v>0</v>
      </c>
      <c r="CT24" s="93">
        <f t="shared" si="56"/>
        <v>0</v>
      </c>
      <c r="CU24" s="93">
        <f t="shared" si="57"/>
        <v>-1000000</v>
      </c>
      <c r="CV24" s="93">
        <f t="shared" si="58"/>
        <v>0</v>
      </c>
      <c r="CW24" s="80"/>
      <c r="CX24" s="65">
        <v>61521000</v>
      </c>
      <c r="CY24" s="93">
        <f t="shared" si="8"/>
        <v>500000</v>
      </c>
      <c r="CZ24" s="93">
        <f t="shared" si="9"/>
        <v>500000</v>
      </c>
      <c r="DA24" s="93">
        <f t="shared" si="10"/>
        <v>-500000</v>
      </c>
      <c r="DB24" s="93">
        <f t="shared" si="11"/>
        <v>500000</v>
      </c>
      <c r="DC24" s="80"/>
      <c r="DD24" s="65">
        <v>61521000</v>
      </c>
      <c r="DE24" s="93">
        <f t="shared" si="12"/>
        <v>500000</v>
      </c>
      <c r="DF24" s="93">
        <f t="shared" si="13"/>
        <v>500000</v>
      </c>
      <c r="DG24" s="93">
        <f t="shared" si="59"/>
        <v>0</v>
      </c>
      <c r="DH24" s="80"/>
      <c r="DI24" s="65">
        <v>61521000</v>
      </c>
      <c r="DJ24" s="80"/>
      <c r="DK24" s="96"/>
      <c r="DL24" s="93">
        <f t="shared" si="14"/>
        <v>61521000</v>
      </c>
      <c r="DM24" s="127">
        <f t="shared" si="15"/>
        <v>500000</v>
      </c>
      <c r="DN24" s="148">
        <v>61521000</v>
      </c>
      <c r="DO24" s="22">
        <f t="shared" si="60"/>
        <v>0</v>
      </c>
      <c r="DP24" s="80"/>
      <c r="DQ24" s="145">
        <v>62521000</v>
      </c>
      <c r="DR24" s="145">
        <v>1000000</v>
      </c>
      <c r="DS24" s="148">
        <f t="shared" si="92"/>
        <v>63521000</v>
      </c>
      <c r="DT24" s="24">
        <f t="shared" si="61"/>
        <v>1000000</v>
      </c>
      <c r="DU24" s="22">
        <f t="shared" si="62"/>
        <v>1000000</v>
      </c>
      <c r="DV24" s="22">
        <f t="shared" si="63"/>
        <v>2000000</v>
      </c>
      <c r="DW24" s="22">
        <f t="shared" si="64"/>
        <v>2000000</v>
      </c>
      <c r="DX24" s="80"/>
      <c r="DY24" s="157"/>
      <c r="DZ24" s="148">
        <v>62521000</v>
      </c>
      <c r="EA24" s="24">
        <f t="shared" si="93"/>
        <v>-63521000</v>
      </c>
      <c r="EB24" s="22">
        <f t="shared" si="94"/>
        <v>-1000000</v>
      </c>
      <c r="EC24" s="22">
        <f t="shared" si="67"/>
        <v>1000000</v>
      </c>
      <c r="ED24" s="22">
        <f t="shared" si="68"/>
        <v>1000000</v>
      </c>
      <c r="EE24" s="22">
        <f t="shared" si="69"/>
        <v>-1000000</v>
      </c>
      <c r="EF24" s="164"/>
      <c r="EG24" s="172">
        <f>68878679-62521000</f>
        <v>6357679</v>
      </c>
      <c r="EH24" s="148">
        <f t="shared" si="70"/>
        <v>68878679</v>
      </c>
      <c r="EI24" s="24">
        <f t="shared" si="95"/>
        <v>-63521000</v>
      </c>
      <c r="EJ24" s="22">
        <f t="shared" si="96"/>
        <v>0</v>
      </c>
      <c r="EK24" s="22">
        <f t="shared" si="73"/>
        <v>7357679</v>
      </c>
      <c r="EL24" s="22">
        <f t="shared" si="74"/>
        <v>7357679</v>
      </c>
      <c r="EM24" s="22">
        <f t="shared" si="75"/>
        <v>5357679</v>
      </c>
      <c r="EN24" s="22">
        <f t="shared" si="76"/>
        <v>6357679</v>
      </c>
      <c r="EO24" s="159" t="s">
        <v>581</v>
      </c>
      <c r="EP24" s="145">
        <v>68878679</v>
      </c>
      <c r="EQ24" s="148">
        <v>68878679</v>
      </c>
      <c r="ER24" s="148"/>
      <c r="ES24" s="148">
        <f t="shared" si="77"/>
        <v>68878679</v>
      </c>
      <c r="ET24" s="22">
        <f t="shared" si="78"/>
        <v>7357679</v>
      </c>
      <c r="EU24" s="22">
        <f t="shared" si="79"/>
        <v>7357679</v>
      </c>
      <c r="EV24" s="159"/>
      <c r="EW24" s="201"/>
      <c r="EX24" s="148">
        <v>68878679</v>
      </c>
      <c r="EY24" s="5">
        <f t="shared" si="80"/>
        <v>0</v>
      </c>
      <c r="EZ24" s="80"/>
      <c r="FA24" s="145">
        <v>73856506</v>
      </c>
      <c r="FB24" s="5">
        <f t="shared" si="0"/>
        <v>4977827</v>
      </c>
      <c r="FC24" s="5">
        <f t="shared" si="1"/>
        <v>4977827</v>
      </c>
      <c r="FD24" s="80"/>
    </row>
    <row r="25" spans="1:160" ht="25.5" customHeight="1" x14ac:dyDescent="0.2">
      <c r="A25" s="8" t="s">
        <v>27</v>
      </c>
      <c r="B25" s="9"/>
      <c r="C25" s="26" t="s">
        <v>86</v>
      </c>
      <c r="D25" s="20">
        <v>0</v>
      </c>
      <c r="E25" s="20">
        <v>0</v>
      </c>
      <c r="F25" s="5">
        <f t="shared" si="17"/>
        <v>0</v>
      </c>
      <c r="G25" s="22">
        <v>0</v>
      </c>
      <c r="H25" s="5">
        <f t="shared" si="18"/>
        <v>0</v>
      </c>
      <c r="I25" s="5">
        <f t="shared" si="83"/>
        <v>0</v>
      </c>
      <c r="J25" s="31"/>
      <c r="K25" s="19"/>
      <c r="L25" s="11">
        <f t="shared" si="19"/>
        <v>0</v>
      </c>
      <c r="M25" s="11">
        <f t="shared" si="84"/>
        <v>0</v>
      </c>
      <c r="N25" s="11">
        <f t="shared" si="20"/>
        <v>0</v>
      </c>
      <c r="O25" s="19">
        <v>2244847</v>
      </c>
      <c r="P25" s="11">
        <f t="shared" si="21"/>
        <v>2244847</v>
      </c>
      <c r="Q25" s="11">
        <f t="shared" si="85"/>
        <v>2244847</v>
      </c>
      <c r="R25" s="11">
        <f t="shared" si="22"/>
        <v>2244847</v>
      </c>
      <c r="S25" s="19">
        <v>2244847</v>
      </c>
      <c r="T25" s="11">
        <f t="shared" si="23"/>
        <v>2244847</v>
      </c>
      <c r="U25" s="11">
        <f t="shared" si="86"/>
        <v>2244847</v>
      </c>
      <c r="V25" s="11">
        <f t="shared" si="81"/>
        <v>2244847</v>
      </c>
      <c r="W25" s="11">
        <f t="shared" si="24"/>
        <v>0</v>
      </c>
      <c r="X25" s="19">
        <v>1750000</v>
      </c>
      <c r="Y25" s="11">
        <f t="shared" si="87"/>
        <v>1750000</v>
      </c>
      <c r="Z25" s="11">
        <f t="shared" si="88"/>
        <v>1750000</v>
      </c>
      <c r="AA25" s="11">
        <f t="shared" si="25"/>
        <v>1750000</v>
      </c>
      <c r="AB25" s="11">
        <f t="shared" si="26"/>
        <v>-494847</v>
      </c>
      <c r="AC25" s="19">
        <v>1750000</v>
      </c>
      <c r="AD25" s="11">
        <f t="shared" si="89"/>
        <v>1750000</v>
      </c>
      <c r="AE25" s="11">
        <f t="shared" si="27"/>
        <v>0</v>
      </c>
      <c r="AF25" s="11">
        <f t="shared" si="2"/>
        <v>0</v>
      </c>
      <c r="AG25" s="19">
        <v>1750000</v>
      </c>
      <c r="AH25" s="11">
        <f t="shared" si="90"/>
        <v>1750000</v>
      </c>
      <c r="AI25" s="11"/>
      <c r="AJ25" s="11">
        <f t="shared" si="28"/>
        <v>1750000</v>
      </c>
      <c r="AK25" s="11"/>
      <c r="AL25" s="11"/>
      <c r="AM25" s="11">
        <f t="shared" si="29"/>
        <v>1750000</v>
      </c>
      <c r="AN25" s="19">
        <v>1750000</v>
      </c>
      <c r="AO25" s="11">
        <f t="shared" si="30"/>
        <v>0</v>
      </c>
      <c r="AP25" s="11"/>
      <c r="AQ25" s="19">
        <v>0</v>
      </c>
      <c r="AR25" s="19">
        <f t="shared" si="31"/>
        <v>-1750000</v>
      </c>
      <c r="AS25" s="19">
        <f t="shared" si="32"/>
        <v>-1750000</v>
      </c>
      <c r="AT25" s="19">
        <v>250000</v>
      </c>
      <c r="AU25" s="19">
        <f t="shared" si="33"/>
        <v>-1500000</v>
      </c>
      <c r="AV25" s="19">
        <f t="shared" si="34"/>
        <v>-1500000</v>
      </c>
      <c r="AW25" s="19">
        <f t="shared" si="35"/>
        <v>250000</v>
      </c>
      <c r="AX25" s="19"/>
      <c r="AY25" s="19">
        <v>1750000</v>
      </c>
      <c r="AZ25" s="19">
        <f t="shared" si="36"/>
        <v>0</v>
      </c>
      <c r="BA25" s="19">
        <f t="shared" si="37"/>
        <v>0</v>
      </c>
      <c r="BB25" s="19">
        <f t="shared" si="38"/>
        <v>1500000</v>
      </c>
      <c r="BC25" s="66"/>
      <c r="BD25" s="19">
        <v>1750000</v>
      </c>
      <c r="BE25" s="19">
        <f t="shared" si="39"/>
        <v>0</v>
      </c>
      <c r="BF25" s="19">
        <f t="shared" si="40"/>
        <v>0</v>
      </c>
      <c r="BG25" s="19">
        <f t="shared" si="41"/>
        <v>1500000</v>
      </c>
      <c r="BH25" s="19">
        <f t="shared" si="42"/>
        <v>0</v>
      </c>
      <c r="BI25" s="73"/>
      <c r="BJ25" s="19">
        <v>250000</v>
      </c>
      <c r="BK25" s="12"/>
      <c r="BL25" s="19">
        <f t="shared" si="43"/>
        <v>250000</v>
      </c>
      <c r="BM25" s="20"/>
      <c r="BN25" s="19">
        <f t="shared" si="44"/>
        <v>250000</v>
      </c>
      <c r="BO25" s="12">
        <f t="shared" si="3"/>
        <v>-1500000</v>
      </c>
      <c r="BP25" s="19">
        <f t="shared" si="4"/>
        <v>-1500000</v>
      </c>
      <c r="BQ25" s="19">
        <f t="shared" si="5"/>
        <v>0</v>
      </c>
      <c r="BR25" s="19">
        <f t="shared" si="6"/>
        <v>-1500000</v>
      </c>
      <c r="BS25" s="19">
        <f t="shared" si="7"/>
        <v>0</v>
      </c>
      <c r="BT25" s="73"/>
      <c r="BU25" s="80"/>
      <c r="BV25" s="78">
        <f t="shared" si="45"/>
        <v>250000</v>
      </c>
      <c r="BW25" s="78"/>
      <c r="BX25" s="78">
        <f t="shared" si="46"/>
        <v>250000</v>
      </c>
      <c r="BY25" s="78"/>
      <c r="BZ25" s="93">
        <v>250000</v>
      </c>
      <c r="CA25" s="93">
        <v>250000</v>
      </c>
      <c r="CB25" s="88">
        <f t="shared" si="97"/>
        <v>0</v>
      </c>
      <c r="CC25" s="80"/>
      <c r="CD25" s="65">
        <v>250000</v>
      </c>
      <c r="CE25" s="93">
        <f t="shared" si="48"/>
        <v>0</v>
      </c>
      <c r="CF25" s="93">
        <f t="shared" si="49"/>
        <v>0</v>
      </c>
      <c r="CG25" s="80"/>
      <c r="CH25" s="65">
        <v>250000</v>
      </c>
      <c r="CI25" s="93">
        <f t="shared" si="50"/>
        <v>0</v>
      </c>
      <c r="CJ25" s="93">
        <f t="shared" si="51"/>
        <v>0</v>
      </c>
      <c r="CK25" s="93">
        <f t="shared" si="52"/>
        <v>0</v>
      </c>
      <c r="CL25" s="80"/>
      <c r="CM25" s="65">
        <v>250000</v>
      </c>
      <c r="CN25" s="93">
        <f t="shared" si="82"/>
        <v>0</v>
      </c>
      <c r="CO25" s="93">
        <f t="shared" si="53"/>
        <v>0</v>
      </c>
      <c r="CP25" s="93">
        <f t="shared" si="54"/>
        <v>0</v>
      </c>
      <c r="CQ25" s="80"/>
      <c r="CR25" s="65">
        <v>250000</v>
      </c>
      <c r="CS25" s="93">
        <f t="shared" si="55"/>
        <v>0</v>
      </c>
      <c r="CT25" s="93">
        <f t="shared" si="56"/>
        <v>0</v>
      </c>
      <c r="CU25" s="93">
        <f t="shared" si="57"/>
        <v>0</v>
      </c>
      <c r="CV25" s="93">
        <f t="shared" si="58"/>
        <v>0</v>
      </c>
      <c r="CW25" s="80"/>
      <c r="CX25" s="65">
        <v>242500</v>
      </c>
      <c r="CY25" s="93">
        <f t="shared" si="8"/>
        <v>-7500</v>
      </c>
      <c r="CZ25" s="93">
        <f t="shared" si="9"/>
        <v>-7500</v>
      </c>
      <c r="DA25" s="93">
        <f t="shared" si="10"/>
        <v>-7500</v>
      </c>
      <c r="DB25" s="93">
        <f t="shared" si="11"/>
        <v>-7500</v>
      </c>
      <c r="DC25" s="80"/>
      <c r="DD25" s="65">
        <v>242500</v>
      </c>
      <c r="DE25" s="93">
        <f t="shared" si="12"/>
        <v>-7500</v>
      </c>
      <c r="DF25" s="93">
        <f t="shared" si="13"/>
        <v>-7500</v>
      </c>
      <c r="DG25" s="93">
        <f t="shared" si="59"/>
        <v>0</v>
      </c>
      <c r="DH25" s="80"/>
      <c r="DI25" s="65">
        <v>242500</v>
      </c>
      <c r="DJ25" s="80"/>
      <c r="DK25" s="96"/>
      <c r="DL25" s="93">
        <f t="shared" si="14"/>
        <v>242500</v>
      </c>
      <c r="DM25" s="127">
        <f t="shared" si="15"/>
        <v>-7500</v>
      </c>
      <c r="DN25" s="148">
        <v>242500</v>
      </c>
      <c r="DO25" s="22">
        <f t="shared" si="60"/>
        <v>0</v>
      </c>
      <c r="DP25" s="80"/>
      <c r="DQ25" s="145">
        <v>0</v>
      </c>
      <c r="DR25" s="145"/>
      <c r="DS25" s="148">
        <f t="shared" si="92"/>
        <v>0</v>
      </c>
      <c r="DT25" s="24">
        <f t="shared" si="61"/>
        <v>-242500</v>
      </c>
      <c r="DU25" s="22">
        <f t="shared" si="62"/>
        <v>-242500</v>
      </c>
      <c r="DV25" s="22">
        <f t="shared" si="63"/>
        <v>-242500</v>
      </c>
      <c r="DW25" s="22">
        <f t="shared" si="64"/>
        <v>-242500</v>
      </c>
      <c r="DX25" s="80"/>
      <c r="DY25" s="157"/>
      <c r="DZ25" s="148">
        <v>250000</v>
      </c>
      <c r="EA25" s="24">
        <f t="shared" si="93"/>
        <v>0</v>
      </c>
      <c r="EB25" s="22">
        <f t="shared" si="94"/>
        <v>242500</v>
      </c>
      <c r="EC25" s="22">
        <f t="shared" si="67"/>
        <v>7500</v>
      </c>
      <c r="ED25" s="22">
        <f t="shared" si="68"/>
        <v>7500</v>
      </c>
      <c r="EE25" s="22">
        <f t="shared" si="69"/>
        <v>250000</v>
      </c>
      <c r="EF25" s="164"/>
      <c r="EG25" s="172"/>
      <c r="EH25" s="148">
        <f t="shared" si="70"/>
        <v>250000</v>
      </c>
      <c r="EI25" s="24">
        <f t="shared" si="95"/>
        <v>0</v>
      </c>
      <c r="EJ25" s="22">
        <f t="shared" si="96"/>
        <v>7500</v>
      </c>
      <c r="EK25" s="22">
        <f t="shared" si="73"/>
        <v>7500</v>
      </c>
      <c r="EL25" s="22">
        <f t="shared" si="74"/>
        <v>7500</v>
      </c>
      <c r="EM25" s="22">
        <f t="shared" si="75"/>
        <v>250000</v>
      </c>
      <c r="EN25" s="22">
        <f t="shared" si="76"/>
        <v>0</v>
      </c>
      <c r="EO25" s="164"/>
      <c r="EP25" s="145">
        <v>250000</v>
      </c>
      <c r="EQ25" s="148">
        <v>250000</v>
      </c>
      <c r="ER25" s="148"/>
      <c r="ES25" s="148">
        <f t="shared" si="77"/>
        <v>250000</v>
      </c>
      <c r="ET25" s="22">
        <f t="shared" si="78"/>
        <v>7500</v>
      </c>
      <c r="EU25" s="22">
        <f t="shared" si="79"/>
        <v>7500</v>
      </c>
      <c r="EV25" s="159"/>
      <c r="EW25" s="201"/>
      <c r="EX25" s="148">
        <v>250000</v>
      </c>
      <c r="EY25" s="5">
        <f t="shared" si="80"/>
        <v>0</v>
      </c>
      <c r="EZ25" s="80"/>
      <c r="FA25" s="208">
        <v>0</v>
      </c>
      <c r="FB25" s="5">
        <f t="shared" si="0"/>
        <v>-250000</v>
      </c>
      <c r="FC25" s="5">
        <f t="shared" si="1"/>
        <v>-250000</v>
      </c>
      <c r="FD25" s="80" t="s">
        <v>690</v>
      </c>
    </row>
    <row r="26" spans="1:160" ht="25.5" x14ac:dyDescent="0.2">
      <c r="A26" s="21" t="s">
        <v>84</v>
      </c>
      <c r="B26" s="9"/>
      <c r="C26" s="27" t="s">
        <v>66</v>
      </c>
      <c r="D26" s="20">
        <v>7350000</v>
      </c>
      <c r="E26" s="20">
        <v>8350000</v>
      </c>
      <c r="F26" s="5">
        <f t="shared" si="17"/>
        <v>1000000</v>
      </c>
      <c r="G26" s="22">
        <v>8350000</v>
      </c>
      <c r="H26" s="5">
        <f t="shared" si="18"/>
        <v>1000000</v>
      </c>
      <c r="I26" s="5">
        <f t="shared" si="83"/>
        <v>0</v>
      </c>
      <c r="J26" s="31"/>
      <c r="K26" s="19">
        <v>8350000</v>
      </c>
      <c r="L26" s="11">
        <f t="shared" si="19"/>
        <v>1000000</v>
      </c>
      <c r="M26" s="11">
        <f t="shared" si="84"/>
        <v>0</v>
      </c>
      <c r="N26" s="11">
        <f t="shared" si="20"/>
        <v>0</v>
      </c>
      <c r="O26" s="19">
        <v>7350000</v>
      </c>
      <c r="P26" s="11">
        <f t="shared" si="21"/>
        <v>0</v>
      </c>
      <c r="Q26" s="11">
        <f t="shared" si="85"/>
        <v>-1000000</v>
      </c>
      <c r="R26" s="11">
        <f t="shared" si="22"/>
        <v>-1000000</v>
      </c>
      <c r="S26" s="19">
        <f>7350000+1000000</f>
        <v>8350000</v>
      </c>
      <c r="T26" s="11">
        <f t="shared" si="23"/>
        <v>1000000</v>
      </c>
      <c r="U26" s="11">
        <f t="shared" si="86"/>
        <v>0</v>
      </c>
      <c r="V26" s="11">
        <f t="shared" si="81"/>
        <v>0</v>
      </c>
      <c r="W26" s="11">
        <f t="shared" si="24"/>
        <v>1000000</v>
      </c>
      <c r="X26" s="19">
        <f>7350000+1000000</f>
        <v>8350000</v>
      </c>
      <c r="Y26" s="11">
        <f t="shared" si="87"/>
        <v>1000000</v>
      </c>
      <c r="Z26" s="11">
        <f t="shared" si="88"/>
        <v>0</v>
      </c>
      <c r="AA26" s="11">
        <f t="shared" si="25"/>
        <v>0</v>
      </c>
      <c r="AB26" s="11">
        <f t="shared" si="26"/>
        <v>0</v>
      </c>
      <c r="AC26" s="19">
        <f>7350000+1000000</f>
        <v>8350000</v>
      </c>
      <c r="AD26" s="11">
        <f t="shared" si="89"/>
        <v>1000000</v>
      </c>
      <c r="AE26" s="11">
        <f t="shared" si="27"/>
        <v>0</v>
      </c>
      <c r="AF26" s="11">
        <f t="shared" si="2"/>
        <v>0</v>
      </c>
      <c r="AG26" s="19">
        <f>7350000+1000000</f>
        <v>8350000</v>
      </c>
      <c r="AH26" s="11">
        <f t="shared" si="90"/>
        <v>1000000</v>
      </c>
      <c r="AI26" s="11"/>
      <c r="AJ26" s="11">
        <f t="shared" si="28"/>
        <v>8350000</v>
      </c>
      <c r="AK26" s="11"/>
      <c r="AL26" s="11"/>
      <c r="AM26" s="11">
        <f t="shared" si="29"/>
        <v>8350000</v>
      </c>
      <c r="AN26" s="19">
        <v>8350000</v>
      </c>
      <c r="AO26" s="11">
        <f t="shared" si="30"/>
        <v>0</v>
      </c>
      <c r="AP26" s="11"/>
      <c r="AQ26" s="19">
        <v>8350000</v>
      </c>
      <c r="AR26" s="19">
        <f t="shared" si="31"/>
        <v>0</v>
      </c>
      <c r="AS26" s="19">
        <f t="shared" si="32"/>
        <v>0</v>
      </c>
      <c r="AT26" s="19">
        <v>8350000</v>
      </c>
      <c r="AU26" s="19">
        <f t="shared" si="33"/>
        <v>0</v>
      </c>
      <c r="AV26" s="19">
        <f t="shared" si="34"/>
        <v>0</v>
      </c>
      <c r="AW26" s="19">
        <f t="shared" si="35"/>
        <v>0</v>
      </c>
      <c r="AX26" s="19"/>
      <c r="AY26" s="19">
        <v>8350000</v>
      </c>
      <c r="AZ26" s="19">
        <f t="shared" si="36"/>
        <v>0</v>
      </c>
      <c r="BA26" s="19">
        <f t="shared" si="37"/>
        <v>0</v>
      </c>
      <c r="BB26" s="19">
        <f t="shared" si="38"/>
        <v>0</v>
      </c>
      <c r="BC26" s="66"/>
      <c r="BD26" s="19">
        <v>8350000</v>
      </c>
      <c r="BE26" s="19">
        <f t="shared" si="39"/>
        <v>0</v>
      </c>
      <c r="BF26" s="19">
        <f t="shared" si="40"/>
        <v>0</v>
      </c>
      <c r="BG26" s="19">
        <f t="shared" si="41"/>
        <v>0</v>
      </c>
      <c r="BH26" s="19">
        <f t="shared" si="42"/>
        <v>0</v>
      </c>
      <c r="BI26" s="73"/>
      <c r="BJ26" s="19">
        <v>8350000</v>
      </c>
      <c r="BK26" s="12"/>
      <c r="BL26" s="19">
        <f t="shared" si="43"/>
        <v>8350000</v>
      </c>
      <c r="BM26" s="20"/>
      <c r="BN26" s="19">
        <f t="shared" si="44"/>
        <v>8350000</v>
      </c>
      <c r="BO26" s="12">
        <f t="shared" si="3"/>
        <v>0</v>
      </c>
      <c r="BP26" s="19">
        <f t="shared" si="4"/>
        <v>0</v>
      </c>
      <c r="BQ26" s="19">
        <f t="shared" si="5"/>
        <v>0</v>
      </c>
      <c r="BR26" s="19">
        <f t="shared" si="6"/>
        <v>0</v>
      </c>
      <c r="BS26" s="19">
        <f t="shared" si="7"/>
        <v>0</v>
      </c>
      <c r="BT26" s="73"/>
      <c r="BU26" s="80"/>
      <c r="BV26" s="78">
        <f t="shared" si="45"/>
        <v>8350000</v>
      </c>
      <c r="BW26" s="78"/>
      <c r="BX26" s="78">
        <f t="shared" si="46"/>
        <v>8350000</v>
      </c>
      <c r="BY26" s="78"/>
      <c r="BZ26" s="93">
        <v>8350000</v>
      </c>
      <c r="CA26" s="93">
        <v>8350000</v>
      </c>
      <c r="CB26" s="88">
        <f t="shared" si="97"/>
        <v>0</v>
      </c>
      <c r="CC26" s="80"/>
      <c r="CD26" s="65">
        <v>8350000</v>
      </c>
      <c r="CE26" s="93">
        <f t="shared" si="48"/>
        <v>0</v>
      </c>
      <c r="CF26" s="93">
        <f t="shared" si="49"/>
        <v>0</v>
      </c>
      <c r="CG26" s="80"/>
      <c r="CH26" s="65">
        <v>8350000</v>
      </c>
      <c r="CI26" s="93">
        <f t="shared" si="50"/>
        <v>0</v>
      </c>
      <c r="CJ26" s="93">
        <f t="shared" si="51"/>
        <v>0</v>
      </c>
      <c r="CK26" s="93">
        <f t="shared" si="52"/>
        <v>0</v>
      </c>
      <c r="CL26" s="80"/>
      <c r="CM26" s="65">
        <v>8350000</v>
      </c>
      <c r="CN26" s="93">
        <f t="shared" si="82"/>
        <v>0</v>
      </c>
      <c r="CO26" s="93">
        <f t="shared" si="53"/>
        <v>0</v>
      </c>
      <c r="CP26" s="93">
        <f t="shared" si="54"/>
        <v>0</v>
      </c>
      <c r="CQ26" s="80"/>
      <c r="CR26" s="65">
        <v>8350000</v>
      </c>
      <c r="CS26" s="93">
        <f t="shared" si="55"/>
        <v>0</v>
      </c>
      <c r="CT26" s="93">
        <f t="shared" si="56"/>
        <v>0</v>
      </c>
      <c r="CU26" s="93">
        <f t="shared" si="57"/>
        <v>0</v>
      </c>
      <c r="CV26" s="93">
        <f t="shared" si="58"/>
        <v>0</v>
      </c>
      <c r="CW26" s="80"/>
      <c r="CX26" s="65">
        <v>8099500</v>
      </c>
      <c r="CY26" s="93">
        <f t="shared" si="8"/>
        <v>-250500</v>
      </c>
      <c r="CZ26" s="93">
        <f t="shared" si="9"/>
        <v>-250500</v>
      </c>
      <c r="DA26" s="93">
        <f t="shared" si="10"/>
        <v>-250500</v>
      </c>
      <c r="DB26" s="93">
        <f t="shared" si="11"/>
        <v>-250500</v>
      </c>
      <c r="DC26" s="80"/>
      <c r="DD26" s="65">
        <v>8099500</v>
      </c>
      <c r="DE26" s="93">
        <f t="shared" si="12"/>
        <v>-250500</v>
      </c>
      <c r="DF26" s="93">
        <f t="shared" si="13"/>
        <v>-250500</v>
      </c>
      <c r="DG26" s="93">
        <f t="shared" si="59"/>
        <v>0</v>
      </c>
      <c r="DH26" s="80"/>
      <c r="DI26" s="65">
        <v>8099500</v>
      </c>
      <c r="DJ26" s="80"/>
      <c r="DK26" s="96"/>
      <c r="DL26" s="93">
        <f t="shared" si="14"/>
        <v>8099500</v>
      </c>
      <c r="DM26" s="127">
        <f t="shared" si="15"/>
        <v>-250500</v>
      </c>
      <c r="DN26" s="148">
        <v>8099500</v>
      </c>
      <c r="DO26" s="22">
        <f t="shared" si="60"/>
        <v>0</v>
      </c>
      <c r="DP26" s="80"/>
      <c r="DQ26" s="145">
        <v>9099500</v>
      </c>
      <c r="DR26" s="145"/>
      <c r="DS26" s="148">
        <f t="shared" si="92"/>
        <v>9099500</v>
      </c>
      <c r="DT26" s="24">
        <f t="shared" si="61"/>
        <v>1000000</v>
      </c>
      <c r="DU26" s="22">
        <f t="shared" si="62"/>
        <v>1000000</v>
      </c>
      <c r="DV26" s="22">
        <f t="shared" si="63"/>
        <v>1000000</v>
      </c>
      <c r="DW26" s="22">
        <f t="shared" si="64"/>
        <v>1000000</v>
      </c>
      <c r="DX26" s="80"/>
      <c r="DY26" s="157"/>
      <c r="DZ26" s="148">
        <v>8099500</v>
      </c>
      <c r="EA26" s="24">
        <f t="shared" si="93"/>
        <v>-9099500</v>
      </c>
      <c r="EB26" s="22">
        <f t="shared" si="94"/>
        <v>-1000000</v>
      </c>
      <c r="EC26" s="22">
        <f t="shared" si="67"/>
        <v>0</v>
      </c>
      <c r="ED26" s="22">
        <f t="shared" si="68"/>
        <v>0</v>
      </c>
      <c r="EE26" s="22">
        <f t="shared" si="69"/>
        <v>-1000000</v>
      </c>
      <c r="EF26" s="164"/>
      <c r="EG26" s="172"/>
      <c r="EH26" s="148">
        <f t="shared" si="70"/>
        <v>8099500</v>
      </c>
      <c r="EI26" s="24">
        <f t="shared" si="95"/>
        <v>-9099500</v>
      </c>
      <c r="EJ26" s="22">
        <f t="shared" si="96"/>
        <v>0</v>
      </c>
      <c r="EK26" s="22">
        <f t="shared" si="73"/>
        <v>0</v>
      </c>
      <c r="EL26" s="22">
        <f t="shared" si="74"/>
        <v>0</v>
      </c>
      <c r="EM26" s="22">
        <f t="shared" si="75"/>
        <v>-1000000</v>
      </c>
      <c r="EN26" s="22">
        <f t="shared" si="76"/>
        <v>0</v>
      </c>
      <c r="EO26" s="164"/>
      <c r="EP26" s="145">
        <v>9099500</v>
      </c>
      <c r="EQ26" s="148">
        <v>9099500</v>
      </c>
      <c r="ER26" s="148"/>
      <c r="ES26" s="148">
        <f t="shared" si="77"/>
        <v>9099500</v>
      </c>
      <c r="ET26" s="22">
        <f t="shared" si="78"/>
        <v>1000000</v>
      </c>
      <c r="EU26" s="22">
        <f t="shared" si="79"/>
        <v>1000000</v>
      </c>
      <c r="EV26" s="159"/>
      <c r="EW26" s="201"/>
      <c r="EX26" s="148">
        <v>9099500</v>
      </c>
      <c r="EY26" s="5">
        <f t="shared" si="80"/>
        <v>0</v>
      </c>
      <c r="EZ26" s="80"/>
      <c r="FA26" s="145">
        <v>10099500</v>
      </c>
      <c r="FB26" s="5">
        <f t="shared" si="0"/>
        <v>1000000</v>
      </c>
      <c r="FC26" s="5">
        <f t="shared" si="1"/>
        <v>1000000</v>
      </c>
      <c r="FD26" s="80"/>
    </row>
    <row r="27" spans="1:160" ht="13.5" customHeight="1" x14ac:dyDescent="0.2">
      <c r="A27" s="8" t="s">
        <v>64</v>
      </c>
      <c r="B27" s="9"/>
      <c r="C27" s="27" t="s">
        <v>76</v>
      </c>
      <c r="D27" s="20">
        <v>2553197</v>
      </c>
      <c r="E27" s="20">
        <v>2553197</v>
      </c>
      <c r="F27" s="5">
        <f t="shared" si="17"/>
        <v>0</v>
      </c>
      <c r="G27" s="22">
        <v>2553197</v>
      </c>
      <c r="H27" s="5">
        <f t="shared" si="18"/>
        <v>0</v>
      </c>
      <c r="I27" s="5">
        <f t="shared" si="83"/>
        <v>0</v>
      </c>
      <c r="J27" s="29" t="s">
        <v>118</v>
      </c>
      <c r="K27" s="19">
        <v>2700000</v>
      </c>
      <c r="L27" s="11">
        <f t="shared" si="19"/>
        <v>146803</v>
      </c>
      <c r="M27" s="11">
        <f t="shared" si="84"/>
        <v>146803</v>
      </c>
      <c r="N27" s="11">
        <f t="shared" si="20"/>
        <v>146803</v>
      </c>
      <c r="O27" s="19">
        <v>2553197</v>
      </c>
      <c r="P27" s="11">
        <f t="shared" si="21"/>
        <v>0</v>
      </c>
      <c r="Q27" s="11">
        <f t="shared" si="85"/>
        <v>0</v>
      </c>
      <c r="R27" s="11">
        <f t="shared" si="22"/>
        <v>-146803</v>
      </c>
      <c r="S27" s="19">
        <v>2553197</v>
      </c>
      <c r="T27" s="11">
        <f t="shared" si="23"/>
        <v>0</v>
      </c>
      <c r="U27" s="11">
        <f t="shared" si="86"/>
        <v>0</v>
      </c>
      <c r="V27" s="11">
        <f t="shared" si="81"/>
        <v>-146803</v>
      </c>
      <c r="W27" s="11">
        <f t="shared" si="24"/>
        <v>0</v>
      </c>
      <c r="X27" s="19">
        <v>2700000</v>
      </c>
      <c r="Y27" s="11">
        <f t="shared" si="87"/>
        <v>146803</v>
      </c>
      <c r="Z27" s="11">
        <f t="shared" si="88"/>
        <v>146803</v>
      </c>
      <c r="AA27" s="11">
        <f t="shared" si="25"/>
        <v>0</v>
      </c>
      <c r="AB27" s="11">
        <f t="shared" si="26"/>
        <v>146803</v>
      </c>
      <c r="AC27" s="19">
        <v>2700000</v>
      </c>
      <c r="AD27" s="11">
        <f t="shared" si="89"/>
        <v>146803</v>
      </c>
      <c r="AE27" s="11">
        <f t="shared" si="27"/>
        <v>0</v>
      </c>
      <c r="AF27" s="11">
        <f t="shared" si="2"/>
        <v>0</v>
      </c>
      <c r="AG27" s="19">
        <v>2700000</v>
      </c>
      <c r="AH27" s="11">
        <f t="shared" si="90"/>
        <v>146803</v>
      </c>
      <c r="AI27" s="11"/>
      <c r="AJ27" s="11">
        <f t="shared" si="28"/>
        <v>2700000</v>
      </c>
      <c r="AK27" s="11"/>
      <c r="AL27" s="11"/>
      <c r="AM27" s="11">
        <f t="shared" si="29"/>
        <v>2700000</v>
      </c>
      <c r="AN27" s="19">
        <v>3200000</v>
      </c>
      <c r="AO27" s="11">
        <f t="shared" si="30"/>
        <v>500000</v>
      </c>
      <c r="AP27" s="11"/>
      <c r="AQ27" s="19">
        <v>2700000</v>
      </c>
      <c r="AR27" s="19">
        <f t="shared" si="31"/>
        <v>0</v>
      </c>
      <c r="AS27" s="19">
        <f t="shared" si="32"/>
        <v>-500000</v>
      </c>
      <c r="AT27" s="19">
        <v>2700000</v>
      </c>
      <c r="AU27" s="19">
        <f t="shared" si="33"/>
        <v>0</v>
      </c>
      <c r="AV27" s="19">
        <f t="shared" si="34"/>
        <v>-500000</v>
      </c>
      <c r="AW27" s="19">
        <f t="shared" si="35"/>
        <v>0</v>
      </c>
      <c r="AX27" s="19"/>
      <c r="AY27" s="19">
        <v>2700000</v>
      </c>
      <c r="AZ27" s="19">
        <f t="shared" si="36"/>
        <v>0</v>
      </c>
      <c r="BA27" s="19">
        <f t="shared" si="37"/>
        <v>-500000</v>
      </c>
      <c r="BB27" s="19">
        <f t="shared" si="38"/>
        <v>0</v>
      </c>
      <c r="BC27" s="66"/>
      <c r="BD27" s="19">
        <v>2700000</v>
      </c>
      <c r="BE27" s="19">
        <f t="shared" si="39"/>
        <v>0</v>
      </c>
      <c r="BF27" s="19">
        <f t="shared" si="40"/>
        <v>-500000</v>
      </c>
      <c r="BG27" s="19">
        <f t="shared" si="41"/>
        <v>0</v>
      </c>
      <c r="BH27" s="19">
        <f t="shared" si="42"/>
        <v>0</v>
      </c>
      <c r="BI27" s="73"/>
      <c r="BJ27" s="20">
        <v>2700000</v>
      </c>
      <c r="BK27" s="13"/>
      <c r="BL27" s="19">
        <f t="shared" si="43"/>
        <v>2700000</v>
      </c>
      <c r="BM27" s="20"/>
      <c r="BN27" s="19">
        <f t="shared" si="44"/>
        <v>2700000</v>
      </c>
      <c r="BO27" s="12">
        <f t="shared" si="3"/>
        <v>0</v>
      </c>
      <c r="BP27" s="19">
        <f t="shared" si="4"/>
        <v>-500000</v>
      </c>
      <c r="BQ27" s="19">
        <f t="shared" si="5"/>
        <v>0</v>
      </c>
      <c r="BR27" s="19">
        <f t="shared" si="6"/>
        <v>0</v>
      </c>
      <c r="BS27" s="19">
        <f t="shared" si="7"/>
        <v>0</v>
      </c>
      <c r="BT27" s="73"/>
      <c r="BU27" s="80"/>
      <c r="BV27" s="78">
        <f t="shared" si="45"/>
        <v>2700000</v>
      </c>
      <c r="BW27" s="78">
        <v>-27000</v>
      </c>
      <c r="BX27" s="78">
        <f t="shared" si="46"/>
        <v>2673000</v>
      </c>
      <c r="BY27" s="78"/>
      <c r="BZ27" s="93">
        <v>2673000</v>
      </c>
      <c r="CA27" s="93">
        <v>2673000</v>
      </c>
      <c r="CB27" s="88">
        <f t="shared" si="97"/>
        <v>0</v>
      </c>
      <c r="CC27" s="80"/>
      <c r="CD27" s="65">
        <v>2672999</v>
      </c>
      <c r="CE27" s="93">
        <f t="shared" si="48"/>
        <v>-1</v>
      </c>
      <c r="CF27" s="93">
        <f t="shared" si="49"/>
        <v>-1</v>
      </c>
      <c r="CG27" s="80"/>
      <c r="CH27" s="65">
        <v>2672999</v>
      </c>
      <c r="CI27" s="93">
        <f t="shared" si="50"/>
        <v>-1</v>
      </c>
      <c r="CJ27" s="93">
        <f t="shared" si="51"/>
        <v>-1</v>
      </c>
      <c r="CK27" s="93">
        <f t="shared" si="52"/>
        <v>0</v>
      </c>
      <c r="CL27" s="80"/>
      <c r="CM27" s="65">
        <v>2673000</v>
      </c>
      <c r="CN27" s="93">
        <f t="shared" si="82"/>
        <v>0</v>
      </c>
      <c r="CO27" s="93">
        <f t="shared" si="53"/>
        <v>0</v>
      </c>
      <c r="CP27" s="93">
        <f t="shared" si="54"/>
        <v>1</v>
      </c>
      <c r="CQ27" s="80"/>
      <c r="CR27" s="65">
        <v>2673000</v>
      </c>
      <c r="CS27" s="93">
        <f t="shared" si="55"/>
        <v>0</v>
      </c>
      <c r="CT27" s="93">
        <f t="shared" si="56"/>
        <v>0</v>
      </c>
      <c r="CU27" s="93">
        <f t="shared" si="57"/>
        <v>1</v>
      </c>
      <c r="CV27" s="93">
        <f t="shared" si="58"/>
        <v>0</v>
      </c>
      <c r="CW27" s="80"/>
      <c r="CX27" s="65">
        <v>2592809</v>
      </c>
      <c r="CY27" s="93">
        <f t="shared" si="8"/>
        <v>-80191</v>
      </c>
      <c r="CZ27" s="93">
        <f t="shared" si="9"/>
        <v>-80191</v>
      </c>
      <c r="DA27" s="93">
        <f t="shared" si="10"/>
        <v>-80190</v>
      </c>
      <c r="DB27" s="93">
        <f t="shared" si="11"/>
        <v>-80191</v>
      </c>
      <c r="DC27" s="80"/>
      <c r="DD27" s="65">
        <v>2592809</v>
      </c>
      <c r="DE27" s="93">
        <f t="shared" si="12"/>
        <v>-80191</v>
      </c>
      <c r="DF27" s="93">
        <f t="shared" si="13"/>
        <v>-80191</v>
      </c>
      <c r="DG27" s="93">
        <f t="shared" si="59"/>
        <v>0</v>
      </c>
      <c r="DH27" s="80"/>
      <c r="DI27" s="65">
        <v>2592809</v>
      </c>
      <c r="DJ27" s="128"/>
      <c r="DK27" s="130"/>
      <c r="DL27" s="93">
        <f t="shared" si="14"/>
        <v>2592809</v>
      </c>
      <c r="DM27" s="127">
        <f t="shared" si="15"/>
        <v>-80191</v>
      </c>
      <c r="DN27" s="148">
        <v>2592809</v>
      </c>
      <c r="DO27" s="22">
        <f t="shared" si="60"/>
        <v>0</v>
      </c>
      <c r="DP27" s="80"/>
      <c r="DQ27" s="145">
        <v>2892809</v>
      </c>
      <c r="DR27" s="145"/>
      <c r="DS27" s="148">
        <f t="shared" si="92"/>
        <v>2892809</v>
      </c>
      <c r="DT27" s="24">
        <f t="shared" si="61"/>
        <v>300000</v>
      </c>
      <c r="DU27" s="22">
        <f t="shared" si="62"/>
        <v>300000</v>
      </c>
      <c r="DV27" s="22">
        <f t="shared" si="63"/>
        <v>300000</v>
      </c>
      <c r="DW27" s="22">
        <f t="shared" si="64"/>
        <v>300000</v>
      </c>
      <c r="DX27" s="80"/>
      <c r="DY27" s="157"/>
      <c r="DZ27" s="148">
        <v>2592809</v>
      </c>
      <c r="EA27" s="24">
        <f t="shared" si="93"/>
        <v>-2892809</v>
      </c>
      <c r="EB27" s="22">
        <f t="shared" si="94"/>
        <v>-300000</v>
      </c>
      <c r="EC27" s="22">
        <f t="shared" si="67"/>
        <v>0</v>
      </c>
      <c r="ED27" s="22">
        <f t="shared" si="68"/>
        <v>0</v>
      </c>
      <c r="EE27" s="22">
        <f t="shared" si="69"/>
        <v>-300000</v>
      </c>
      <c r="EF27" s="164"/>
      <c r="EG27" s="172"/>
      <c r="EH27" s="148">
        <f t="shared" si="70"/>
        <v>2592809</v>
      </c>
      <c r="EI27" s="24">
        <f t="shared" si="95"/>
        <v>-2892809</v>
      </c>
      <c r="EJ27" s="22">
        <f t="shared" si="96"/>
        <v>0</v>
      </c>
      <c r="EK27" s="22">
        <f t="shared" si="73"/>
        <v>0</v>
      </c>
      <c r="EL27" s="22">
        <f t="shared" si="74"/>
        <v>0</v>
      </c>
      <c r="EM27" s="22">
        <f t="shared" si="75"/>
        <v>-300000</v>
      </c>
      <c r="EN27" s="22">
        <f t="shared" si="76"/>
        <v>0</v>
      </c>
      <c r="EO27" s="164"/>
      <c r="EP27" s="145">
        <v>2892809</v>
      </c>
      <c r="EQ27" s="148">
        <v>2892809</v>
      </c>
      <c r="ER27" s="148"/>
      <c r="ES27" s="148">
        <f t="shared" si="77"/>
        <v>2892809</v>
      </c>
      <c r="ET27" s="22">
        <f t="shared" si="78"/>
        <v>300000</v>
      </c>
      <c r="EU27" s="22">
        <f t="shared" si="79"/>
        <v>300000</v>
      </c>
      <c r="EV27" s="159"/>
      <c r="EW27" s="201"/>
      <c r="EX27" s="148">
        <v>2892809</v>
      </c>
      <c r="EY27" s="5">
        <f t="shared" si="80"/>
        <v>0</v>
      </c>
      <c r="EZ27" s="80"/>
      <c r="FA27" s="145">
        <v>2892809</v>
      </c>
      <c r="FB27" s="5">
        <f t="shared" si="0"/>
        <v>0</v>
      </c>
      <c r="FC27" s="5">
        <f t="shared" si="1"/>
        <v>0</v>
      </c>
      <c r="FD27" s="80"/>
    </row>
    <row r="28" spans="1:160" ht="12.75" hidden="1" customHeight="1" x14ac:dyDescent="0.2">
      <c r="A28" s="8" t="s">
        <v>10</v>
      </c>
      <c r="B28" s="9"/>
      <c r="C28" s="27" t="s">
        <v>26</v>
      </c>
      <c r="D28" s="20">
        <v>0</v>
      </c>
      <c r="E28" s="20"/>
      <c r="F28" s="5">
        <f t="shared" si="17"/>
        <v>0</v>
      </c>
      <c r="G28" s="22"/>
      <c r="H28" s="5">
        <f t="shared" si="18"/>
        <v>0</v>
      </c>
      <c r="I28" s="5">
        <f t="shared" si="83"/>
        <v>0</v>
      </c>
      <c r="J28" s="31"/>
      <c r="K28" s="19"/>
      <c r="L28" s="11">
        <f t="shared" si="19"/>
        <v>0</v>
      </c>
      <c r="M28" s="11">
        <f t="shared" si="84"/>
        <v>0</v>
      </c>
      <c r="N28" s="11">
        <f t="shared" si="20"/>
        <v>0</v>
      </c>
      <c r="O28" s="19">
        <v>0</v>
      </c>
      <c r="P28" s="11">
        <f t="shared" si="21"/>
        <v>0</v>
      </c>
      <c r="Q28" s="11">
        <f t="shared" si="85"/>
        <v>0</v>
      </c>
      <c r="R28" s="11">
        <f t="shared" si="22"/>
        <v>0</v>
      </c>
      <c r="S28" s="19">
        <v>0</v>
      </c>
      <c r="T28" s="11">
        <f t="shared" si="23"/>
        <v>0</v>
      </c>
      <c r="U28" s="11">
        <f t="shared" si="86"/>
        <v>0</v>
      </c>
      <c r="V28" s="11">
        <f t="shared" si="81"/>
        <v>0</v>
      </c>
      <c r="W28" s="11">
        <f t="shared" si="24"/>
        <v>0</v>
      </c>
      <c r="X28" s="19">
        <v>0</v>
      </c>
      <c r="Y28" s="11">
        <f t="shared" si="87"/>
        <v>0</v>
      </c>
      <c r="Z28" s="11">
        <f t="shared" si="88"/>
        <v>0</v>
      </c>
      <c r="AA28" s="11">
        <f t="shared" si="25"/>
        <v>0</v>
      </c>
      <c r="AB28" s="11">
        <f t="shared" si="26"/>
        <v>0</v>
      </c>
      <c r="AC28" s="19">
        <v>0</v>
      </c>
      <c r="AD28" s="11">
        <f t="shared" si="89"/>
        <v>0</v>
      </c>
      <c r="AE28" s="11">
        <f t="shared" si="27"/>
        <v>0</v>
      </c>
      <c r="AF28" s="11">
        <f t="shared" si="2"/>
        <v>0</v>
      </c>
      <c r="AG28" s="19">
        <v>0</v>
      </c>
      <c r="AH28" s="11">
        <f t="shared" si="90"/>
        <v>0</v>
      </c>
      <c r="AI28" s="11"/>
      <c r="AJ28" s="11">
        <f t="shared" si="28"/>
        <v>0</v>
      </c>
      <c r="AK28" s="11"/>
      <c r="AL28" s="11"/>
      <c r="AM28" s="11">
        <f t="shared" si="29"/>
        <v>0</v>
      </c>
      <c r="AN28" s="19"/>
      <c r="AO28" s="11">
        <f t="shared" si="30"/>
        <v>0</v>
      </c>
      <c r="AP28" s="11"/>
      <c r="AQ28" s="19"/>
      <c r="AR28" s="19">
        <f t="shared" si="31"/>
        <v>0</v>
      </c>
      <c r="AS28" s="19">
        <f t="shared" si="32"/>
        <v>0</v>
      </c>
      <c r="AT28" s="19"/>
      <c r="AU28" s="19">
        <f t="shared" si="33"/>
        <v>0</v>
      </c>
      <c r="AV28" s="19">
        <f t="shared" si="34"/>
        <v>0</v>
      </c>
      <c r="AW28" s="19">
        <f t="shared" si="35"/>
        <v>0</v>
      </c>
      <c r="AX28" s="19"/>
      <c r="AY28" s="19"/>
      <c r="AZ28" s="19">
        <f t="shared" si="36"/>
        <v>0</v>
      </c>
      <c r="BA28" s="19">
        <f t="shared" si="37"/>
        <v>0</v>
      </c>
      <c r="BB28" s="19">
        <f t="shared" si="38"/>
        <v>0</v>
      </c>
      <c r="BC28" s="66"/>
      <c r="BD28" s="19"/>
      <c r="BE28" s="19">
        <f t="shared" si="39"/>
        <v>0</v>
      </c>
      <c r="BF28" s="19">
        <f t="shared" si="40"/>
        <v>0</v>
      </c>
      <c r="BG28" s="19">
        <f t="shared" si="41"/>
        <v>0</v>
      </c>
      <c r="BH28" s="19">
        <f t="shared" si="42"/>
        <v>0</v>
      </c>
      <c r="BI28" s="73"/>
      <c r="BJ28" s="19"/>
      <c r="BK28" s="12"/>
      <c r="BL28" s="19">
        <f t="shared" si="43"/>
        <v>0</v>
      </c>
      <c r="BM28" s="20"/>
      <c r="BN28" s="19">
        <f t="shared" si="44"/>
        <v>0</v>
      </c>
      <c r="BO28" s="12">
        <f t="shared" si="3"/>
        <v>0</v>
      </c>
      <c r="BP28" s="19">
        <f t="shared" si="4"/>
        <v>0</v>
      </c>
      <c r="BQ28" s="19">
        <f t="shared" si="5"/>
        <v>0</v>
      </c>
      <c r="BR28" s="19">
        <f t="shared" si="6"/>
        <v>0</v>
      </c>
      <c r="BS28" s="19">
        <f t="shared" si="7"/>
        <v>0</v>
      </c>
      <c r="BT28" s="73"/>
      <c r="BU28" s="80"/>
      <c r="BV28" s="78">
        <f t="shared" si="45"/>
        <v>0</v>
      </c>
      <c r="BW28" s="78"/>
      <c r="BX28" s="78">
        <f t="shared" si="46"/>
        <v>0</v>
      </c>
      <c r="BY28" s="78"/>
      <c r="BZ28" s="93">
        <v>0</v>
      </c>
      <c r="CA28" s="93">
        <v>0</v>
      </c>
      <c r="CB28" s="88"/>
      <c r="CC28" s="80"/>
      <c r="CD28" s="65"/>
      <c r="CE28" s="93">
        <f t="shared" si="48"/>
        <v>0</v>
      </c>
      <c r="CF28" s="93">
        <f t="shared" si="49"/>
        <v>0</v>
      </c>
      <c r="CG28" s="80"/>
      <c r="CH28" s="65"/>
      <c r="CI28" s="93">
        <f t="shared" si="50"/>
        <v>0</v>
      </c>
      <c r="CJ28" s="93">
        <f t="shared" si="51"/>
        <v>0</v>
      </c>
      <c r="CK28" s="93">
        <f t="shared" si="52"/>
        <v>0</v>
      </c>
      <c r="CL28" s="80"/>
      <c r="CM28" s="65"/>
      <c r="CN28" s="93">
        <f t="shared" si="82"/>
        <v>0</v>
      </c>
      <c r="CO28" s="93">
        <f t="shared" si="53"/>
        <v>0</v>
      </c>
      <c r="CP28" s="93">
        <f t="shared" si="54"/>
        <v>0</v>
      </c>
      <c r="CQ28" s="80"/>
      <c r="CR28" s="65"/>
      <c r="CS28" s="93">
        <f t="shared" si="55"/>
        <v>0</v>
      </c>
      <c r="CT28" s="93">
        <f t="shared" si="56"/>
        <v>0</v>
      </c>
      <c r="CU28" s="93">
        <f t="shared" si="57"/>
        <v>0</v>
      </c>
      <c r="CV28" s="93">
        <f t="shared" si="58"/>
        <v>0</v>
      </c>
      <c r="CW28" s="80"/>
      <c r="CX28" s="65"/>
      <c r="CY28" s="93">
        <f t="shared" si="8"/>
        <v>0</v>
      </c>
      <c r="CZ28" s="93">
        <f t="shared" si="9"/>
        <v>0</v>
      </c>
      <c r="DA28" s="93">
        <f t="shared" si="10"/>
        <v>0</v>
      </c>
      <c r="DB28" s="93">
        <f t="shared" si="11"/>
        <v>0</v>
      </c>
      <c r="DC28" s="80"/>
      <c r="DD28" s="65"/>
      <c r="DE28" s="93">
        <f t="shared" si="12"/>
        <v>0</v>
      </c>
      <c r="DF28" s="93">
        <f t="shared" si="13"/>
        <v>0</v>
      </c>
      <c r="DG28" s="93">
        <f t="shared" si="59"/>
        <v>0</v>
      </c>
      <c r="DH28" s="80"/>
      <c r="DI28" s="65"/>
      <c r="DJ28" s="80"/>
      <c r="DK28" s="96"/>
      <c r="DL28" s="93">
        <f t="shared" si="14"/>
        <v>0</v>
      </c>
      <c r="DM28" s="127">
        <f t="shared" si="15"/>
        <v>0</v>
      </c>
      <c r="DN28" s="148">
        <v>0</v>
      </c>
      <c r="DO28" s="22">
        <f t="shared" si="60"/>
        <v>0</v>
      </c>
      <c r="DP28" s="80"/>
      <c r="DQ28" s="145"/>
      <c r="DR28" s="145"/>
      <c r="DS28" s="148">
        <f t="shared" si="92"/>
        <v>0</v>
      </c>
      <c r="DT28" s="24">
        <f t="shared" si="61"/>
        <v>0</v>
      </c>
      <c r="DU28" s="22">
        <f t="shared" si="62"/>
        <v>0</v>
      </c>
      <c r="DV28" s="22">
        <f t="shared" si="63"/>
        <v>0</v>
      </c>
      <c r="DW28" s="22">
        <f t="shared" si="64"/>
        <v>0</v>
      </c>
      <c r="DX28" s="80"/>
      <c r="DY28" s="157"/>
      <c r="DZ28" s="148"/>
      <c r="EA28" s="24">
        <f t="shared" si="93"/>
        <v>0</v>
      </c>
      <c r="EB28" s="22">
        <f t="shared" si="94"/>
        <v>0</v>
      </c>
      <c r="EC28" s="22">
        <f t="shared" si="67"/>
        <v>0</v>
      </c>
      <c r="ED28" s="22">
        <f t="shared" si="68"/>
        <v>0</v>
      </c>
      <c r="EE28" s="22">
        <f t="shared" si="69"/>
        <v>0</v>
      </c>
      <c r="EF28" s="164"/>
      <c r="EG28" s="172"/>
      <c r="EH28" s="148">
        <f t="shared" si="70"/>
        <v>0</v>
      </c>
      <c r="EI28" s="24">
        <f t="shared" si="95"/>
        <v>0</v>
      </c>
      <c r="EJ28" s="22">
        <f t="shared" si="96"/>
        <v>0</v>
      </c>
      <c r="EK28" s="22">
        <f t="shared" si="73"/>
        <v>0</v>
      </c>
      <c r="EL28" s="22">
        <f t="shared" si="74"/>
        <v>0</v>
      </c>
      <c r="EM28" s="22">
        <f t="shared" si="75"/>
        <v>0</v>
      </c>
      <c r="EN28" s="22">
        <f t="shared" si="76"/>
        <v>0</v>
      </c>
      <c r="EO28" s="164"/>
      <c r="EP28" s="145"/>
      <c r="EQ28" s="148"/>
      <c r="ER28" s="148"/>
      <c r="ES28" s="148">
        <f t="shared" si="77"/>
        <v>0</v>
      </c>
      <c r="ET28" s="22">
        <f t="shared" si="78"/>
        <v>0</v>
      </c>
      <c r="EU28" s="22">
        <f t="shared" si="79"/>
        <v>0</v>
      </c>
      <c r="EV28" s="159"/>
      <c r="EW28" s="201"/>
      <c r="EX28" s="148">
        <v>0</v>
      </c>
      <c r="EY28" s="5">
        <f t="shared" si="80"/>
        <v>0</v>
      </c>
      <c r="EZ28" s="80"/>
      <c r="FA28" s="145"/>
      <c r="FB28" s="5">
        <f t="shared" si="0"/>
        <v>0</v>
      </c>
      <c r="FC28" s="5">
        <f t="shared" si="1"/>
        <v>0</v>
      </c>
      <c r="FD28" s="80"/>
    </row>
    <row r="29" spans="1:160" ht="24" x14ac:dyDescent="0.2">
      <c r="A29" s="10" t="s">
        <v>19</v>
      </c>
      <c r="B29" s="10"/>
      <c r="C29" s="27" t="s">
        <v>77</v>
      </c>
      <c r="D29" s="20">
        <v>5426986</v>
      </c>
      <c r="E29" s="20">
        <v>5426986</v>
      </c>
      <c r="F29" s="5">
        <f t="shared" si="17"/>
        <v>0</v>
      </c>
      <c r="G29" s="22">
        <v>5426986</v>
      </c>
      <c r="H29" s="5">
        <f t="shared" si="18"/>
        <v>0</v>
      </c>
      <c r="I29" s="5">
        <f t="shared" si="83"/>
        <v>0</v>
      </c>
      <c r="J29" s="31"/>
      <c r="K29" s="19">
        <v>5426986</v>
      </c>
      <c r="L29" s="11">
        <f t="shared" si="19"/>
        <v>0</v>
      </c>
      <c r="M29" s="11">
        <f t="shared" si="84"/>
        <v>0</v>
      </c>
      <c r="N29" s="11">
        <f t="shared" si="20"/>
        <v>0</v>
      </c>
      <c r="O29" s="19">
        <v>5426986</v>
      </c>
      <c r="P29" s="11">
        <f t="shared" si="21"/>
        <v>0</v>
      </c>
      <c r="Q29" s="11">
        <f t="shared" si="85"/>
        <v>0</v>
      </c>
      <c r="R29" s="11">
        <f t="shared" si="22"/>
        <v>0</v>
      </c>
      <c r="S29" s="19">
        <v>5426986</v>
      </c>
      <c r="T29" s="11">
        <f t="shared" si="23"/>
        <v>0</v>
      </c>
      <c r="U29" s="11">
        <f t="shared" si="86"/>
        <v>0</v>
      </c>
      <c r="V29" s="11">
        <f t="shared" si="81"/>
        <v>0</v>
      </c>
      <c r="W29" s="11">
        <f t="shared" si="24"/>
        <v>0</v>
      </c>
      <c r="X29" s="19">
        <v>5426986</v>
      </c>
      <c r="Y29" s="11">
        <f t="shared" si="87"/>
        <v>0</v>
      </c>
      <c r="Z29" s="11">
        <f t="shared" si="88"/>
        <v>0</v>
      </c>
      <c r="AA29" s="11">
        <f t="shared" si="25"/>
        <v>0</v>
      </c>
      <c r="AB29" s="11">
        <f t="shared" si="26"/>
        <v>0</v>
      </c>
      <c r="AC29" s="19">
        <v>5426986</v>
      </c>
      <c r="AD29" s="11">
        <f t="shared" si="89"/>
        <v>0</v>
      </c>
      <c r="AE29" s="11">
        <f t="shared" si="27"/>
        <v>0</v>
      </c>
      <c r="AF29" s="11">
        <f t="shared" si="2"/>
        <v>0</v>
      </c>
      <c r="AG29" s="19">
        <v>5426986</v>
      </c>
      <c r="AH29" s="11">
        <f t="shared" si="90"/>
        <v>0</v>
      </c>
      <c r="AI29" s="11"/>
      <c r="AJ29" s="11">
        <f t="shared" si="28"/>
        <v>5426986</v>
      </c>
      <c r="AK29" s="11"/>
      <c r="AL29" s="11"/>
      <c r="AM29" s="11">
        <f t="shared" si="29"/>
        <v>5426986</v>
      </c>
      <c r="AN29" s="19">
        <v>5426986</v>
      </c>
      <c r="AO29" s="11">
        <f t="shared" si="30"/>
        <v>0</v>
      </c>
      <c r="AP29" s="11"/>
      <c r="AQ29" s="19">
        <v>5426986</v>
      </c>
      <c r="AR29" s="19">
        <f t="shared" si="31"/>
        <v>0</v>
      </c>
      <c r="AS29" s="19">
        <f t="shared" si="32"/>
        <v>0</v>
      </c>
      <c r="AT29" s="19">
        <v>5426986</v>
      </c>
      <c r="AU29" s="19">
        <f t="shared" si="33"/>
        <v>0</v>
      </c>
      <c r="AV29" s="19">
        <f t="shared" si="34"/>
        <v>0</v>
      </c>
      <c r="AW29" s="19">
        <f t="shared" si="35"/>
        <v>0</v>
      </c>
      <c r="AX29" s="19"/>
      <c r="AY29" s="19">
        <v>5426986</v>
      </c>
      <c r="AZ29" s="19">
        <f t="shared" si="36"/>
        <v>0</v>
      </c>
      <c r="BA29" s="19">
        <f t="shared" si="37"/>
        <v>0</v>
      </c>
      <c r="BB29" s="19">
        <f t="shared" si="38"/>
        <v>0</v>
      </c>
      <c r="BC29" s="66"/>
      <c r="BD29" s="19">
        <v>5426986</v>
      </c>
      <c r="BE29" s="19">
        <f t="shared" si="39"/>
        <v>0</v>
      </c>
      <c r="BF29" s="19">
        <f t="shared" si="40"/>
        <v>0</v>
      </c>
      <c r="BG29" s="19">
        <f t="shared" si="41"/>
        <v>0</v>
      </c>
      <c r="BH29" s="19">
        <f t="shared" si="42"/>
        <v>0</v>
      </c>
      <c r="BI29" s="73"/>
      <c r="BJ29" s="19">
        <v>5426986</v>
      </c>
      <c r="BK29" s="12"/>
      <c r="BL29" s="19">
        <f t="shared" si="43"/>
        <v>5426986</v>
      </c>
      <c r="BM29" s="20"/>
      <c r="BN29" s="19">
        <f t="shared" si="44"/>
        <v>5426986</v>
      </c>
      <c r="BO29" s="12">
        <f t="shared" si="3"/>
        <v>0</v>
      </c>
      <c r="BP29" s="19">
        <f t="shared" si="4"/>
        <v>0</v>
      </c>
      <c r="BQ29" s="19">
        <f t="shared" si="5"/>
        <v>0</v>
      </c>
      <c r="BR29" s="19">
        <f t="shared" si="6"/>
        <v>0</v>
      </c>
      <c r="BS29" s="19">
        <f t="shared" si="7"/>
        <v>0</v>
      </c>
      <c r="BT29" s="73"/>
      <c r="BU29" s="80"/>
      <c r="BV29" s="78">
        <f t="shared" si="45"/>
        <v>5426986</v>
      </c>
      <c r="BW29" s="78"/>
      <c r="BX29" s="78">
        <f t="shared" si="46"/>
        <v>5426986</v>
      </c>
      <c r="BY29" s="78"/>
      <c r="BZ29" s="93">
        <v>5426986</v>
      </c>
      <c r="CA29" s="93">
        <v>5426986</v>
      </c>
      <c r="CB29" s="88">
        <f t="shared" ref="CB29:CB37" si="98">CA29-BZ29</f>
        <v>0</v>
      </c>
      <c r="CC29" s="80"/>
      <c r="CD29" s="65">
        <v>5426986</v>
      </c>
      <c r="CE29" s="93">
        <f t="shared" si="48"/>
        <v>0</v>
      </c>
      <c r="CF29" s="93">
        <f t="shared" si="49"/>
        <v>0</v>
      </c>
      <c r="CG29" s="80"/>
      <c r="CH29" s="65">
        <v>5426986</v>
      </c>
      <c r="CI29" s="93">
        <f t="shared" si="50"/>
        <v>0</v>
      </c>
      <c r="CJ29" s="93">
        <f t="shared" si="51"/>
        <v>0</v>
      </c>
      <c r="CK29" s="93">
        <f t="shared" si="52"/>
        <v>0</v>
      </c>
      <c r="CL29" s="80"/>
      <c r="CM29" s="65">
        <v>5426986</v>
      </c>
      <c r="CN29" s="93">
        <f t="shared" si="82"/>
        <v>0</v>
      </c>
      <c r="CO29" s="93">
        <f t="shared" si="53"/>
        <v>0</v>
      </c>
      <c r="CP29" s="93">
        <f t="shared" si="54"/>
        <v>0</v>
      </c>
      <c r="CQ29" s="80"/>
      <c r="CR29" s="65">
        <v>5426986</v>
      </c>
      <c r="CS29" s="93">
        <f t="shared" si="55"/>
        <v>0</v>
      </c>
      <c r="CT29" s="93">
        <f t="shared" si="56"/>
        <v>0</v>
      </c>
      <c r="CU29" s="93">
        <f t="shared" si="57"/>
        <v>0</v>
      </c>
      <c r="CV29" s="93">
        <f t="shared" si="58"/>
        <v>0</v>
      </c>
      <c r="CW29" s="80"/>
      <c r="CX29" s="65">
        <v>5314176</v>
      </c>
      <c r="CY29" s="93">
        <f t="shared" si="8"/>
        <v>-112810</v>
      </c>
      <c r="CZ29" s="93">
        <f t="shared" si="9"/>
        <v>-112810</v>
      </c>
      <c r="DA29" s="93">
        <f t="shared" si="10"/>
        <v>-112810</v>
      </c>
      <c r="DB29" s="93">
        <f t="shared" si="11"/>
        <v>-112810</v>
      </c>
      <c r="DC29" s="80"/>
      <c r="DD29" s="65">
        <v>5314176</v>
      </c>
      <c r="DE29" s="93">
        <f t="shared" si="12"/>
        <v>-112810</v>
      </c>
      <c r="DF29" s="93">
        <f t="shared" si="13"/>
        <v>-112810</v>
      </c>
      <c r="DG29" s="93">
        <f t="shared" si="59"/>
        <v>0</v>
      </c>
      <c r="DH29" s="80"/>
      <c r="DI29" s="65">
        <v>5314176</v>
      </c>
      <c r="DJ29" s="80"/>
      <c r="DK29" s="96"/>
      <c r="DL29" s="93">
        <f t="shared" si="14"/>
        <v>5314176</v>
      </c>
      <c r="DM29" s="127">
        <f t="shared" si="15"/>
        <v>-112810</v>
      </c>
      <c r="DN29" s="148">
        <v>5314176</v>
      </c>
      <c r="DO29" s="22">
        <f t="shared" si="60"/>
        <v>0</v>
      </c>
      <c r="DP29" s="80"/>
      <c r="DQ29" s="145">
        <v>5314176</v>
      </c>
      <c r="DR29" s="145"/>
      <c r="DS29" s="148">
        <f t="shared" si="92"/>
        <v>5314176</v>
      </c>
      <c r="DT29" s="24">
        <f t="shared" si="61"/>
        <v>0</v>
      </c>
      <c r="DU29" s="22">
        <f t="shared" si="62"/>
        <v>0</v>
      </c>
      <c r="DV29" s="22">
        <f t="shared" si="63"/>
        <v>0</v>
      </c>
      <c r="DW29" s="22">
        <f t="shared" si="64"/>
        <v>0</v>
      </c>
      <c r="DX29" s="80"/>
      <c r="DY29" s="157"/>
      <c r="DZ29" s="148">
        <v>5314176</v>
      </c>
      <c r="EA29" s="24">
        <f t="shared" si="93"/>
        <v>-5314176</v>
      </c>
      <c r="EB29" s="22">
        <f t="shared" si="94"/>
        <v>0</v>
      </c>
      <c r="EC29" s="22">
        <f t="shared" si="67"/>
        <v>0</v>
      </c>
      <c r="ED29" s="22">
        <f t="shared" si="68"/>
        <v>0</v>
      </c>
      <c r="EE29" s="22">
        <f t="shared" si="69"/>
        <v>0</v>
      </c>
      <c r="EF29" s="164"/>
      <c r="EG29" s="172">
        <f>10000</f>
        <v>10000</v>
      </c>
      <c r="EH29" s="148">
        <f t="shared" si="70"/>
        <v>5324176</v>
      </c>
      <c r="EI29" s="24">
        <f t="shared" si="95"/>
        <v>-5314176</v>
      </c>
      <c r="EJ29" s="22">
        <f t="shared" si="96"/>
        <v>0</v>
      </c>
      <c r="EK29" s="22">
        <f t="shared" si="73"/>
        <v>10000</v>
      </c>
      <c r="EL29" s="22">
        <f t="shared" si="74"/>
        <v>10000</v>
      </c>
      <c r="EM29" s="22">
        <f t="shared" si="75"/>
        <v>10000</v>
      </c>
      <c r="EN29" s="22">
        <f t="shared" si="76"/>
        <v>10000</v>
      </c>
      <c r="EO29" s="159" t="s">
        <v>590</v>
      </c>
      <c r="EP29" s="145">
        <v>5324176</v>
      </c>
      <c r="EQ29" s="148">
        <v>5324176</v>
      </c>
      <c r="ER29" s="148"/>
      <c r="ES29" s="148">
        <f t="shared" si="77"/>
        <v>5324176</v>
      </c>
      <c r="ET29" s="22">
        <f t="shared" si="78"/>
        <v>10000</v>
      </c>
      <c r="EU29" s="22">
        <f t="shared" si="79"/>
        <v>10000</v>
      </c>
      <c r="EV29" s="159" t="s">
        <v>629</v>
      </c>
      <c r="EW29" s="201" t="s">
        <v>629</v>
      </c>
      <c r="EX29" s="148">
        <v>5314176</v>
      </c>
      <c r="EY29" s="5">
        <f t="shared" si="80"/>
        <v>-10000</v>
      </c>
      <c r="EZ29" s="80" t="s">
        <v>689</v>
      </c>
      <c r="FA29" s="145">
        <v>5314176</v>
      </c>
      <c r="FB29" s="5">
        <f t="shared" si="0"/>
        <v>-10000</v>
      </c>
      <c r="FC29" s="5">
        <f t="shared" si="1"/>
        <v>0</v>
      </c>
      <c r="FD29" s="80" t="s">
        <v>728</v>
      </c>
    </row>
    <row r="30" spans="1:160" ht="24" x14ac:dyDescent="0.2">
      <c r="A30" s="8" t="s">
        <v>20</v>
      </c>
      <c r="B30" s="9"/>
      <c r="C30" s="27" t="s">
        <v>31</v>
      </c>
      <c r="D30" s="20">
        <v>4421323</v>
      </c>
      <c r="E30" s="20">
        <v>4396323</v>
      </c>
      <c r="F30" s="5">
        <f t="shared" si="17"/>
        <v>-25000</v>
      </c>
      <c r="G30" s="22">
        <v>4671323</v>
      </c>
      <c r="H30" s="5">
        <f t="shared" si="18"/>
        <v>250000</v>
      </c>
      <c r="I30" s="5">
        <f t="shared" si="83"/>
        <v>275000</v>
      </c>
      <c r="J30" s="31"/>
      <c r="K30" s="19">
        <v>4671323</v>
      </c>
      <c r="L30" s="11">
        <f t="shared" si="19"/>
        <v>250000</v>
      </c>
      <c r="M30" s="11">
        <f t="shared" si="84"/>
        <v>275000</v>
      </c>
      <c r="N30" s="11">
        <f t="shared" si="20"/>
        <v>0</v>
      </c>
      <c r="O30" s="19">
        <v>4396323</v>
      </c>
      <c r="P30" s="11">
        <f t="shared" si="21"/>
        <v>-25000</v>
      </c>
      <c r="Q30" s="11">
        <f t="shared" si="85"/>
        <v>0</v>
      </c>
      <c r="R30" s="11">
        <f t="shared" si="22"/>
        <v>-275000</v>
      </c>
      <c r="S30" s="19">
        <v>4396323</v>
      </c>
      <c r="T30" s="11">
        <f t="shared" si="23"/>
        <v>-25000</v>
      </c>
      <c r="U30" s="11">
        <f t="shared" si="86"/>
        <v>0</v>
      </c>
      <c r="V30" s="11">
        <f t="shared" si="81"/>
        <v>-275000</v>
      </c>
      <c r="W30" s="11">
        <f t="shared" si="24"/>
        <v>0</v>
      </c>
      <c r="X30" s="19">
        <v>4671323</v>
      </c>
      <c r="Y30" s="11">
        <f t="shared" si="87"/>
        <v>250000</v>
      </c>
      <c r="Z30" s="11">
        <f t="shared" si="88"/>
        <v>275000</v>
      </c>
      <c r="AA30" s="11">
        <f t="shared" si="25"/>
        <v>0</v>
      </c>
      <c r="AB30" s="11">
        <f t="shared" si="26"/>
        <v>275000</v>
      </c>
      <c r="AC30" s="19">
        <v>4671323</v>
      </c>
      <c r="AD30" s="11">
        <f t="shared" si="89"/>
        <v>250000</v>
      </c>
      <c r="AE30" s="11">
        <f t="shared" si="27"/>
        <v>0</v>
      </c>
      <c r="AF30" s="11">
        <f t="shared" si="2"/>
        <v>0</v>
      </c>
      <c r="AG30" s="19">
        <v>4671323</v>
      </c>
      <c r="AH30" s="11">
        <f t="shared" si="90"/>
        <v>250000</v>
      </c>
      <c r="AI30" s="11"/>
      <c r="AJ30" s="11">
        <f t="shared" si="28"/>
        <v>4671323</v>
      </c>
      <c r="AK30" s="11"/>
      <c r="AL30" s="11"/>
      <c r="AM30" s="11">
        <f t="shared" si="29"/>
        <v>4671323</v>
      </c>
      <c r="AN30" s="19">
        <v>4421322</v>
      </c>
      <c r="AO30" s="11">
        <f t="shared" si="30"/>
        <v>-250001</v>
      </c>
      <c r="AP30" s="19" t="s">
        <v>162</v>
      </c>
      <c r="AQ30" s="19">
        <v>4671324</v>
      </c>
      <c r="AR30" s="19">
        <f t="shared" si="31"/>
        <v>1</v>
      </c>
      <c r="AS30" s="19">
        <f t="shared" si="32"/>
        <v>250002</v>
      </c>
      <c r="AT30" s="19">
        <v>4671324</v>
      </c>
      <c r="AU30" s="19">
        <f t="shared" si="33"/>
        <v>1</v>
      </c>
      <c r="AV30" s="19">
        <f t="shared" si="34"/>
        <v>250002</v>
      </c>
      <c r="AW30" s="19">
        <f t="shared" si="35"/>
        <v>0</v>
      </c>
      <c r="AX30" s="19" t="s">
        <v>173</v>
      </c>
      <c r="AY30" s="19">
        <v>4421322</v>
      </c>
      <c r="AZ30" s="19">
        <f t="shared" si="36"/>
        <v>-250001</v>
      </c>
      <c r="BA30" s="19">
        <f t="shared" si="37"/>
        <v>0</v>
      </c>
      <c r="BB30" s="19">
        <f t="shared" si="38"/>
        <v>-250002</v>
      </c>
      <c r="BC30" s="66" t="s">
        <v>193</v>
      </c>
      <c r="BD30" s="19">
        <v>4421322</v>
      </c>
      <c r="BE30" s="19">
        <f t="shared" si="39"/>
        <v>-250001</v>
      </c>
      <c r="BF30" s="19">
        <f t="shared" si="40"/>
        <v>0</v>
      </c>
      <c r="BG30" s="19">
        <f t="shared" si="41"/>
        <v>-250002</v>
      </c>
      <c r="BH30" s="19">
        <f t="shared" si="42"/>
        <v>0</v>
      </c>
      <c r="BI30" s="73"/>
      <c r="BJ30" s="19">
        <v>4671322</v>
      </c>
      <c r="BK30" s="12">
        <v>-250000</v>
      </c>
      <c r="BL30" s="19">
        <f t="shared" si="43"/>
        <v>4421322</v>
      </c>
      <c r="BM30" s="20">
        <v>250000</v>
      </c>
      <c r="BN30" s="19">
        <f t="shared" si="44"/>
        <v>4671322</v>
      </c>
      <c r="BO30" s="12">
        <f t="shared" si="3"/>
        <v>-1</v>
      </c>
      <c r="BP30" s="19">
        <f t="shared" si="4"/>
        <v>250000</v>
      </c>
      <c r="BQ30" s="19">
        <f t="shared" si="5"/>
        <v>-2</v>
      </c>
      <c r="BR30" s="19">
        <f t="shared" si="6"/>
        <v>250000</v>
      </c>
      <c r="BS30" s="19">
        <f t="shared" si="7"/>
        <v>0</v>
      </c>
      <c r="BT30" s="73" t="s">
        <v>214</v>
      </c>
      <c r="BU30" s="80"/>
      <c r="BV30" s="78">
        <f t="shared" si="45"/>
        <v>4671322</v>
      </c>
      <c r="BW30" s="78"/>
      <c r="BX30" s="78">
        <f t="shared" si="46"/>
        <v>4671322</v>
      </c>
      <c r="BY30" s="78">
        <v>-250000</v>
      </c>
      <c r="BZ30" s="93">
        <v>4421322</v>
      </c>
      <c r="CA30" s="93">
        <v>4416446</v>
      </c>
      <c r="CB30" s="88">
        <f t="shared" si="98"/>
        <v>-4876</v>
      </c>
      <c r="CC30" s="80"/>
      <c r="CD30" s="65">
        <v>4666445</v>
      </c>
      <c r="CE30" s="93">
        <f t="shared" si="48"/>
        <v>245123</v>
      </c>
      <c r="CF30" s="93">
        <f t="shared" si="49"/>
        <v>249999</v>
      </c>
      <c r="CG30" s="80" t="s">
        <v>254</v>
      </c>
      <c r="CH30" s="65">
        <v>4666445</v>
      </c>
      <c r="CI30" s="93">
        <f t="shared" si="50"/>
        <v>245123</v>
      </c>
      <c r="CJ30" s="93">
        <f t="shared" si="51"/>
        <v>249999</v>
      </c>
      <c r="CK30" s="93">
        <f t="shared" si="52"/>
        <v>0</v>
      </c>
      <c r="CL30" s="80" t="s">
        <v>254</v>
      </c>
      <c r="CM30" s="65">
        <v>4416446</v>
      </c>
      <c r="CN30" s="93">
        <f t="shared" si="82"/>
        <v>-4876</v>
      </c>
      <c r="CO30" s="93">
        <f t="shared" si="53"/>
        <v>0</v>
      </c>
      <c r="CP30" s="93">
        <f t="shared" si="54"/>
        <v>-249999</v>
      </c>
      <c r="CQ30" s="80"/>
      <c r="CR30" s="65">
        <v>4416446</v>
      </c>
      <c r="CS30" s="93">
        <f t="shared" si="55"/>
        <v>-4876</v>
      </c>
      <c r="CT30" s="93">
        <f t="shared" si="56"/>
        <v>0</v>
      </c>
      <c r="CU30" s="93">
        <f t="shared" si="57"/>
        <v>-249999</v>
      </c>
      <c r="CV30" s="93">
        <f t="shared" si="58"/>
        <v>0</v>
      </c>
      <c r="CW30" s="80"/>
      <c r="CX30" s="65">
        <v>4666445</v>
      </c>
      <c r="CY30" s="93" t="s">
        <v>370</v>
      </c>
      <c r="CZ30" s="93">
        <f t="shared" si="9"/>
        <v>249999</v>
      </c>
      <c r="DA30" s="93">
        <f t="shared" si="10"/>
        <v>0</v>
      </c>
      <c r="DB30" s="93">
        <f t="shared" si="11"/>
        <v>249999</v>
      </c>
      <c r="DC30" s="80" t="s">
        <v>271</v>
      </c>
      <c r="DD30" s="65">
        <v>4416445</v>
      </c>
      <c r="DE30" s="93">
        <f t="shared" si="12"/>
        <v>-4877</v>
      </c>
      <c r="DF30" s="93">
        <f t="shared" si="13"/>
        <v>-1</v>
      </c>
      <c r="DG30" s="93">
        <f t="shared" si="59"/>
        <v>-250000</v>
      </c>
      <c r="DH30" s="80"/>
      <c r="DI30" s="65">
        <v>4666445</v>
      </c>
      <c r="DJ30" s="128" t="s">
        <v>271</v>
      </c>
      <c r="DK30" s="130"/>
      <c r="DL30" s="93">
        <f t="shared" si="14"/>
        <v>4666445</v>
      </c>
      <c r="DM30" s="127">
        <f t="shared" si="15"/>
        <v>245123</v>
      </c>
      <c r="DN30" s="148">
        <v>4666445</v>
      </c>
      <c r="DO30" s="22">
        <f t="shared" si="60"/>
        <v>0</v>
      </c>
      <c r="DP30" s="80"/>
      <c r="DQ30" s="145">
        <v>4708455</v>
      </c>
      <c r="DR30" s="145"/>
      <c r="DS30" s="148">
        <f t="shared" si="92"/>
        <v>4708455</v>
      </c>
      <c r="DT30" s="24">
        <f t="shared" si="61"/>
        <v>42010</v>
      </c>
      <c r="DU30" s="22">
        <f t="shared" si="62"/>
        <v>42010</v>
      </c>
      <c r="DV30" s="22">
        <f t="shared" si="63"/>
        <v>42010</v>
      </c>
      <c r="DW30" s="22">
        <f t="shared" si="64"/>
        <v>42010</v>
      </c>
      <c r="DX30" s="80" t="s">
        <v>421</v>
      </c>
      <c r="DY30" s="80" t="s">
        <v>421</v>
      </c>
      <c r="DZ30" s="148">
        <v>4666445</v>
      </c>
      <c r="EA30" s="24" t="e">
        <f t="shared" si="93"/>
        <v>#VALUE!</v>
      </c>
      <c r="EB30" s="22" t="e">
        <f t="shared" si="94"/>
        <v>#VALUE!</v>
      </c>
      <c r="EC30" s="22">
        <f t="shared" si="67"/>
        <v>0</v>
      </c>
      <c r="ED30" s="22">
        <f t="shared" si="68"/>
        <v>0</v>
      </c>
      <c r="EE30" s="22">
        <f t="shared" si="69"/>
        <v>-42010</v>
      </c>
      <c r="EF30" s="164"/>
      <c r="EG30" s="172"/>
      <c r="EH30" s="148">
        <f t="shared" si="70"/>
        <v>4666445</v>
      </c>
      <c r="EI30" s="24">
        <f t="shared" si="95"/>
        <v>-4708455</v>
      </c>
      <c r="EJ30" s="22" t="e">
        <f t="shared" si="96"/>
        <v>#VALUE!</v>
      </c>
      <c r="EK30" s="22">
        <f t="shared" si="73"/>
        <v>0</v>
      </c>
      <c r="EL30" s="22">
        <f t="shared" si="74"/>
        <v>0</v>
      </c>
      <c r="EM30" s="22">
        <f t="shared" si="75"/>
        <v>-42010</v>
      </c>
      <c r="EN30" s="22">
        <f t="shared" si="76"/>
        <v>0</v>
      </c>
      <c r="EO30" s="164"/>
      <c r="EP30" s="145">
        <v>4916445</v>
      </c>
      <c r="EQ30" s="148">
        <v>4916445</v>
      </c>
      <c r="ER30" s="148"/>
      <c r="ES30" s="148">
        <f t="shared" si="77"/>
        <v>4916445</v>
      </c>
      <c r="ET30" s="22">
        <f t="shared" si="78"/>
        <v>250000</v>
      </c>
      <c r="EU30" s="22">
        <f t="shared" si="79"/>
        <v>250000</v>
      </c>
      <c r="EV30" s="159" t="s">
        <v>630</v>
      </c>
      <c r="EW30" s="201" t="s">
        <v>630</v>
      </c>
      <c r="EX30" s="148">
        <v>4566445</v>
      </c>
      <c r="EY30" s="5">
        <f t="shared" si="80"/>
        <v>-350000</v>
      </c>
      <c r="EZ30" s="80" t="s">
        <v>689</v>
      </c>
      <c r="FA30" s="145">
        <v>4816446</v>
      </c>
      <c r="FB30" s="5">
        <f t="shared" si="0"/>
        <v>-99999</v>
      </c>
      <c r="FC30" s="5">
        <f t="shared" si="1"/>
        <v>250001</v>
      </c>
      <c r="FD30" s="201" t="s">
        <v>630</v>
      </c>
    </row>
    <row r="31" spans="1:160" ht="24.75" customHeight="1" x14ac:dyDescent="0.2">
      <c r="A31" s="8" t="s">
        <v>2</v>
      </c>
      <c r="B31" s="9"/>
      <c r="C31" s="27" t="s">
        <v>62</v>
      </c>
      <c r="D31" s="20">
        <v>4400696186</v>
      </c>
      <c r="E31" s="20">
        <v>4505983532</v>
      </c>
      <c r="F31" s="5">
        <f t="shared" si="17"/>
        <v>105287346</v>
      </c>
      <c r="G31" s="22">
        <v>4508861025</v>
      </c>
      <c r="H31" s="5">
        <f t="shared" si="18"/>
        <v>108164839</v>
      </c>
      <c r="I31" s="5">
        <f t="shared" si="83"/>
        <v>2877493</v>
      </c>
      <c r="J31" s="31"/>
      <c r="K31" s="19">
        <v>4508861025</v>
      </c>
      <c r="L31" s="11">
        <f t="shared" si="19"/>
        <v>108164839</v>
      </c>
      <c r="M31" s="11">
        <f t="shared" si="84"/>
        <v>2877493</v>
      </c>
      <c r="N31" s="11">
        <f t="shared" si="20"/>
        <v>0</v>
      </c>
      <c r="O31" s="19">
        <v>4511882199</v>
      </c>
      <c r="P31" s="11">
        <f t="shared" si="21"/>
        <v>111186013</v>
      </c>
      <c r="Q31" s="11">
        <f t="shared" si="85"/>
        <v>5898667</v>
      </c>
      <c r="R31" s="11">
        <f t="shared" si="22"/>
        <v>3021174</v>
      </c>
      <c r="S31" s="19">
        <v>4511882199</v>
      </c>
      <c r="T31" s="11">
        <f t="shared" si="23"/>
        <v>111186013</v>
      </c>
      <c r="U31" s="11">
        <f t="shared" si="86"/>
        <v>5898667</v>
      </c>
      <c r="V31" s="11">
        <f t="shared" si="81"/>
        <v>3021174</v>
      </c>
      <c r="W31" s="11">
        <f t="shared" si="24"/>
        <v>0</v>
      </c>
      <c r="X31" s="19">
        <v>4511882199</v>
      </c>
      <c r="Y31" s="11">
        <f t="shared" si="87"/>
        <v>111186013</v>
      </c>
      <c r="Z31" s="11">
        <f t="shared" si="88"/>
        <v>5898667</v>
      </c>
      <c r="AA31" s="11">
        <f t="shared" si="25"/>
        <v>3021174</v>
      </c>
      <c r="AB31" s="11">
        <f t="shared" si="26"/>
        <v>0</v>
      </c>
      <c r="AC31" s="19">
        <v>4511882199</v>
      </c>
      <c r="AD31" s="11">
        <f t="shared" si="89"/>
        <v>111186013</v>
      </c>
      <c r="AE31" s="11">
        <f t="shared" si="27"/>
        <v>0</v>
      </c>
      <c r="AF31" s="11">
        <f t="shared" si="2"/>
        <v>0</v>
      </c>
      <c r="AG31" s="19">
        <v>4511882199</v>
      </c>
      <c r="AH31" s="11">
        <f t="shared" si="90"/>
        <v>111186013</v>
      </c>
      <c r="AI31" s="11"/>
      <c r="AJ31" s="11">
        <f t="shared" si="28"/>
        <v>4511882199</v>
      </c>
      <c r="AK31" s="11"/>
      <c r="AL31" s="11"/>
      <c r="AM31" s="11">
        <f t="shared" si="29"/>
        <v>4511882199</v>
      </c>
      <c r="AN31" s="19">
        <v>4584008961</v>
      </c>
      <c r="AO31" s="11">
        <f t="shared" si="30"/>
        <v>72126762</v>
      </c>
      <c r="AP31" s="60"/>
      <c r="AQ31" s="19">
        <v>4607665795</v>
      </c>
      <c r="AR31" s="19">
        <f t="shared" si="31"/>
        <v>95783596</v>
      </c>
      <c r="AS31" s="19">
        <f t="shared" si="32"/>
        <v>23656834</v>
      </c>
      <c r="AT31" s="19">
        <v>4607665795</v>
      </c>
      <c r="AU31" s="19">
        <f t="shared" si="33"/>
        <v>95783596</v>
      </c>
      <c r="AV31" s="19">
        <f t="shared" si="34"/>
        <v>23656834</v>
      </c>
      <c r="AW31" s="19">
        <f t="shared" si="35"/>
        <v>0</v>
      </c>
      <c r="AX31" s="19"/>
      <c r="AY31" s="19">
        <v>4628013618</v>
      </c>
      <c r="AZ31" s="19">
        <f t="shared" si="36"/>
        <v>116131419</v>
      </c>
      <c r="BA31" s="19">
        <f t="shared" si="37"/>
        <v>44004657</v>
      </c>
      <c r="BB31" s="19">
        <f t="shared" si="38"/>
        <v>20347823</v>
      </c>
      <c r="BC31" s="66"/>
      <c r="BD31" s="19">
        <v>4628013618</v>
      </c>
      <c r="BE31" s="19">
        <f t="shared" si="39"/>
        <v>116131419</v>
      </c>
      <c r="BF31" s="19">
        <f t="shared" si="40"/>
        <v>44004657</v>
      </c>
      <c r="BG31" s="19">
        <f t="shared" si="41"/>
        <v>20347823</v>
      </c>
      <c r="BH31" s="19">
        <f t="shared" si="42"/>
        <v>0</v>
      </c>
      <c r="BI31" s="73"/>
      <c r="BJ31" s="19">
        <v>4628013618</v>
      </c>
      <c r="BK31" s="12"/>
      <c r="BL31" s="19">
        <f t="shared" si="43"/>
        <v>4628013618</v>
      </c>
      <c r="BM31" s="20"/>
      <c r="BN31" s="19">
        <f t="shared" si="44"/>
        <v>4628013618</v>
      </c>
      <c r="BO31" s="12">
        <f t="shared" si="3"/>
        <v>116131419</v>
      </c>
      <c r="BP31" s="19">
        <f t="shared" si="4"/>
        <v>44004657</v>
      </c>
      <c r="BQ31" s="19">
        <f t="shared" si="5"/>
        <v>20347823</v>
      </c>
      <c r="BR31" s="19">
        <f t="shared" si="6"/>
        <v>0</v>
      </c>
      <c r="BS31" s="19">
        <f t="shared" si="7"/>
        <v>0</v>
      </c>
      <c r="BT31" s="73"/>
      <c r="BU31" s="80"/>
      <c r="BV31" s="78">
        <f t="shared" si="45"/>
        <v>4628013618</v>
      </c>
      <c r="BW31" s="78"/>
      <c r="BX31" s="78">
        <f t="shared" si="46"/>
        <v>4628013618</v>
      </c>
      <c r="BY31" s="78"/>
      <c r="BZ31" s="93">
        <v>4628013618</v>
      </c>
      <c r="CA31" s="92">
        <v>4719407242</v>
      </c>
      <c r="CB31" s="88">
        <f t="shared" si="98"/>
        <v>91393624</v>
      </c>
      <c r="CC31" s="80"/>
      <c r="CD31" s="65">
        <v>4734405553</v>
      </c>
      <c r="CE31" s="93">
        <f t="shared" si="48"/>
        <v>106391935</v>
      </c>
      <c r="CF31" s="93">
        <f t="shared" si="49"/>
        <v>14998311</v>
      </c>
      <c r="CG31" s="80"/>
      <c r="CH31" s="65">
        <v>4734405553</v>
      </c>
      <c r="CI31" s="93">
        <f t="shared" si="50"/>
        <v>106391935</v>
      </c>
      <c r="CJ31" s="93">
        <f t="shared" si="51"/>
        <v>14998311</v>
      </c>
      <c r="CK31" s="93">
        <f t="shared" si="52"/>
        <v>0</v>
      </c>
      <c r="CL31" s="80"/>
      <c r="CM31" s="65">
        <v>4756814887</v>
      </c>
      <c r="CN31" s="93">
        <f t="shared" si="82"/>
        <v>128801269</v>
      </c>
      <c r="CO31" s="93">
        <f t="shared" si="53"/>
        <v>37407645</v>
      </c>
      <c r="CP31" s="93">
        <f t="shared" si="54"/>
        <v>22409334</v>
      </c>
      <c r="CQ31" s="80" t="s">
        <v>311</v>
      </c>
      <c r="CR31" s="65">
        <v>4756814887</v>
      </c>
      <c r="CS31" s="93">
        <f t="shared" si="55"/>
        <v>128801269</v>
      </c>
      <c r="CT31" s="93">
        <f t="shared" si="56"/>
        <v>37407645</v>
      </c>
      <c r="CU31" s="93">
        <f t="shared" si="57"/>
        <v>22409334</v>
      </c>
      <c r="CV31" s="93">
        <f t="shared" si="58"/>
        <v>0</v>
      </c>
      <c r="CW31" s="80" t="s">
        <v>311</v>
      </c>
      <c r="CX31" s="65">
        <v>4746953715</v>
      </c>
      <c r="CY31" s="93">
        <f t="shared" ref="CY31:CY65" si="99">CX31-BZ31</f>
        <v>118940097</v>
      </c>
      <c r="CZ31" s="93">
        <f t="shared" si="9"/>
        <v>27546473</v>
      </c>
      <c r="DA31" s="93">
        <f t="shared" si="10"/>
        <v>12548162</v>
      </c>
      <c r="DB31" s="93">
        <f t="shared" si="11"/>
        <v>-9861172</v>
      </c>
      <c r="DC31" s="80"/>
      <c r="DD31" s="65">
        <v>4746953715</v>
      </c>
      <c r="DE31" s="93">
        <f t="shared" si="12"/>
        <v>118940097</v>
      </c>
      <c r="DF31" s="93">
        <f t="shared" si="13"/>
        <v>27546473</v>
      </c>
      <c r="DG31" s="93">
        <f t="shared" si="59"/>
        <v>0</v>
      </c>
      <c r="DH31" s="80"/>
      <c r="DI31" s="65">
        <v>4746953715</v>
      </c>
      <c r="DJ31" s="80"/>
      <c r="DK31" s="96"/>
      <c r="DL31" s="93">
        <f t="shared" si="14"/>
        <v>4746953715</v>
      </c>
      <c r="DM31" s="127">
        <f t="shared" si="15"/>
        <v>118940097</v>
      </c>
      <c r="DN31" s="149">
        <v>4850573126</v>
      </c>
      <c r="DO31" s="22">
        <f t="shared" si="60"/>
        <v>103619411</v>
      </c>
      <c r="DP31" s="80"/>
      <c r="DQ31" s="146">
        <v>4871530948</v>
      </c>
      <c r="DR31" s="146"/>
      <c r="DS31" s="148">
        <f t="shared" si="92"/>
        <v>4871530948</v>
      </c>
      <c r="DT31" s="24">
        <f t="shared" si="61"/>
        <v>124577233</v>
      </c>
      <c r="DU31" s="22">
        <f t="shared" si="62"/>
        <v>20957822</v>
      </c>
      <c r="DV31" s="22">
        <f t="shared" si="63"/>
        <v>124577233</v>
      </c>
      <c r="DW31" s="22">
        <f t="shared" si="64"/>
        <v>20957822</v>
      </c>
      <c r="DX31" s="80"/>
      <c r="DY31" s="157"/>
      <c r="DZ31" s="148">
        <v>4907196515</v>
      </c>
      <c r="EA31" s="24">
        <f t="shared" si="93"/>
        <v>-4871530948</v>
      </c>
      <c r="EB31" s="22">
        <f t="shared" si="94"/>
        <v>-20957822</v>
      </c>
      <c r="EC31" s="22">
        <f t="shared" si="67"/>
        <v>160242800</v>
      </c>
      <c r="ED31" s="22">
        <f t="shared" si="68"/>
        <v>56623389</v>
      </c>
      <c r="EE31" s="22">
        <f t="shared" si="69"/>
        <v>35665567</v>
      </c>
      <c r="EF31" s="164"/>
      <c r="EG31" s="172">
        <v>376806</v>
      </c>
      <c r="EH31" s="148">
        <v>4907573321</v>
      </c>
      <c r="EI31" s="24">
        <f t="shared" si="95"/>
        <v>-4871530948</v>
      </c>
      <c r="EJ31" s="22">
        <f t="shared" si="96"/>
        <v>56623389</v>
      </c>
      <c r="EK31" s="22">
        <f t="shared" si="73"/>
        <v>160619606</v>
      </c>
      <c r="EL31" s="22">
        <f t="shared" si="74"/>
        <v>57000195</v>
      </c>
      <c r="EM31" s="22">
        <f t="shared" si="75"/>
        <v>36042373</v>
      </c>
      <c r="EN31" s="22">
        <f t="shared" si="76"/>
        <v>376806</v>
      </c>
      <c r="EO31" s="164"/>
      <c r="EP31" s="145">
        <v>4907573321</v>
      </c>
      <c r="EQ31" s="148">
        <v>4907573321</v>
      </c>
      <c r="ER31" s="148"/>
      <c r="ES31" s="148">
        <f t="shared" si="77"/>
        <v>4907573321</v>
      </c>
      <c r="ET31" s="22">
        <f t="shared" si="78"/>
        <v>57000195</v>
      </c>
      <c r="EU31" s="22">
        <f t="shared" si="79"/>
        <v>160619606</v>
      </c>
      <c r="EV31" s="29" t="s">
        <v>625</v>
      </c>
      <c r="EW31" s="80" t="s">
        <v>625</v>
      </c>
      <c r="EX31" s="148">
        <v>5107909124</v>
      </c>
      <c r="EY31" s="5">
        <f t="shared" si="80"/>
        <v>200335803</v>
      </c>
      <c r="EZ31" s="80"/>
      <c r="FA31" s="145">
        <v>5125610812</v>
      </c>
      <c r="FB31" s="5">
        <f t="shared" si="0"/>
        <v>218037491</v>
      </c>
      <c r="FC31" s="5">
        <f t="shared" si="1"/>
        <v>17701688</v>
      </c>
      <c r="FD31" s="80"/>
    </row>
    <row r="32" spans="1:160" ht="24.75" customHeight="1" x14ac:dyDescent="0.2">
      <c r="A32" s="21" t="s">
        <v>681</v>
      </c>
      <c r="B32" s="9"/>
      <c r="C32" s="26" t="s">
        <v>693</v>
      </c>
      <c r="D32" s="104"/>
      <c r="E32" s="104"/>
      <c r="F32" s="5"/>
      <c r="G32" s="22"/>
      <c r="H32" s="5"/>
      <c r="I32" s="5"/>
      <c r="J32" s="31"/>
      <c r="K32" s="102"/>
      <c r="L32" s="11"/>
      <c r="M32" s="11"/>
      <c r="N32" s="11"/>
      <c r="O32" s="102"/>
      <c r="P32" s="11"/>
      <c r="Q32" s="11"/>
      <c r="R32" s="11"/>
      <c r="S32" s="102"/>
      <c r="T32" s="11"/>
      <c r="U32" s="11"/>
      <c r="V32" s="11"/>
      <c r="W32" s="11"/>
      <c r="X32" s="102"/>
      <c r="Y32" s="11"/>
      <c r="Z32" s="11"/>
      <c r="AA32" s="11"/>
      <c r="AB32" s="11"/>
      <c r="AC32" s="102"/>
      <c r="AD32" s="11"/>
      <c r="AE32" s="11"/>
      <c r="AF32" s="11"/>
      <c r="AG32" s="102"/>
      <c r="AH32" s="11"/>
      <c r="AI32" s="11"/>
      <c r="AJ32" s="11"/>
      <c r="AK32" s="11"/>
      <c r="AL32" s="11"/>
      <c r="AM32" s="11"/>
      <c r="AN32" s="102"/>
      <c r="AO32" s="11"/>
      <c r="AP32" s="60"/>
      <c r="AQ32" s="102"/>
      <c r="AR32" s="102"/>
      <c r="AS32" s="102"/>
      <c r="AT32" s="102"/>
      <c r="AU32" s="102"/>
      <c r="AV32" s="102"/>
      <c r="AW32" s="102"/>
      <c r="AX32" s="102"/>
      <c r="AY32" s="102"/>
      <c r="AZ32" s="102"/>
      <c r="BA32" s="102"/>
      <c r="BB32" s="102"/>
      <c r="BC32" s="66"/>
      <c r="BD32" s="102"/>
      <c r="BE32" s="102"/>
      <c r="BF32" s="102"/>
      <c r="BG32" s="102"/>
      <c r="BH32" s="102"/>
      <c r="BI32" s="80"/>
      <c r="BJ32" s="102"/>
      <c r="BK32" s="103"/>
      <c r="BL32" s="102"/>
      <c r="BM32" s="104"/>
      <c r="BN32" s="102"/>
      <c r="BO32" s="103"/>
      <c r="BP32" s="102"/>
      <c r="BQ32" s="102"/>
      <c r="BR32" s="102"/>
      <c r="BS32" s="102"/>
      <c r="BT32" s="80"/>
      <c r="BU32" s="80"/>
      <c r="BV32" s="78"/>
      <c r="BW32" s="78"/>
      <c r="BX32" s="78"/>
      <c r="BY32" s="78"/>
      <c r="BZ32" s="93"/>
      <c r="CA32" s="92"/>
      <c r="CB32" s="88"/>
      <c r="CC32" s="80"/>
      <c r="CD32" s="65"/>
      <c r="CE32" s="93"/>
      <c r="CF32" s="93"/>
      <c r="CG32" s="80"/>
      <c r="CH32" s="65"/>
      <c r="CI32" s="93"/>
      <c r="CJ32" s="93"/>
      <c r="CK32" s="93"/>
      <c r="CL32" s="80"/>
      <c r="CM32" s="65"/>
      <c r="CN32" s="93"/>
      <c r="CO32" s="93"/>
      <c r="CP32" s="93"/>
      <c r="CQ32" s="80"/>
      <c r="CR32" s="65"/>
      <c r="CS32" s="93"/>
      <c r="CT32" s="93"/>
      <c r="CU32" s="93"/>
      <c r="CV32" s="93"/>
      <c r="CW32" s="80"/>
      <c r="CX32" s="65"/>
      <c r="CY32" s="93"/>
      <c r="CZ32" s="93"/>
      <c r="DA32" s="93"/>
      <c r="DB32" s="93"/>
      <c r="DC32" s="80"/>
      <c r="DD32" s="65"/>
      <c r="DE32" s="93"/>
      <c r="DF32" s="93"/>
      <c r="DG32" s="93"/>
      <c r="DH32" s="80"/>
      <c r="DI32" s="65"/>
      <c r="DJ32" s="80"/>
      <c r="DK32" s="96"/>
      <c r="DL32" s="93"/>
      <c r="DM32" s="127"/>
      <c r="DN32" s="149"/>
      <c r="DO32" s="22"/>
      <c r="DP32" s="80"/>
      <c r="DQ32" s="146"/>
      <c r="DR32" s="146"/>
      <c r="DS32" s="148"/>
      <c r="DT32" s="24"/>
      <c r="DU32" s="22"/>
      <c r="DV32" s="22"/>
      <c r="DW32" s="22"/>
      <c r="DX32" s="80"/>
      <c r="DY32" s="157"/>
      <c r="DZ32" s="148"/>
      <c r="EA32" s="24"/>
      <c r="EB32" s="22"/>
      <c r="EC32" s="22"/>
      <c r="ED32" s="22"/>
      <c r="EE32" s="22"/>
      <c r="EF32" s="164"/>
      <c r="EG32" s="172"/>
      <c r="EH32" s="148"/>
      <c r="EI32" s="24"/>
      <c r="EJ32" s="22"/>
      <c r="EK32" s="22"/>
      <c r="EL32" s="22"/>
      <c r="EM32" s="22"/>
      <c r="EN32" s="22"/>
      <c r="EO32" s="164"/>
      <c r="EP32" s="145"/>
      <c r="EQ32" s="148"/>
      <c r="ER32" s="148">
        <v>7500000</v>
      </c>
      <c r="ES32" s="148">
        <f t="shared" si="77"/>
        <v>7500000</v>
      </c>
      <c r="ET32" s="22">
        <f t="shared" si="78"/>
        <v>7500000</v>
      </c>
      <c r="EU32" s="22">
        <f t="shared" si="79"/>
        <v>7500000</v>
      </c>
      <c r="EV32" s="29"/>
      <c r="EW32" s="80"/>
      <c r="EX32" s="148">
        <v>0</v>
      </c>
      <c r="EY32" s="5">
        <f t="shared" si="80"/>
        <v>-7500000</v>
      </c>
      <c r="EZ32" s="80" t="s">
        <v>690</v>
      </c>
      <c r="FA32" s="208">
        <v>0</v>
      </c>
      <c r="FB32" s="5">
        <f t="shared" si="0"/>
        <v>-7500000</v>
      </c>
      <c r="FC32" s="5">
        <f t="shared" si="1"/>
        <v>0</v>
      </c>
      <c r="FD32" s="80" t="s">
        <v>690</v>
      </c>
    </row>
    <row r="33" spans="1:163" ht="42" customHeight="1" x14ac:dyDescent="0.2">
      <c r="A33" s="8" t="s">
        <v>5</v>
      </c>
      <c r="B33" s="9"/>
      <c r="C33" s="27" t="s">
        <v>75</v>
      </c>
      <c r="D33" s="20">
        <v>500000</v>
      </c>
      <c r="E33" s="20">
        <v>0</v>
      </c>
      <c r="F33" s="5">
        <f t="shared" si="17"/>
        <v>-500000</v>
      </c>
      <c r="G33" s="22">
        <v>0</v>
      </c>
      <c r="H33" s="5">
        <f t="shared" si="18"/>
        <v>-500000</v>
      </c>
      <c r="I33" s="5">
        <f t="shared" si="83"/>
        <v>0</v>
      </c>
      <c r="J33" s="31"/>
      <c r="K33" s="19">
        <v>250000</v>
      </c>
      <c r="L33" s="11">
        <f t="shared" si="19"/>
        <v>-250000</v>
      </c>
      <c r="M33" s="11">
        <f t="shared" si="84"/>
        <v>250000</v>
      </c>
      <c r="N33" s="11">
        <f t="shared" si="20"/>
        <v>250000</v>
      </c>
      <c r="O33" s="19">
        <v>2000000</v>
      </c>
      <c r="P33" s="11">
        <f t="shared" si="21"/>
        <v>1500000</v>
      </c>
      <c r="Q33" s="11">
        <f t="shared" si="85"/>
        <v>2000000</v>
      </c>
      <c r="R33" s="11">
        <f t="shared" si="22"/>
        <v>1750000</v>
      </c>
      <c r="S33" s="19">
        <f>2000000+500000</f>
        <v>2500000</v>
      </c>
      <c r="T33" s="11">
        <f t="shared" si="23"/>
        <v>2000000</v>
      </c>
      <c r="U33" s="11">
        <f t="shared" si="86"/>
        <v>2500000</v>
      </c>
      <c r="V33" s="11">
        <f t="shared" si="81"/>
        <v>2250000</v>
      </c>
      <c r="W33" s="11">
        <f t="shared" si="24"/>
        <v>500000</v>
      </c>
      <c r="X33" s="19">
        <f>2000000+500000</f>
        <v>2500000</v>
      </c>
      <c r="Y33" s="11">
        <f t="shared" si="87"/>
        <v>2000000</v>
      </c>
      <c r="Z33" s="11">
        <f t="shared" si="88"/>
        <v>2500000</v>
      </c>
      <c r="AA33" s="11">
        <f t="shared" si="25"/>
        <v>2250000</v>
      </c>
      <c r="AB33" s="11">
        <f t="shared" si="26"/>
        <v>0</v>
      </c>
      <c r="AC33" s="19">
        <f>2000000+500000</f>
        <v>2500000</v>
      </c>
      <c r="AD33" s="11">
        <f t="shared" si="89"/>
        <v>2000000</v>
      </c>
      <c r="AE33" s="11">
        <f t="shared" si="27"/>
        <v>0</v>
      </c>
      <c r="AF33" s="11">
        <f t="shared" si="2"/>
        <v>0</v>
      </c>
      <c r="AG33" s="19">
        <f>2000000+500000</f>
        <v>2500000</v>
      </c>
      <c r="AH33" s="11">
        <f t="shared" si="90"/>
        <v>2000000</v>
      </c>
      <c r="AI33" s="11">
        <v>630000</v>
      </c>
      <c r="AJ33" s="11">
        <f t="shared" si="28"/>
        <v>3130000</v>
      </c>
      <c r="AK33" s="11"/>
      <c r="AL33" s="11"/>
      <c r="AM33" s="11">
        <f t="shared" si="29"/>
        <v>3130000</v>
      </c>
      <c r="AN33" s="19">
        <v>0</v>
      </c>
      <c r="AO33" s="11">
        <f t="shared" si="30"/>
        <v>-3130000</v>
      </c>
      <c r="AP33" s="11"/>
      <c r="AQ33" s="19">
        <v>10000000</v>
      </c>
      <c r="AR33" s="19">
        <f t="shared" si="31"/>
        <v>6870000</v>
      </c>
      <c r="AS33" s="19">
        <f t="shared" si="32"/>
        <v>10000000</v>
      </c>
      <c r="AT33" s="19">
        <v>10000000</v>
      </c>
      <c r="AU33" s="19">
        <f t="shared" si="33"/>
        <v>6870000</v>
      </c>
      <c r="AV33" s="19">
        <f t="shared" si="34"/>
        <v>10000000</v>
      </c>
      <c r="AW33" s="19">
        <f t="shared" si="35"/>
        <v>0</v>
      </c>
      <c r="AX33" s="65" t="s">
        <v>174</v>
      </c>
      <c r="AY33" s="19">
        <v>0</v>
      </c>
      <c r="AZ33" s="19">
        <f t="shared" si="36"/>
        <v>-3130000</v>
      </c>
      <c r="BA33" s="19">
        <f t="shared" si="37"/>
        <v>0</v>
      </c>
      <c r="BB33" s="19">
        <f t="shared" si="38"/>
        <v>-10000000</v>
      </c>
      <c r="BC33" s="66"/>
      <c r="BD33" s="19">
        <v>0</v>
      </c>
      <c r="BE33" s="19">
        <f t="shared" si="39"/>
        <v>-3130000</v>
      </c>
      <c r="BF33" s="19">
        <f t="shared" si="40"/>
        <v>0</v>
      </c>
      <c r="BG33" s="19">
        <f t="shared" si="41"/>
        <v>-10000000</v>
      </c>
      <c r="BH33" s="19">
        <f t="shared" si="42"/>
        <v>0</v>
      </c>
      <c r="BI33" s="73"/>
      <c r="BJ33" s="19">
        <v>0</v>
      </c>
      <c r="BK33" s="12"/>
      <c r="BL33" s="19">
        <f t="shared" si="43"/>
        <v>0</v>
      </c>
      <c r="BM33" s="20"/>
      <c r="BN33" s="19">
        <f t="shared" si="44"/>
        <v>0</v>
      </c>
      <c r="BO33" s="12">
        <f t="shared" si="3"/>
        <v>-3130000</v>
      </c>
      <c r="BP33" s="19">
        <f t="shared" si="4"/>
        <v>0</v>
      </c>
      <c r="BQ33" s="19">
        <f t="shared" si="5"/>
        <v>-10000000</v>
      </c>
      <c r="BR33" s="19">
        <f t="shared" si="6"/>
        <v>0</v>
      </c>
      <c r="BS33" s="19">
        <f t="shared" si="7"/>
        <v>0</v>
      </c>
      <c r="BT33" s="73"/>
      <c r="BU33" s="80"/>
      <c r="BV33" s="78">
        <f t="shared" si="45"/>
        <v>0</v>
      </c>
      <c r="BW33" s="78"/>
      <c r="BX33" s="78">
        <f t="shared" si="46"/>
        <v>0</v>
      </c>
      <c r="BY33" s="78"/>
      <c r="BZ33" s="93">
        <v>0</v>
      </c>
      <c r="CA33" s="93">
        <v>0</v>
      </c>
      <c r="CB33" s="88">
        <f t="shared" si="98"/>
        <v>0</v>
      </c>
      <c r="CC33" s="80"/>
      <c r="CD33" s="65">
        <v>12548162</v>
      </c>
      <c r="CE33" s="93">
        <f t="shared" si="48"/>
        <v>12548162</v>
      </c>
      <c r="CF33" s="93">
        <f t="shared" si="49"/>
        <v>12548162</v>
      </c>
      <c r="CG33" s="80"/>
      <c r="CH33" s="65">
        <v>12548162</v>
      </c>
      <c r="CI33" s="93">
        <f t="shared" si="50"/>
        <v>12548162</v>
      </c>
      <c r="CJ33" s="93">
        <f t="shared" si="51"/>
        <v>12548162</v>
      </c>
      <c r="CK33" s="93">
        <f t="shared" si="52"/>
        <v>0</v>
      </c>
      <c r="CL33" s="80"/>
      <c r="CM33" s="65">
        <v>0</v>
      </c>
      <c r="CN33" s="93">
        <f t="shared" si="82"/>
        <v>0</v>
      </c>
      <c r="CO33" s="93">
        <f t="shared" si="53"/>
        <v>0</v>
      </c>
      <c r="CP33" s="93">
        <f t="shared" si="54"/>
        <v>-12548162</v>
      </c>
      <c r="CQ33" s="80"/>
      <c r="CR33" s="65">
        <v>0</v>
      </c>
      <c r="CS33" s="93">
        <f t="shared" si="55"/>
        <v>0</v>
      </c>
      <c r="CT33" s="93">
        <f t="shared" si="56"/>
        <v>0</v>
      </c>
      <c r="CU33" s="93">
        <f t="shared" si="57"/>
        <v>-12548162</v>
      </c>
      <c r="CV33" s="93">
        <f t="shared" si="58"/>
        <v>0</v>
      </c>
      <c r="CW33" s="80"/>
      <c r="CX33" s="65"/>
      <c r="CY33" s="93">
        <f t="shared" si="99"/>
        <v>0</v>
      </c>
      <c r="CZ33" s="93">
        <f t="shared" si="9"/>
        <v>0</v>
      </c>
      <c r="DA33" s="93">
        <f t="shared" si="10"/>
        <v>-12548162</v>
      </c>
      <c r="DB33" s="93">
        <f t="shared" si="11"/>
        <v>0</v>
      </c>
      <c r="DC33" s="80"/>
      <c r="DD33" s="65"/>
      <c r="DE33" s="93">
        <f t="shared" si="12"/>
        <v>0</v>
      </c>
      <c r="DF33" s="93">
        <f t="shared" si="13"/>
        <v>0</v>
      </c>
      <c r="DG33" s="93">
        <f t="shared" si="59"/>
        <v>0</v>
      </c>
      <c r="DH33" s="80"/>
      <c r="DI33" s="65"/>
      <c r="DJ33" s="80"/>
      <c r="DK33" s="96">
        <v>15000000</v>
      </c>
      <c r="DL33" s="93">
        <v>15000000</v>
      </c>
      <c r="DM33" s="127">
        <f t="shared" si="15"/>
        <v>15000000</v>
      </c>
      <c r="DN33" s="148">
        <v>15000000</v>
      </c>
      <c r="DO33" s="22">
        <f t="shared" si="60"/>
        <v>0</v>
      </c>
      <c r="DP33" s="80"/>
      <c r="DQ33" s="145">
        <v>27500000</v>
      </c>
      <c r="DR33" s="145"/>
      <c r="DS33" s="148">
        <f t="shared" si="92"/>
        <v>27500000</v>
      </c>
      <c r="DT33" s="24">
        <f t="shared" si="61"/>
        <v>12500000</v>
      </c>
      <c r="DU33" s="22">
        <f t="shared" si="62"/>
        <v>12500000</v>
      </c>
      <c r="DV33" s="22">
        <f t="shared" si="63"/>
        <v>12500000</v>
      </c>
      <c r="DW33" s="22">
        <f t="shared" si="64"/>
        <v>12500000</v>
      </c>
      <c r="DX33" s="80" t="s">
        <v>431</v>
      </c>
      <c r="DY33" s="80" t="s">
        <v>616</v>
      </c>
      <c r="DZ33" s="148">
        <v>15000000</v>
      </c>
      <c r="EA33" s="24" t="e">
        <f t="shared" si="93"/>
        <v>#VALUE!</v>
      </c>
      <c r="EB33" s="22" t="e">
        <f t="shared" si="94"/>
        <v>#VALUE!</v>
      </c>
      <c r="EC33" s="22">
        <f t="shared" si="67"/>
        <v>0</v>
      </c>
      <c r="ED33" s="22">
        <f t="shared" si="68"/>
        <v>0</v>
      </c>
      <c r="EE33" s="22">
        <f t="shared" si="69"/>
        <v>-12500000</v>
      </c>
      <c r="EF33" s="164"/>
      <c r="EG33" s="172"/>
      <c r="EH33" s="148">
        <f t="shared" si="70"/>
        <v>15000000</v>
      </c>
      <c r="EI33" s="24">
        <f t="shared" si="95"/>
        <v>-27500000</v>
      </c>
      <c r="EJ33" s="22" t="e">
        <f t="shared" si="96"/>
        <v>#VALUE!</v>
      </c>
      <c r="EK33" s="22">
        <f t="shared" si="73"/>
        <v>0</v>
      </c>
      <c r="EL33" s="22">
        <f t="shared" si="74"/>
        <v>0</v>
      </c>
      <c r="EM33" s="22">
        <f t="shared" si="75"/>
        <v>-12500000</v>
      </c>
      <c r="EN33" s="22">
        <f t="shared" si="76"/>
        <v>0</v>
      </c>
      <c r="EO33" s="164"/>
      <c r="EP33" s="145">
        <v>15000000</v>
      </c>
      <c r="EQ33" s="148">
        <v>15000000</v>
      </c>
      <c r="ER33" s="148"/>
      <c r="ES33" s="148">
        <f t="shared" si="77"/>
        <v>15000000</v>
      </c>
      <c r="ET33" s="22">
        <f t="shared" si="78"/>
        <v>0</v>
      </c>
      <c r="EU33" s="22">
        <f t="shared" si="79"/>
        <v>0</v>
      </c>
      <c r="EV33" s="159" t="s">
        <v>641</v>
      </c>
      <c r="EW33" s="201" t="s">
        <v>641</v>
      </c>
      <c r="EX33" s="148">
        <v>0</v>
      </c>
      <c r="EY33" s="5">
        <f t="shared" si="80"/>
        <v>-15000000</v>
      </c>
      <c r="EZ33" s="80" t="s">
        <v>690</v>
      </c>
      <c r="FA33" s="208">
        <v>0</v>
      </c>
      <c r="FB33" s="5">
        <f t="shared" si="0"/>
        <v>-15000000</v>
      </c>
      <c r="FC33" s="5">
        <f t="shared" si="1"/>
        <v>0</v>
      </c>
      <c r="FD33" s="80" t="s">
        <v>690</v>
      </c>
      <c r="FF33" s="3"/>
    </row>
    <row r="34" spans="1:163" ht="38.25" x14ac:dyDescent="0.2">
      <c r="A34" s="8" t="s">
        <v>6</v>
      </c>
      <c r="B34" s="9"/>
      <c r="C34" s="27" t="s">
        <v>70</v>
      </c>
      <c r="D34" s="20">
        <v>253400576</v>
      </c>
      <c r="E34" s="20">
        <v>253400576</v>
      </c>
      <c r="F34" s="5">
        <f t="shared" si="17"/>
        <v>0</v>
      </c>
      <c r="G34" s="22">
        <v>261651610</v>
      </c>
      <c r="H34" s="5">
        <f t="shared" si="18"/>
        <v>8251034</v>
      </c>
      <c r="I34" s="5">
        <f t="shared" si="83"/>
        <v>8251034</v>
      </c>
      <c r="J34" s="31"/>
      <c r="K34" s="19">
        <v>261651610</v>
      </c>
      <c r="L34" s="11">
        <f t="shared" si="19"/>
        <v>8251034</v>
      </c>
      <c r="M34" s="11">
        <f t="shared" si="84"/>
        <v>8251034</v>
      </c>
      <c r="N34" s="11">
        <f t="shared" si="20"/>
        <v>0</v>
      </c>
      <c r="O34" s="19">
        <v>271572425</v>
      </c>
      <c r="P34" s="11">
        <f t="shared" si="21"/>
        <v>18171849</v>
      </c>
      <c r="Q34" s="11">
        <f t="shared" si="85"/>
        <v>18171849</v>
      </c>
      <c r="R34" s="11">
        <f t="shared" si="22"/>
        <v>9920815</v>
      </c>
      <c r="S34" s="19">
        <f>271572425+150000</f>
        <v>271722425</v>
      </c>
      <c r="T34" s="11">
        <f t="shared" si="23"/>
        <v>18321849</v>
      </c>
      <c r="U34" s="11">
        <f t="shared" si="86"/>
        <v>18321849</v>
      </c>
      <c r="V34" s="11">
        <f t="shared" si="81"/>
        <v>10070815</v>
      </c>
      <c r="W34" s="11">
        <f t="shared" si="24"/>
        <v>150000</v>
      </c>
      <c r="X34" s="19">
        <f>271572425+150000</f>
        <v>271722425</v>
      </c>
      <c r="Y34" s="11">
        <f t="shared" si="87"/>
        <v>18321849</v>
      </c>
      <c r="Z34" s="11">
        <f t="shared" si="88"/>
        <v>18321849</v>
      </c>
      <c r="AA34" s="11">
        <f t="shared" si="25"/>
        <v>10070815</v>
      </c>
      <c r="AB34" s="11">
        <f t="shared" si="26"/>
        <v>0</v>
      </c>
      <c r="AC34" s="19">
        <f>271572425+150000</f>
        <v>271722425</v>
      </c>
      <c r="AD34" s="11">
        <f t="shared" si="89"/>
        <v>18321849</v>
      </c>
      <c r="AE34" s="11">
        <f t="shared" si="27"/>
        <v>0</v>
      </c>
      <c r="AF34" s="11">
        <f t="shared" si="2"/>
        <v>0</v>
      </c>
      <c r="AG34" s="19">
        <f>271572425+150000</f>
        <v>271722425</v>
      </c>
      <c r="AH34" s="11">
        <f t="shared" si="90"/>
        <v>18321849</v>
      </c>
      <c r="AI34" s="11"/>
      <c r="AJ34" s="11">
        <f t="shared" si="28"/>
        <v>271722425</v>
      </c>
      <c r="AK34" s="11">
        <f>271639859-271722425</f>
        <v>-82566</v>
      </c>
      <c r="AL34" s="11"/>
      <c r="AM34" s="11">
        <f t="shared" si="29"/>
        <v>271639859</v>
      </c>
      <c r="AN34" s="19">
        <v>271631997</v>
      </c>
      <c r="AO34" s="11">
        <f t="shared" si="30"/>
        <v>-7862</v>
      </c>
      <c r="AP34" s="11"/>
      <c r="AQ34" s="19">
        <v>276631180</v>
      </c>
      <c r="AR34" s="19">
        <f t="shared" si="31"/>
        <v>4991321</v>
      </c>
      <c r="AS34" s="19">
        <f t="shared" si="32"/>
        <v>4999183</v>
      </c>
      <c r="AT34" s="19">
        <v>276631180</v>
      </c>
      <c r="AU34" s="19">
        <f t="shared" si="33"/>
        <v>4991321</v>
      </c>
      <c r="AV34" s="19">
        <f t="shared" si="34"/>
        <v>4999183</v>
      </c>
      <c r="AW34" s="19">
        <f t="shared" si="35"/>
        <v>0</v>
      </c>
      <c r="AX34" s="19" t="s">
        <v>176</v>
      </c>
      <c r="AY34" s="19">
        <v>281072308</v>
      </c>
      <c r="AZ34" s="19">
        <f t="shared" si="36"/>
        <v>9432449</v>
      </c>
      <c r="BA34" s="19">
        <f t="shared" si="37"/>
        <v>9440311</v>
      </c>
      <c r="BB34" s="19">
        <f t="shared" si="38"/>
        <v>4441128</v>
      </c>
      <c r="BC34" s="66"/>
      <c r="BD34" s="19">
        <f>281072308+150000+500000</f>
        <v>281722308</v>
      </c>
      <c r="BE34" s="19">
        <f t="shared" si="39"/>
        <v>10082449</v>
      </c>
      <c r="BF34" s="19">
        <f t="shared" si="40"/>
        <v>10090311</v>
      </c>
      <c r="BG34" s="19">
        <f t="shared" si="41"/>
        <v>5091128</v>
      </c>
      <c r="BH34" s="19">
        <f t="shared" si="42"/>
        <v>650000</v>
      </c>
      <c r="BI34" s="73" t="s">
        <v>199</v>
      </c>
      <c r="BJ34" s="19">
        <v>277281180</v>
      </c>
      <c r="BK34" s="12">
        <v>-3723180</v>
      </c>
      <c r="BL34" s="19">
        <f t="shared" si="43"/>
        <v>273558000</v>
      </c>
      <c r="BM34" s="20">
        <v>3723180</v>
      </c>
      <c r="BN34" s="19">
        <f t="shared" si="44"/>
        <v>277281180</v>
      </c>
      <c r="BO34" s="12">
        <f t="shared" si="3"/>
        <v>5641321</v>
      </c>
      <c r="BP34" s="19">
        <f t="shared" si="4"/>
        <v>5649183</v>
      </c>
      <c r="BQ34" s="19">
        <f t="shared" si="5"/>
        <v>650000</v>
      </c>
      <c r="BR34" s="19">
        <f t="shared" si="6"/>
        <v>-4441128</v>
      </c>
      <c r="BS34" s="19">
        <f t="shared" si="7"/>
        <v>0</v>
      </c>
      <c r="BT34" s="79" t="s">
        <v>223</v>
      </c>
      <c r="BU34" s="80"/>
      <c r="BV34" s="78">
        <f t="shared" si="45"/>
        <v>277281180</v>
      </c>
      <c r="BW34" s="78">
        <v>-84219</v>
      </c>
      <c r="BX34" s="78">
        <f t="shared" si="46"/>
        <v>277196961</v>
      </c>
      <c r="BY34" s="78"/>
      <c r="BZ34" s="93">
        <v>277196961</v>
      </c>
      <c r="CA34" s="93">
        <v>277281180</v>
      </c>
      <c r="CB34" s="88">
        <f t="shared" si="98"/>
        <v>84219</v>
      </c>
      <c r="CC34" s="80" t="s">
        <v>246</v>
      </c>
      <c r="CD34" s="65">
        <v>281281181</v>
      </c>
      <c r="CE34" s="93">
        <f t="shared" si="48"/>
        <v>4084220</v>
      </c>
      <c r="CF34" s="93">
        <f t="shared" si="49"/>
        <v>4000001</v>
      </c>
      <c r="CG34" s="80"/>
      <c r="CH34" s="65">
        <v>281281181</v>
      </c>
      <c r="CI34" s="93">
        <f t="shared" si="50"/>
        <v>4084220</v>
      </c>
      <c r="CJ34" s="93">
        <f t="shared" si="51"/>
        <v>4000001</v>
      </c>
      <c r="CK34" s="93">
        <f t="shared" si="52"/>
        <v>0</v>
      </c>
      <c r="CL34" s="80" t="s">
        <v>276</v>
      </c>
      <c r="CM34" s="65">
        <v>293740396</v>
      </c>
      <c r="CN34" s="93">
        <f t="shared" si="82"/>
        <v>16543435</v>
      </c>
      <c r="CO34" s="93">
        <f t="shared" si="53"/>
        <v>16459216</v>
      </c>
      <c r="CP34" s="93">
        <f t="shared" si="54"/>
        <v>12459215</v>
      </c>
      <c r="CQ34" s="80"/>
      <c r="CR34" s="65">
        <f>293740396+500000+150000</f>
        <v>294390396</v>
      </c>
      <c r="CS34" s="93">
        <f t="shared" si="55"/>
        <v>17193435</v>
      </c>
      <c r="CT34" s="93">
        <f t="shared" si="56"/>
        <v>17109216</v>
      </c>
      <c r="CU34" s="93">
        <f t="shared" si="57"/>
        <v>13109215</v>
      </c>
      <c r="CV34" s="93">
        <f t="shared" si="58"/>
        <v>650000</v>
      </c>
      <c r="CW34" s="80" t="s">
        <v>330</v>
      </c>
      <c r="CX34" s="65">
        <v>281231181</v>
      </c>
      <c r="CY34" s="93">
        <f t="shared" si="99"/>
        <v>4034220</v>
      </c>
      <c r="CZ34" s="93">
        <f t="shared" si="9"/>
        <v>3950001</v>
      </c>
      <c r="DA34" s="93">
        <f t="shared" si="10"/>
        <v>-50000</v>
      </c>
      <c r="DB34" s="93">
        <f t="shared" si="11"/>
        <v>-13159215</v>
      </c>
      <c r="DC34" s="80" t="s">
        <v>367</v>
      </c>
      <c r="DD34" s="65">
        <v>281231181</v>
      </c>
      <c r="DE34" s="93">
        <f t="shared" si="12"/>
        <v>4034220</v>
      </c>
      <c r="DF34" s="93">
        <f t="shared" si="13"/>
        <v>3950001</v>
      </c>
      <c r="DG34" s="93">
        <f t="shared" si="59"/>
        <v>0</v>
      </c>
      <c r="DH34" s="80" t="s">
        <v>367</v>
      </c>
      <c r="DI34" s="65">
        <v>281231181</v>
      </c>
      <c r="DJ34" s="128" t="s">
        <v>367</v>
      </c>
      <c r="DK34" s="130">
        <v>12500000</v>
      </c>
      <c r="DL34" s="92">
        <f>DI34+12500000</f>
        <v>293731181</v>
      </c>
      <c r="DM34" s="127">
        <f t="shared" si="15"/>
        <v>16534220</v>
      </c>
      <c r="DN34" s="148">
        <v>291145829</v>
      </c>
      <c r="DO34" s="22">
        <f t="shared" si="60"/>
        <v>-2585352</v>
      </c>
      <c r="DP34" s="80"/>
      <c r="DQ34" s="145">
        <v>300000000</v>
      </c>
      <c r="DR34" s="145">
        <v>250000</v>
      </c>
      <c r="DS34" s="148">
        <f t="shared" si="92"/>
        <v>300250000</v>
      </c>
      <c r="DT34" s="24">
        <f t="shared" si="61"/>
        <v>6268819</v>
      </c>
      <c r="DU34" s="22">
        <f t="shared" si="62"/>
        <v>8854171</v>
      </c>
      <c r="DV34" s="22">
        <f t="shared" si="63"/>
        <v>6518819</v>
      </c>
      <c r="DW34" s="22">
        <f t="shared" si="64"/>
        <v>9104171</v>
      </c>
      <c r="DX34" s="80" t="s">
        <v>425</v>
      </c>
      <c r="DY34" s="159" t="s">
        <v>443</v>
      </c>
      <c r="DZ34" s="148">
        <v>318895293</v>
      </c>
      <c r="EA34" s="24" t="e">
        <f t="shared" si="93"/>
        <v>#VALUE!</v>
      </c>
      <c r="EB34" s="22" t="e">
        <f t="shared" si="94"/>
        <v>#VALUE!</v>
      </c>
      <c r="EC34" s="22">
        <f t="shared" si="67"/>
        <v>25164112</v>
      </c>
      <c r="ED34" s="22">
        <f t="shared" si="68"/>
        <v>27749464</v>
      </c>
      <c r="EE34" s="22">
        <f t="shared" si="69"/>
        <v>18645293</v>
      </c>
      <c r="EF34" s="159"/>
      <c r="EG34" s="65">
        <v>450000</v>
      </c>
      <c r="EH34" s="148">
        <f t="shared" si="70"/>
        <v>319345293</v>
      </c>
      <c r="EI34" s="24">
        <f t="shared" si="95"/>
        <v>-300250000</v>
      </c>
      <c r="EJ34" s="22" t="e">
        <f t="shared" si="96"/>
        <v>#VALUE!</v>
      </c>
      <c r="EK34" s="22">
        <f t="shared" si="73"/>
        <v>25614112</v>
      </c>
      <c r="EL34" s="22">
        <f t="shared" si="74"/>
        <v>28199464</v>
      </c>
      <c r="EM34" s="22">
        <f t="shared" si="75"/>
        <v>19095293</v>
      </c>
      <c r="EN34" s="22">
        <f t="shared" si="76"/>
        <v>450000</v>
      </c>
      <c r="EO34" s="159" t="s">
        <v>597</v>
      </c>
      <c r="EP34" s="145">
        <v>319345293</v>
      </c>
      <c r="EQ34" s="148">
        <v>319345293</v>
      </c>
      <c r="ER34" s="148"/>
      <c r="ES34" s="148">
        <f t="shared" si="77"/>
        <v>319345293</v>
      </c>
      <c r="ET34" s="22">
        <f t="shared" si="78"/>
        <v>28199464</v>
      </c>
      <c r="EU34" s="22">
        <f t="shared" si="79"/>
        <v>25614112</v>
      </c>
      <c r="EV34" s="159" t="s">
        <v>642</v>
      </c>
      <c r="EW34" s="201" t="s">
        <v>642</v>
      </c>
      <c r="EX34" s="148">
        <v>323887071</v>
      </c>
      <c r="EY34" s="5">
        <f t="shared" si="80"/>
        <v>4541778</v>
      </c>
      <c r="EZ34" s="80" t="s">
        <v>692</v>
      </c>
      <c r="FA34" s="145">
        <v>328887071</v>
      </c>
      <c r="FB34" s="5">
        <f t="shared" si="0"/>
        <v>9541778</v>
      </c>
      <c r="FC34" s="5">
        <f t="shared" si="1"/>
        <v>5000000</v>
      </c>
      <c r="FD34" s="80" t="s">
        <v>734</v>
      </c>
      <c r="FF34" s="3"/>
    </row>
    <row r="35" spans="1:163" ht="48" x14ac:dyDescent="0.2">
      <c r="A35" s="21" t="s">
        <v>710</v>
      </c>
      <c r="B35" s="9"/>
      <c r="C35" s="26" t="s">
        <v>711</v>
      </c>
      <c r="D35" s="104"/>
      <c r="E35" s="104"/>
      <c r="F35" s="5"/>
      <c r="G35" s="22"/>
      <c r="H35" s="5"/>
      <c r="I35" s="5"/>
      <c r="J35" s="31"/>
      <c r="K35" s="102"/>
      <c r="L35" s="11"/>
      <c r="M35" s="11"/>
      <c r="N35" s="11"/>
      <c r="O35" s="102"/>
      <c r="P35" s="11"/>
      <c r="Q35" s="11"/>
      <c r="R35" s="11"/>
      <c r="S35" s="102"/>
      <c r="T35" s="11"/>
      <c r="U35" s="11"/>
      <c r="V35" s="11"/>
      <c r="W35" s="11"/>
      <c r="X35" s="102"/>
      <c r="Y35" s="11"/>
      <c r="Z35" s="11"/>
      <c r="AA35" s="11"/>
      <c r="AB35" s="11"/>
      <c r="AC35" s="102"/>
      <c r="AD35" s="11"/>
      <c r="AE35" s="11"/>
      <c r="AF35" s="11"/>
      <c r="AG35" s="102"/>
      <c r="AH35" s="11"/>
      <c r="AI35" s="11"/>
      <c r="AJ35" s="11"/>
      <c r="AK35" s="11"/>
      <c r="AL35" s="11"/>
      <c r="AM35" s="11"/>
      <c r="AN35" s="102"/>
      <c r="AO35" s="11"/>
      <c r="AP35" s="11"/>
      <c r="AQ35" s="102"/>
      <c r="AR35" s="102"/>
      <c r="AS35" s="102"/>
      <c r="AT35" s="102"/>
      <c r="AU35" s="102"/>
      <c r="AV35" s="102"/>
      <c r="AW35" s="102"/>
      <c r="AX35" s="102"/>
      <c r="AY35" s="102"/>
      <c r="AZ35" s="102"/>
      <c r="BA35" s="102"/>
      <c r="BB35" s="102"/>
      <c r="BC35" s="66"/>
      <c r="BD35" s="102"/>
      <c r="BE35" s="102"/>
      <c r="BF35" s="102"/>
      <c r="BG35" s="102"/>
      <c r="BH35" s="102"/>
      <c r="BI35" s="80"/>
      <c r="BJ35" s="102"/>
      <c r="BK35" s="103"/>
      <c r="BL35" s="102"/>
      <c r="BM35" s="104"/>
      <c r="BN35" s="102"/>
      <c r="BO35" s="103"/>
      <c r="BP35" s="102"/>
      <c r="BQ35" s="102"/>
      <c r="BR35" s="102"/>
      <c r="BS35" s="102"/>
      <c r="BT35" s="80"/>
      <c r="BU35" s="80"/>
      <c r="BV35" s="78"/>
      <c r="BW35" s="78"/>
      <c r="BX35" s="78"/>
      <c r="BY35" s="78"/>
      <c r="BZ35" s="93"/>
      <c r="CA35" s="93"/>
      <c r="CB35" s="88"/>
      <c r="CC35" s="80"/>
      <c r="CD35" s="65"/>
      <c r="CE35" s="93"/>
      <c r="CF35" s="93"/>
      <c r="CG35" s="80"/>
      <c r="CH35" s="65"/>
      <c r="CI35" s="93"/>
      <c r="CJ35" s="93"/>
      <c r="CK35" s="93"/>
      <c r="CL35" s="80"/>
      <c r="CM35" s="65"/>
      <c r="CN35" s="93"/>
      <c r="CO35" s="93"/>
      <c r="CP35" s="93"/>
      <c r="CQ35" s="80"/>
      <c r="CR35" s="65"/>
      <c r="CS35" s="93"/>
      <c r="CT35" s="93"/>
      <c r="CU35" s="93"/>
      <c r="CV35" s="93"/>
      <c r="CW35" s="80"/>
      <c r="CX35" s="65"/>
      <c r="CY35" s="93"/>
      <c r="CZ35" s="93"/>
      <c r="DA35" s="93"/>
      <c r="DB35" s="93"/>
      <c r="DC35" s="80"/>
      <c r="DD35" s="65"/>
      <c r="DE35" s="93"/>
      <c r="DF35" s="93"/>
      <c r="DG35" s="93"/>
      <c r="DH35" s="80"/>
      <c r="DI35" s="65"/>
      <c r="DJ35" s="128"/>
      <c r="DK35" s="130"/>
      <c r="DL35" s="92"/>
      <c r="DM35" s="127"/>
      <c r="DN35" s="148"/>
      <c r="DO35" s="22"/>
      <c r="DP35" s="80"/>
      <c r="DQ35" s="145"/>
      <c r="DR35" s="145"/>
      <c r="DS35" s="148"/>
      <c r="DT35" s="24"/>
      <c r="DU35" s="22"/>
      <c r="DV35" s="22"/>
      <c r="DW35" s="22"/>
      <c r="DX35" s="80"/>
      <c r="DY35" s="159"/>
      <c r="DZ35" s="148"/>
      <c r="EA35" s="24"/>
      <c r="EB35" s="22"/>
      <c r="EC35" s="22"/>
      <c r="ED35" s="22"/>
      <c r="EE35" s="22"/>
      <c r="EF35" s="159"/>
      <c r="EG35" s="65"/>
      <c r="EH35" s="148"/>
      <c r="EI35" s="24"/>
      <c r="EJ35" s="22"/>
      <c r="EK35" s="22"/>
      <c r="EL35" s="22"/>
      <c r="EM35" s="22"/>
      <c r="EN35" s="22"/>
      <c r="EO35" s="159"/>
      <c r="EP35" s="145"/>
      <c r="EQ35" s="148"/>
      <c r="ER35" s="148"/>
      <c r="ES35" s="148"/>
      <c r="ET35" s="22"/>
      <c r="EU35" s="22"/>
      <c r="EV35" s="159"/>
      <c r="EW35" s="201"/>
      <c r="EX35" s="148"/>
      <c r="EY35" s="5"/>
      <c r="EZ35" s="80"/>
      <c r="FA35" s="145">
        <v>16500000</v>
      </c>
      <c r="FB35" s="5">
        <f t="shared" si="0"/>
        <v>16500000</v>
      </c>
      <c r="FC35" s="5">
        <f t="shared" si="1"/>
        <v>16500000</v>
      </c>
      <c r="FD35" s="80" t="s">
        <v>749</v>
      </c>
      <c r="FF35" s="3"/>
      <c r="FG35" s="3"/>
    </row>
    <row r="36" spans="1:163" ht="25.5" x14ac:dyDescent="0.2">
      <c r="A36" s="8" t="s">
        <v>35</v>
      </c>
      <c r="B36" s="9"/>
      <c r="C36" s="27" t="s">
        <v>78</v>
      </c>
      <c r="D36" s="20">
        <v>979650</v>
      </c>
      <c r="E36" s="20">
        <v>0</v>
      </c>
      <c r="F36" s="5">
        <f t="shared" si="17"/>
        <v>-979650</v>
      </c>
      <c r="G36" s="22">
        <v>979650</v>
      </c>
      <c r="H36" s="5">
        <f t="shared" si="18"/>
        <v>0</v>
      </c>
      <c r="I36" s="5">
        <f t="shared" si="83"/>
        <v>979650</v>
      </c>
      <c r="J36" s="29" t="s">
        <v>116</v>
      </c>
      <c r="K36" s="19">
        <v>979650</v>
      </c>
      <c r="L36" s="11">
        <f t="shared" si="19"/>
        <v>0</v>
      </c>
      <c r="M36" s="11">
        <f t="shared" si="84"/>
        <v>979650</v>
      </c>
      <c r="N36" s="11">
        <f t="shared" si="20"/>
        <v>0</v>
      </c>
      <c r="O36" s="19">
        <v>978747</v>
      </c>
      <c r="P36" s="11">
        <f t="shared" si="21"/>
        <v>-903</v>
      </c>
      <c r="Q36" s="11">
        <f t="shared" si="85"/>
        <v>978747</v>
      </c>
      <c r="R36" s="11">
        <f t="shared" si="22"/>
        <v>-903</v>
      </c>
      <c r="S36" s="19">
        <v>978747</v>
      </c>
      <c r="T36" s="11">
        <f t="shared" si="23"/>
        <v>-903</v>
      </c>
      <c r="U36" s="11">
        <f t="shared" si="86"/>
        <v>978747</v>
      </c>
      <c r="V36" s="11">
        <f t="shared" si="81"/>
        <v>-903</v>
      </c>
      <c r="W36" s="11">
        <f t="shared" si="24"/>
        <v>0</v>
      </c>
      <c r="X36" s="19">
        <v>978747</v>
      </c>
      <c r="Y36" s="11">
        <f t="shared" si="87"/>
        <v>-903</v>
      </c>
      <c r="Z36" s="11">
        <f t="shared" si="88"/>
        <v>978747</v>
      </c>
      <c r="AA36" s="11">
        <f t="shared" si="25"/>
        <v>-903</v>
      </c>
      <c r="AB36" s="11">
        <f t="shared" si="26"/>
        <v>0</v>
      </c>
      <c r="AC36" s="19">
        <v>978747</v>
      </c>
      <c r="AD36" s="11">
        <f t="shared" si="89"/>
        <v>-903</v>
      </c>
      <c r="AE36" s="11">
        <f t="shared" si="27"/>
        <v>0</v>
      </c>
      <c r="AF36" s="11">
        <f t="shared" si="2"/>
        <v>0</v>
      </c>
      <c r="AG36" s="19">
        <v>978747</v>
      </c>
      <c r="AH36" s="11">
        <f t="shared" si="90"/>
        <v>-903</v>
      </c>
      <c r="AI36" s="11"/>
      <c r="AJ36" s="11">
        <f t="shared" si="28"/>
        <v>978747</v>
      </c>
      <c r="AK36" s="11"/>
      <c r="AL36" s="11"/>
      <c r="AM36" s="11">
        <f t="shared" si="29"/>
        <v>978747</v>
      </c>
      <c r="AN36" s="19">
        <v>891245</v>
      </c>
      <c r="AO36" s="11">
        <f t="shared" si="30"/>
        <v>-87502</v>
      </c>
      <c r="AP36" s="11"/>
      <c r="AQ36" s="19">
        <v>890322</v>
      </c>
      <c r="AR36" s="19">
        <f t="shared" si="31"/>
        <v>-88425</v>
      </c>
      <c r="AS36" s="19">
        <f t="shared" si="32"/>
        <v>-923</v>
      </c>
      <c r="AT36" s="19">
        <v>890322</v>
      </c>
      <c r="AU36" s="19">
        <f t="shared" si="33"/>
        <v>-88425</v>
      </c>
      <c r="AV36" s="19">
        <f t="shared" si="34"/>
        <v>-923</v>
      </c>
      <c r="AW36" s="19">
        <f t="shared" si="35"/>
        <v>0</v>
      </c>
      <c r="AX36" s="19"/>
      <c r="AY36" s="19">
        <v>909324</v>
      </c>
      <c r="AZ36" s="19">
        <f t="shared" si="36"/>
        <v>-69423</v>
      </c>
      <c r="BA36" s="19">
        <f t="shared" si="37"/>
        <v>18079</v>
      </c>
      <c r="BB36" s="19">
        <f t="shared" si="38"/>
        <v>19002</v>
      </c>
      <c r="BC36" s="66"/>
      <c r="BD36" s="19">
        <v>909324</v>
      </c>
      <c r="BE36" s="19">
        <f t="shared" si="39"/>
        <v>-69423</v>
      </c>
      <c r="BF36" s="19">
        <f t="shared" si="40"/>
        <v>18079</v>
      </c>
      <c r="BG36" s="19">
        <f t="shared" si="41"/>
        <v>19002</v>
      </c>
      <c r="BH36" s="19">
        <f t="shared" si="42"/>
        <v>0</v>
      </c>
      <c r="BI36" s="73"/>
      <c r="BJ36" s="19">
        <v>890322</v>
      </c>
      <c r="BK36" s="12"/>
      <c r="BL36" s="19">
        <f t="shared" si="43"/>
        <v>890322</v>
      </c>
      <c r="BM36" s="20"/>
      <c r="BN36" s="19">
        <f t="shared" si="44"/>
        <v>890322</v>
      </c>
      <c r="BO36" s="12">
        <f t="shared" si="3"/>
        <v>-88425</v>
      </c>
      <c r="BP36" s="19">
        <f t="shared" si="4"/>
        <v>-923</v>
      </c>
      <c r="BQ36" s="19">
        <f t="shared" si="5"/>
        <v>0</v>
      </c>
      <c r="BR36" s="19">
        <f t="shared" si="6"/>
        <v>-19002</v>
      </c>
      <c r="BS36" s="19">
        <f t="shared" si="7"/>
        <v>0</v>
      </c>
      <c r="BT36" s="73"/>
      <c r="BU36" s="80"/>
      <c r="BV36" s="78">
        <f t="shared" si="45"/>
        <v>890322</v>
      </c>
      <c r="BW36" s="78">
        <v>-8903</v>
      </c>
      <c r="BX36" s="78">
        <f t="shared" si="46"/>
        <v>881419</v>
      </c>
      <c r="BY36" s="78"/>
      <c r="BZ36" s="93">
        <v>881419</v>
      </c>
      <c r="CA36" s="93">
        <v>890322</v>
      </c>
      <c r="CB36" s="88">
        <f t="shared" si="98"/>
        <v>8903</v>
      </c>
      <c r="CC36" s="80" t="s">
        <v>246</v>
      </c>
      <c r="CD36" s="65">
        <v>890323</v>
      </c>
      <c r="CE36" s="93">
        <f t="shared" si="48"/>
        <v>8904</v>
      </c>
      <c r="CF36" s="93">
        <f t="shared" si="49"/>
        <v>1</v>
      </c>
      <c r="CG36" s="80"/>
      <c r="CH36" s="65">
        <v>890323</v>
      </c>
      <c r="CI36" s="93">
        <f t="shared" si="50"/>
        <v>8904</v>
      </c>
      <c r="CJ36" s="93">
        <f t="shared" si="51"/>
        <v>1</v>
      </c>
      <c r="CK36" s="93">
        <f t="shared" si="52"/>
        <v>0</v>
      </c>
      <c r="CL36" s="80"/>
      <c r="CM36" s="65">
        <v>890322</v>
      </c>
      <c r="CN36" s="93">
        <f t="shared" si="82"/>
        <v>8903</v>
      </c>
      <c r="CO36" s="93">
        <f t="shared" si="53"/>
        <v>0</v>
      </c>
      <c r="CP36" s="93">
        <f t="shared" si="54"/>
        <v>-1</v>
      </c>
      <c r="CQ36" s="80"/>
      <c r="CR36" s="65">
        <v>890322</v>
      </c>
      <c r="CS36" s="93">
        <f t="shared" si="55"/>
        <v>8903</v>
      </c>
      <c r="CT36" s="93">
        <f t="shared" si="56"/>
        <v>0</v>
      </c>
      <c r="CU36" s="93">
        <f t="shared" si="57"/>
        <v>-1</v>
      </c>
      <c r="CV36" s="93">
        <f t="shared" si="58"/>
        <v>0</v>
      </c>
      <c r="CW36" s="80"/>
      <c r="CX36" s="65">
        <v>890322</v>
      </c>
      <c r="CY36" s="93">
        <f t="shared" si="99"/>
        <v>8903</v>
      </c>
      <c r="CZ36" s="93">
        <f t="shared" si="9"/>
        <v>0</v>
      </c>
      <c r="DA36" s="93">
        <f t="shared" si="10"/>
        <v>-1</v>
      </c>
      <c r="DB36" s="93">
        <f t="shared" si="11"/>
        <v>0</v>
      </c>
      <c r="DC36" s="80"/>
      <c r="DD36" s="65">
        <v>890322</v>
      </c>
      <c r="DE36" s="93">
        <f t="shared" si="12"/>
        <v>8903</v>
      </c>
      <c r="DF36" s="93">
        <f t="shared" si="13"/>
        <v>0</v>
      </c>
      <c r="DG36" s="93">
        <f t="shared" si="59"/>
        <v>0</v>
      </c>
      <c r="DH36" s="80"/>
      <c r="DI36" s="65">
        <v>890322</v>
      </c>
      <c r="DJ36" s="128"/>
      <c r="DK36" s="130"/>
      <c r="DL36" s="92">
        <f t="shared" si="14"/>
        <v>890322</v>
      </c>
      <c r="DM36" s="127">
        <f t="shared" si="15"/>
        <v>8903</v>
      </c>
      <c r="DN36" s="148">
        <v>891956</v>
      </c>
      <c r="DO36" s="22">
        <f t="shared" si="60"/>
        <v>1634</v>
      </c>
      <c r="DP36" s="80"/>
      <c r="DQ36" s="145">
        <v>891954</v>
      </c>
      <c r="DR36" s="145"/>
      <c r="DS36" s="148">
        <f t="shared" si="92"/>
        <v>891954</v>
      </c>
      <c r="DT36" s="24">
        <f t="shared" si="61"/>
        <v>1632</v>
      </c>
      <c r="DU36" s="22">
        <f t="shared" si="62"/>
        <v>-2</v>
      </c>
      <c r="DV36" s="22">
        <f t="shared" si="63"/>
        <v>1632</v>
      </c>
      <c r="DW36" s="22">
        <f t="shared" si="64"/>
        <v>-2</v>
      </c>
      <c r="DX36" s="80"/>
      <c r="DY36" s="157"/>
      <c r="DZ36" s="148">
        <v>891956</v>
      </c>
      <c r="EA36" s="24">
        <f t="shared" si="93"/>
        <v>-891954</v>
      </c>
      <c r="EB36" s="22">
        <f t="shared" si="94"/>
        <v>2</v>
      </c>
      <c r="EC36" s="22">
        <f t="shared" si="67"/>
        <v>1634</v>
      </c>
      <c r="ED36" s="22">
        <f t="shared" si="68"/>
        <v>0</v>
      </c>
      <c r="EE36" s="22">
        <f t="shared" si="69"/>
        <v>2</v>
      </c>
      <c r="EF36" s="164"/>
      <c r="EG36" s="172"/>
      <c r="EH36" s="148">
        <f t="shared" si="70"/>
        <v>891956</v>
      </c>
      <c r="EI36" s="24">
        <f t="shared" si="95"/>
        <v>-891954</v>
      </c>
      <c r="EJ36" s="22">
        <f t="shared" si="96"/>
        <v>0</v>
      </c>
      <c r="EK36" s="22">
        <f t="shared" si="73"/>
        <v>1634</v>
      </c>
      <c r="EL36" s="22">
        <f t="shared" si="74"/>
        <v>0</v>
      </c>
      <c r="EM36" s="22">
        <f t="shared" si="75"/>
        <v>2</v>
      </c>
      <c r="EN36" s="22">
        <f t="shared" si="76"/>
        <v>0</v>
      </c>
      <c r="EO36" s="164"/>
      <c r="EP36" s="145">
        <v>891954</v>
      </c>
      <c r="EQ36" s="148">
        <v>891954</v>
      </c>
      <c r="ER36" s="148"/>
      <c r="ES36" s="148">
        <f t="shared" si="77"/>
        <v>891954</v>
      </c>
      <c r="ET36" s="22">
        <f t="shared" si="78"/>
        <v>-2</v>
      </c>
      <c r="EU36" s="22">
        <f t="shared" si="79"/>
        <v>1632</v>
      </c>
      <c r="EV36" s="159"/>
      <c r="EW36" s="201"/>
      <c r="EX36" s="148">
        <v>925214</v>
      </c>
      <c r="EY36" s="5">
        <f t="shared" si="80"/>
        <v>33260</v>
      </c>
      <c r="EZ36" s="80"/>
      <c r="FA36" s="145">
        <v>925214</v>
      </c>
      <c r="FB36" s="5">
        <f t="shared" si="0"/>
        <v>33260</v>
      </c>
      <c r="FC36" s="5">
        <f t="shared" si="1"/>
        <v>0</v>
      </c>
      <c r="FD36" s="80"/>
    </row>
    <row r="37" spans="1:163" ht="15.75" customHeight="1" x14ac:dyDescent="0.2">
      <c r="A37" s="8" t="s">
        <v>48</v>
      </c>
      <c r="B37" s="9"/>
      <c r="C37" s="26" t="s">
        <v>124</v>
      </c>
      <c r="D37" s="20">
        <v>0</v>
      </c>
      <c r="E37" s="20">
        <v>0</v>
      </c>
      <c r="F37" s="5">
        <f t="shared" si="17"/>
        <v>0</v>
      </c>
      <c r="G37" s="22">
        <v>0</v>
      </c>
      <c r="H37" s="5">
        <f t="shared" si="18"/>
        <v>0</v>
      </c>
      <c r="I37" s="5">
        <f t="shared" si="83"/>
        <v>0</v>
      </c>
      <c r="J37" s="31"/>
      <c r="K37" s="19">
        <v>400000</v>
      </c>
      <c r="L37" s="11">
        <f t="shared" si="19"/>
        <v>400000</v>
      </c>
      <c r="M37" s="11">
        <f t="shared" si="84"/>
        <v>400000</v>
      </c>
      <c r="N37" s="11">
        <f t="shared" si="20"/>
        <v>400000</v>
      </c>
      <c r="O37" s="19">
        <v>1300000</v>
      </c>
      <c r="P37" s="11">
        <f t="shared" si="21"/>
        <v>1300000</v>
      </c>
      <c r="Q37" s="11">
        <f t="shared" si="85"/>
        <v>1300000</v>
      </c>
      <c r="R37" s="11">
        <f t="shared" si="22"/>
        <v>900000</v>
      </c>
      <c r="S37" s="19">
        <v>1300000</v>
      </c>
      <c r="T37" s="11">
        <f t="shared" si="23"/>
        <v>1300000</v>
      </c>
      <c r="U37" s="11">
        <f t="shared" si="86"/>
        <v>1300000</v>
      </c>
      <c r="V37" s="11">
        <f t="shared" si="81"/>
        <v>900000</v>
      </c>
      <c r="W37" s="11">
        <f t="shared" si="24"/>
        <v>0</v>
      </c>
      <c r="X37" s="19">
        <v>1300000</v>
      </c>
      <c r="Y37" s="11">
        <f t="shared" si="87"/>
        <v>1300000</v>
      </c>
      <c r="Z37" s="11">
        <f t="shared" si="88"/>
        <v>1300000</v>
      </c>
      <c r="AA37" s="11">
        <f t="shared" si="25"/>
        <v>900000</v>
      </c>
      <c r="AB37" s="11">
        <f t="shared" si="26"/>
        <v>0</v>
      </c>
      <c r="AC37" s="19">
        <v>1300000</v>
      </c>
      <c r="AD37" s="11">
        <f t="shared" si="89"/>
        <v>1300000</v>
      </c>
      <c r="AE37" s="11">
        <f t="shared" si="27"/>
        <v>0</v>
      </c>
      <c r="AF37" s="11">
        <f t="shared" si="2"/>
        <v>0</v>
      </c>
      <c r="AG37" s="19">
        <v>1300000</v>
      </c>
      <c r="AH37" s="11">
        <f t="shared" si="90"/>
        <v>1300000</v>
      </c>
      <c r="AI37" s="11"/>
      <c r="AJ37" s="11">
        <f t="shared" si="28"/>
        <v>1300000</v>
      </c>
      <c r="AK37" s="11"/>
      <c r="AL37" s="11"/>
      <c r="AM37" s="11">
        <f t="shared" si="29"/>
        <v>1300000</v>
      </c>
      <c r="AN37" s="19">
        <v>0</v>
      </c>
      <c r="AO37" s="11">
        <f t="shared" si="30"/>
        <v>-1300000</v>
      </c>
      <c r="AP37" s="11"/>
      <c r="AQ37" s="19">
        <v>0</v>
      </c>
      <c r="AR37" s="19">
        <f t="shared" si="31"/>
        <v>-1300000</v>
      </c>
      <c r="AS37" s="19">
        <f t="shared" si="32"/>
        <v>0</v>
      </c>
      <c r="AT37" s="19">
        <v>500000</v>
      </c>
      <c r="AU37" s="19">
        <f t="shared" ref="AU37:AU40" si="100">AT37-AM37</f>
        <v>-800000</v>
      </c>
      <c r="AV37" s="19">
        <f t="shared" ref="AV37:AV40" si="101">AT37-AN37</f>
        <v>500000</v>
      </c>
      <c r="AW37" s="19">
        <f t="shared" ref="AW37:AW40" si="102">AT37-AQ37</f>
        <v>500000</v>
      </c>
      <c r="AX37" s="19"/>
      <c r="AY37" s="19">
        <v>1300000</v>
      </c>
      <c r="AZ37" s="19">
        <f t="shared" si="36"/>
        <v>0</v>
      </c>
      <c r="BA37" s="19">
        <f t="shared" si="37"/>
        <v>1300000</v>
      </c>
      <c r="BB37" s="19">
        <f t="shared" si="38"/>
        <v>800000</v>
      </c>
      <c r="BC37" s="66"/>
      <c r="BD37" s="19">
        <v>1300000</v>
      </c>
      <c r="BE37" s="19">
        <f t="shared" si="39"/>
        <v>0</v>
      </c>
      <c r="BF37" s="19">
        <f t="shared" si="40"/>
        <v>1300000</v>
      </c>
      <c r="BG37" s="19">
        <f t="shared" si="41"/>
        <v>800000</v>
      </c>
      <c r="BH37" s="19">
        <f t="shared" si="42"/>
        <v>0</v>
      </c>
      <c r="BI37" s="73"/>
      <c r="BJ37" s="19">
        <v>1400000</v>
      </c>
      <c r="BK37" s="12">
        <v>-100000</v>
      </c>
      <c r="BL37" s="19">
        <f t="shared" si="43"/>
        <v>1300000</v>
      </c>
      <c r="BM37" s="20">
        <v>100000</v>
      </c>
      <c r="BN37" s="19">
        <f t="shared" si="44"/>
        <v>1400000</v>
      </c>
      <c r="BO37" s="12">
        <f t="shared" si="3"/>
        <v>100000</v>
      </c>
      <c r="BP37" s="19">
        <f t="shared" si="4"/>
        <v>1400000</v>
      </c>
      <c r="BQ37" s="19">
        <f t="shared" si="5"/>
        <v>900000</v>
      </c>
      <c r="BR37" s="19">
        <f t="shared" si="6"/>
        <v>100000</v>
      </c>
      <c r="BS37" s="19">
        <f t="shared" si="7"/>
        <v>0</v>
      </c>
      <c r="BT37" s="73" t="s">
        <v>215</v>
      </c>
      <c r="BU37" s="80"/>
      <c r="BV37" s="78">
        <f t="shared" si="45"/>
        <v>1400000</v>
      </c>
      <c r="BW37" s="78"/>
      <c r="BX37" s="78">
        <f t="shared" si="46"/>
        <v>1400000</v>
      </c>
      <c r="BY37" s="78">
        <v>-100000</v>
      </c>
      <c r="BZ37" s="93">
        <v>1300000</v>
      </c>
      <c r="CA37" s="93">
        <v>1300000</v>
      </c>
      <c r="CB37" s="88">
        <f t="shared" si="98"/>
        <v>0</v>
      </c>
      <c r="CC37" s="80"/>
      <c r="CD37" s="65">
        <v>0</v>
      </c>
      <c r="CE37" s="93">
        <f t="shared" si="48"/>
        <v>-1300000</v>
      </c>
      <c r="CF37" s="93">
        <f t="shared" si="49"/>
        <v>-1300000</v>
      </c>
      <c r="CG37" s="80" t="s">
        <v>260</v>
      </c>
      <c r="CH37" s="65">
        <v>500000</v>
      </c>
      <c r="CI37" s="93">
        <f t="shared" si="50"/>
        <v>-800000</v>
      </c>
      <c r="CJ37" s="93">
        <f t="shared" si="51"/>
        <v>-800000</v>
      </c>
      <c r="CK37" s="93">
        <f t="shared" si="52"/>
        <v>500000</v>
      </c>
      <c r="CL37" s="80" t="s">
        <v>277</v>
      </c>
      <c r="CM37" s="65">
        <v>1300000</v>
      </c>
      <c r="CN37" s="93">
        <f t="shared" si="82"/>
        <v>0</v>
      </c>
      <c r="CO37" s="93">
        <f t="shared" si="53"/>
        <v>0</v>
      </c>
      <c r="CP37" s="93">
        <f t="shared" si="54"/>
        <v>800000</v>
      </c>
      <c r="CQ37" s="80"/>
      <c r="CR37" s="65">
        <v>1300000</v>
      </c>
      <c r="CS37" s="93">
        <f t="shared" si="55"/>
        <v>0</v>
      </c>
      <c r="CT37" s="93">
        <f t="shared" si="56"/>
        <v>0</v>
      </c>
      <c r="CU37" s="93">
        <f t="shared" si="57"/>
        <v>800000</v>
      </c>
      <c r="CV37" s="93">
        <f t="shared" si="58"/>
        <v>0</v>
      </c>
      <c r="CW37" s="80"/>
      <c r="CX37" s="65">
        <v>1400000</v>
      </c>
      <c r="CY37" s="93">
        <f t="shared" si="99"/>
        <v>100000</v>
      </c>
      <c r="CZ37" s="93">
        <f t="shared" si="9"/>
        <v>100000</v>
      </c>
      <c r="DA37" s="93">
        <f t="shared" si="10"/>
        <v>900000</v>
      </c>
      <c r="DB37" s="93">
        <f t="shared" si="11"/>
        <v>100000</v>
      </c>
      <c r="DC37" s="80" t="s">
        <v>277</v>
      </c>
      <c r="DD37" s="65">
        <v>1300000</v>
      </c>
      <c r="DE37" s="93">
        <f t="shared" si="12"/>
        <v>0</v>
      </c>
      <c r="DF37" s="93">
        <f t="shared" si="13"/>
        <v>0</v>
      </c>
      <c r="DG37" s="93">
        <f t="shared" si="59"/>
        <v>-100000</v>
      </c>
      <c r="DH37" s="80"/>
      <c r="DI37" s="65">
        <v>1400000</v>
      </c>
      <c r="DJ37" s="80" t="s">
        <v>277</v>
      </c>
      <c r="DK37" s="96"/>
      <c r="DL37" s="92">
        <f t="shared" si="14"/>
        <v>1400000</v>
      </c>
      <c r="DM37" s="127">
        <f t="shared" si="15"/>
        <v>100000</v>
      </c>
      <c r="DN37" s="148">
        <v>1300000</v>
      </c>
      <c r="DO37" s="22">
        <f t="shared" si="60"/>
        <v>-100000</v>
      </c>
      <c r="DP37" s="80" t="s">
        <v>401</v>
      </c>
      <c r="DQ37" s="145">
        <v>0</v>
      </c>
      <c r="DR37" s="145">
        <v>500000</v>
      </c>
      <c r="DS37" s="148">
        <f t="shared" si="92"/>
        <v>500000</v>
      </c>
      <c r="DT37" s="24">
        <f t="shared" si="61"/>
        <v>-1400000</v>
      </c>
      <c r="DU37" s="22">
        <f t="shared" si="62"/>
        <v>-1300000</v>
      </c>
      <c r="DV37" s="22">
        <f t="shared" si="63"/>
        <v>-900000</v>
      </c>
      <c r="DW37" s="22">
        <f t="shared" si="64"/>
        <v>-800000</v>
      </c>
      <c r="DX37" s="80"/>
      <c r="DY37" s="158" t="s">
        <v>277</v>
      </c>
      <c r="DZ37" s="148">
        <v>1300000</v>
      </c>
      <c r="EA37" s="24">
        <f t="shared" si="93"/>
        <v>-500000</v>
      </c>
      <c r="EB37" s="22">
        <f t="shared" si="94"/>
        <v>1300000</v>
      </c>
      <c r="EC37" s="22">
        <f t="shared" si="67"/>
        <v>-100000</v>
      </c>
      <c r="ED37" s="22">
        <f t="shared" si="68"/>
        <v>0</v>
      </c>
      <c r="EE37" s="22">
        <f t="shared" si="69"/>
        <v>800000</v>
      </c>
      <c r="EF37" s="159"/>
      <c r="EG37" s="65"/>
      <c r="EH37" s="148">
        <f t="shared" si="70"/>
        <v>1300000</v>
      </c>
      <c r="EI37" s="24">
        <f t="shared" si="95"/>
        <v>-500000</v>
      </c>
      <c r="EJ37" s="22">
        <f t="shared" si="96"/>
        <v>-500000</v>
      </c>
      <c r="EK37" s="22">
        <f t="shared" si="73"/>
        <v>-100000</v>
      </c>
      <c r="EL37" s="22">
        <f t="shared" si="74"/>
        <v>0</v>
      </c>
      <c r="EM37" s="22">
        <f t="shared" si="75"/>
        <v>800000</v>
      </c>
      <c r="EN37" s="22">
        <f t="shared" si="76"/>
        <v>0</v>
      </c>
      <c r="EO37" s="159"/>
      <c r="EP37" s="145">
        <v>1400000</v>
      </c>
      <c r="EQ37" s="148">
        <v>1400000</v>
      </c>
      <c r="ER37" s="148"/>
      <c r="ES37" s="148">
        <f t="shared" si="77"/>
        <v>1400000</v>
      </c>
      <c r="ET37" s="22">
        <f t="shared" si="78"/>
        <v>100000</v>
      </c>
      <c r="EU37" s="22">
        <f t="shared" si="79"/>
        <v>0</v>
      </c>
      <c r="EV37" s="159" t="s">
        <v>620</v>
      </c>
      <c r="EW37" s="201" t="s">
        <v>620</v>
      </c>
      <c r="EX37" s="148">
        <v>1300000</v>
      </c>
      <c r="EY37" s="5">
        <f t="shared" si="80"/>
        <v>-100000</v>
      </c>
      <c r="EZ37" s="80" t="s">
        <v>689</v>
      </c>
      <c r="FA37" s="208">
        <v>0</v>
      </c>
      <c r="FB37" s="5">
        <f t="shared" si="0"/>
        <v>-1400000</v>
      </c>
      <c r="FC37" s="5">
        <f t="shared" si="1"/>
        <v>-1300000</v>
      </c>
      <c r="FD37" s="80" t="s">
        <v>690</v>
      </c>
    </row>
    <row r="38" spans="1:163" ht="25.5" hidden="1" customHeight="1" x14ac:dyDescent="0.2">
      <c r="A38" s="21" t="s">
        <v>108</v>
      </c>
      <c r="B38" s="9"/>
      <c r="C38" s="27" t="s">
        <v>109</v>
      </c>
      <c r="D38" s="20"/>
      <c r="E38" s="20">
        <v>500000</v>
      </c>
      <c r="F38" s="5">
        <f t="shared" si="17"/>
        <v>500000</v>
      </c>
      <c r="G38" s="22">
        <v>0</v>
      </c>
      <c r="H38" s="5">
        <f t="shared" si="18"/>
        <v>0</v>
      </c>
      <c r="I38" s="5">
        <f t="shared" si="83"/>
        <v>-500000</v>
      </c>
      <c r="J38" s="31"/>
      <c r="K38" s="19">
        <v>0</v>
      </c>
      <c r="L38" s="11">
        <f t="shared" si="19"/>
        <v>0</v>
      </c>
      <c r="M38" s="11">
        <f t="shared" si="84"/>
        <v>-500000</v>
      </c>
      <c r="N38" s="11">
        <f t="shared" si="20"/>
        <v>0</v>
      </c>
      <c r="O38" s="19">
        <v>0</v>
      </c>
      <c r="P38" s="11">
        <f t="shared" si="21"/>
        <v>0</v>
      </c>
      <c r="Q38" s="11">
        <f t="shared" si="85"/>
        <v>-500000</v>
      </c>
      <c r="R38" s="11">
        <f t="shared" si="22"/>
        <v>0</v>
      </c>
      <c r="S38" s="19">
        <v>0</v>
      </c>
      <c r="T38" s="11">
        <f t="shared" si="23"/>
        <v>0</v>
      </c>
      <c r="U38" s="11">
        <f t="shared" si="86"/>
        <v>-500000</v>
      </c>
      <c r="V38" s="11">
        <f t="shared" si="81"/>
        <v>0</v>
      </c>
      <c r="W38" s="11">
        <f t="shared" si="24"/>
        <v>0</v>
      </c>
      <c r="X38" s="19">
        <v>0</v>
      </c>
      <c r="Y38" s="11">
        <f t="shared" si="87"/>
        <v>0</v>
      </c>
      <c r="Z38" s="11">
        <f t="shared" si="88"/>
        <v>-500000</v>
      </c>
      <c r="AA38" s="11">
        <f t="shared" si="25"/>
        <v>0</v>
      </c>
      <c r="AB38" s="11">
        <f t="shared" si="26"/>
        <v>0</v>
      </c>
      <c r="AC38" s="19">
        <v>0</v>
      </c>
      <c r="AD38" s="11">
        <f t="shared" si="89"/>
        <v>0</v>
      </c>
      <c r="AE38" s="11">
        <f t="shared" si="27"/>
        <v>0</v>
      </c>
      <c r="AF38" s="11">
        <f t="shared" si="2"/>
        <v>0</v>
      </c>
      <c r="AG38" s="19">
        <v>0</v>
      </c>
      <c r="AH38" s="11">
        <f t="shared" si="90"/>
        <v>0</v>
      </c>
      <c r="AI38" s="11"/>
      <c r="AJ38" s="11">
        <f t="shared" si="28"/>
        <v>0</v>
      </c>
      <c r="AK38" s="11"/>
      <c r="AL38" s="11"/>
      <c r="AM38" s="11">
        <f t="shared" si="29"/>
        <v>0</v>
      </c>
      <c r="AN38" s="19">
        <v>0</v>
      </c>
      <c r="AO38" s="11">
        <f t="shared" si="30"/>
        <v>0</v>
      </c>
      <c r="AP38" s="11"/>
      <c r="AQ38" s="19">
        <v>0</v>
      </c>
      <c r="AR38" s="19">
        <f t="shared" si="31"/>
        <v>0</v>
      </c>
      <c r="AS38" s="19">
        <f t="shared" si="32"/>
        <v>0</v>
      </c>
      <c r="AT38" s="19">
        <v>0</v>
      </c>
      <c r="AU38" s="19">
        <f t="shared" si="100"/>
        <v>0</v>
      </c>
      <c r="AV38" s="19">
        <f t="shared" si="101"/>
        <v>0</v>
      </c>
      <c r="AW38" s="19">
        <f t="shared" si="102"/>
        <v>0</v>
      </c>
      <c r="AX38" s="19"/>
      <c r="AY38" s="19"/>
      <c r="AZ38" s="19">
        <f t="shared" si="36"/>
        <v>0</v>
      </c>
      <c r="BA38" s="19">
        <f t="shared" si="37"/>
        <v>0</v>
      </c>
      <c r="BB38" s="19">
        <f t="shared" si="38"/>
        <v>0</v>
      </c>
      <c r="BC38" s="66"/>
      <c r="BD38" s="19"/>
      <c r="BE38" s="19">
        <f t="shared" si="39"/>
        <v>0</v>
      </c>
      <c r="BF38" s="19">
        <f t="shared" si="40"/>
        <v>0</v>
      </c>
      <c r="BG38" s="19">
        <f t="shared" si="41"/>
        <v>0</v>
      </c>
      <c r="BH38" s="19">
        <f t="shared" si="42"/>
        <v>0</v>
      </c>
      <c r="BI38" s="73"/>
      <c r="BJ38" s="19"/>
      <c r="BK38" s="12"/>
      <c r="BL38" s="19">
        <f t="shared" si="43"/>
        <v>0</v>
      </c>
      <c r="BM38" s="20"/>
      <c r="BN38" s="19">
        <f t="shared" si="44"/>
        <v>0</v>
      </c>
      <c r="BO38" s="12">
        <f t="shared" si="3"/>
        <v>0</v>
      </c>
      <c r="BP38" s="19">
        <f t="shared" si="4"/>
        <v>0</v>
      </c>
      <c r="BQ38" s="19">
        <f t="shared" si="5"/>
        <v>0</v>
      </c>
      <c r="BR38" s="19">
        <f t="shared" si="6"/>
        <v>0</v>
      </c>
      <c r="BS38" s="19">
        <f t="shared" si="7"/>
        <v>0</v>
      </c>
      <c r="BT38" s="73"/>
      <c r="BU38" s="80"/>
      <c r="BV38" s="78">
        <f t="shared" si="45"/>
        <v>0</v>
      </c>
      <c r="BW38" s="78"/>
      <c r="BX38" s="78">
        <f t="shared" si="46"/>
        <v>0</v>
      </c>
      <c r="BY38" s="78"/>
      <c r="BZ38" s="93">
        <v>0</v>
      </c>
      <c r="CA38" s="93"/>
      <c r="CB38" s="88"/>
      <c r="CC38" s="80"/>
      <c r="CD38" s="65"/>
      <c r="CE38" s="93">
        <f t="shared" si="48"/>
        <v>0</v>
      </c>
      <c r="CF38" s="93">
        <f t="shared" si="49"/>
        <v>0</v>
      </c>
      <c r="CG38" s="80"/>
      <c r="CH38" s="65"/>
      <c r="CI38" s="93">
        <f t="shared" si="50"/>
        <v>0</v>
      </c>
      <c r="CJ38" s="93">
        <f t="shared" si="51"/>
        <v>0</v>
      </c>
      <c r="CK38" s="93">
        <f t="shared" si="52"/>
        <v>0</v>
      </c>
      <c r="CL38" s="80"/>
      <c r="CM38" s="65"/>
      <c r="CN38" s="93">
        <f t="shared" si="82"/>
        <v>0</v>
      </c>
      <c r="CO38" s="93">
        <f t="shared" si="53"/>
        <v>0</v>
      </c>
      <c r="CP38" s="93">
        <f t="shared" si="54"/>
        <v>0</v>
      </c>
      <c r="CQ38" s="80"/>
      <c r="CR38" s="65"/>
      <c r="CS38" s="93">
        <f t="shared" si="55"/>
        <v>0</v>
      </c>
      <c r="CT38" s="93">
        <f t="shared" si="56"/>
        <v>0</v>
      </c>
      <c r="CU38" s="93">
        <f t="shared" si="57"/>
        <v>0</v>
      </c>
      <c r="CV38" s="93">
        <f t="shared" si="58"/>
        <v>0</v>
      </c>
      <c r="CW38" s="80"/>
      <c r="CX38" s="65"/>
      <c r="CY38" s="93">
        <f t="shared" si="99"/>
        <v>0</v>
      </c>
      <c r="CZ38" s="93">
        <f t="shared" si="9"/>
        <v>0</v>
      </c>
      <c r="DA38" s="93">
        <f t="shared" si="10"/>
        <v>0</v>
      </c>
      <c r="DB38" s="93">
        <f t="shared" si="11"/>
        <v>0</v>
      </c>
      <c r="DC38" s="80"/>
      <c r="DD38" s="65"/>
      <c r="DE38" s="93">
        <f t="shared" si="12"/>
        <v>0</v>
      </c>
      <c r="DF38" s="93">
        <f t="shared" si="13"/>
        <v>0</v>
      </c>
      <c r="DG38" s="93">
        <f t="shared" si="59"/>
        <v>0</v>
      </c>
      <c r="DH38" s="80"/>
      <c r="DI38" s="65"/>
      <c r="DJ38" s="80"/>
      <c r="DK38" s="96"/>
      <c r="DL38" s="92">
        <f t="shared" si="14"/>
        <v>0</v>
      </c>
      <c r="DM38" s="127">
        <f t="shared" si="15"/>
        <v>0</v>
      </c>
      <c r="DN38" s="148"/>
      <c r="DO38" s="22">
        <f t="shared" si="60"/>
        <v>0</v>
      </c>
      <c r="DP38" s="80"/>
      <c r="DQ38" s="145"/>
      <c r="DR38" s="145"/>
      <c r="DS38" s="148">
        <f t="shared" si="92"/>
        <v>0</v>
      </c>
      <c r="DT38" s="24">
        <f t="shared" si="61"/>
        <v>0</v>
      </c>
      <c r="DU38" s="22">
        <f t="shared" si="62"/>
        <v>0</v>
      </c>
      <c r="DV38" s="22">
        <f t="shared" si="63"/>
        <v>0</v>
      </c>
      <c r="DW38" s="22">
        <f t="shared" si="64"/>
        <v>0</v>
      </c>
      <c r="DX38" s="80"/>
      <c r="DY38" s="157"/>
      <c r="DZ38" s="148"/>
      <c r="EA38" s="24">
        <f t="shared" si="93"/>
        <v>0</v>
      </c>
      <c r="EB38" s="22">
        <f t="shared" si="94"/>
        <v>0</v>
      </c>
      <c r="EC38" s="22">
        <f t="shared" si="67"/>
        <v>0</v>
      </c>
      <c r="ED38" s="22">
        <f t="shared" si="68"/>
        <v>0</v>
      </c>
      <c r="EE38" s="22">
        <f t="shared" si="69"/>
        <v>0</v>
      </c>
      <c r="EF38" s="164"/>
      <c r="EG38" s="172"/>
      <c r="EH38" s="148">
        <f t="shared" si="70"/>
        <v>0</v>
      </c>
      <c r="EI38" s="24">
        <f t="shared" si="95"/>
        <v>0</v>
      </c>
      <c r="EJ38" s="22">
        <f t="shared" si="96"/>
        <v>0</v>
      </c>
      <c r="EK38" s="22">
        <f t="shared" si="73"/>
        <v>0</v>
      </c>
      <c r="EL38" s="22">
        <f t="shared" si="74"/>
        <v>0</v>
      </c>
      <c r="EM38" s="22">
        <f t="shared" si="75"/>
        <v>0</v>
      </c>
      <c r="EN38" s="22">
        <f t="shared" si="76"/>
        <v>0</v>
      </c>
      <c r="EO38" s="164"/>
      <c r="EP38" s="145"/>
      <c r="EQ38" s="148"/>
      <c r="ER38" s="148"/>
      <c r="ES38" s="148">
        <f t="shared" si="77"/>
        <v>0</v>
      </c>
      <c r="ET38" s="22">
        <f t="shared" si="78"/>
        <v>0</v>
      </c>
      <c r="EU38" s="22">
        <f t="shared" si="79"/>
        <v>0</v>
      </c>
      <c r="EV38" s="159"/>
      <c r="EW38" s="201"/>
      <c r="EX38" s="148">
        <v>0</v>
      </c>
      <c r="EY38" s="5">
        <f t="shared" si="80"/>
        <v>0</v>
      </c>
      <c r="EZ38" s="80"/>
      <c r="FA38" s="145"/>
      <c r="FB38" s="5">
        <f t="shared" si="0"/>
        <v>0</v>
      </c>
      <c r="FC38" s="5">
        <f t="shared" si="1"/>
        <v>0</v>
      </c>
      <c r="FD38" s="80"/>
    </row>
    <row r="39" spans="1:163" ht="12.75" hidden="1" customHeight="1" x14ac:dyDescent="0.2">
      <c r="A39" s="21" t="s">
        <v>111</v>
      </c>
      <c r="B39" s="9"/>
      <c r="C39" s="27" t="s">
        <v>110</v>
      </c>
      <c r="D39" s="20"/>
      <c r="E39" s="20">
        <v>200000</v>
      </c>
      <c r="F39" s="5">
        <f t="shared" si="17"/>
        <v>200000</v>
      </c>
      <c r="G39" s="22">
        <v>0</v>
      </c>
      <c r="H39" s="5">
        <f t="shared" si="18"/>
        <v>0</v>
      </c>
      <c r="I39" s="5">
        <f t="shared" si="83"/>
        <v>-200000</v>
      </c>
      <c r="J39" s="31"/>
      <c r="K39" s="19">
        <v>0</v>
      </c>
      <c r="L39" s="11">
        <f t="shared" si="19"/>
        <v>0</v>
      </c>
      <c r="M39" s="11">
        <f t="shared" si="84"/>
        <v>-200000</v>
      </c>
      <c r="N39" s="11">
        <f t="shared" si="20"/>
        <v>0</v>
      </c>
      <c r="O39" s="19">
        <v>0</v>
      </c>
      <c r="P39" s="11">
        <f t="shared" si="21"/>
        <v>0</v>
      </c>
      <c r="Q39" s="11">
        <f t="shared" si="85"/>
        <v>-200000</v>
      </c>
      <c r="R39" s="11">
        <f t="shared" si="22"/>
        <v>0</v>
      </c>
      <c r="S39" s="19">
        <v>0</v>
      </c>
      <c r="T39" s="11">
        <f t="shared" si="23"/>
        <v>0</v>
      </c>
      <c r="U39" s="11">
        <f t="shared" si="86"/>
        <v>-200000</v>
      </c>
      <c r="V39" s="11">
        <f t="shared" si="81"/>
        <v>0</v>
      </c>
      <c r="W39" s="11">
        <f t="shared" si="24"/>
        <v>0</v>
      </c>
      <c r="X39" s="19">
        <v>0</v>
      </c>
      <c r="Y39" s="11">
        <f t="shared" si="87"/>
        <v>0</v>
      </c>
      <c r="Z39" s="11">
        <f t="shared" si="88"/>
        <v>-200000</v>
      </c>
      <c r="AA39" s="11">
        <f t="shared" si="25"/>
        <v>0</v>
      </c>
      <c r="AB39" s="11">
        <f t="shared" si="26"/>
        <v>0</v>
      </c>
      <c r="AC39" s="19">
        <v>0</v>
      </c>
      <c r="AD39" s="11">
        <f t="shared" si="89"/>
        <v>0</v>
      </c>
      <c r="AE39" s="11">
        <f t="shared" si="27"/>
        <v>0</v>
      </c>
      <c r="AF39" s="11">
        <f t="shared" si="2"/>
        <v>0</v>
      </c>
      <c r="AG39" s="19">
        <v>0</v>
      </c>
      <c r="AH39" s="11">
        <f t="shared" si="90"/>
        <v>0</v>
      </c>
      <c r="AI39" s="11"/>
      <c r="AJ39" s="11">
        <f t="shared" si="28"/>
        <v>0</v>
      </c>
      <c r="AK39" s="11"/>
      <c r="AL39" s="11"/>
      <c r="AM39" s="11">
        <f t="shared" si="29"/>
        <v>0</v>
      </c>
      <c r="AN39" s="19">
        <v>0</v>
      </c>
      <c r="AO39" s="11">
        <f t="shared" si="30"/>
        <v>0</v>
      </c>
      <c r="AP39" s="11"/>
      <c r="AQ39" s="19">
        <v>0</v>
      </c>
      <c r="AR39" s="19">
        <f t="shared" si="31"/>
        <v>0</v>
      </c>
      <c r="AS39" s="19">
        <f t="shared" si="32"/>
        <v>0</v>
      </c>
      <c r="AT39" s="19">
        <v>0</v>
      </c>
      <c r="AU39" s="19">
        <f t="shared" si="100"/>
        <v>0</v>
      </c>
      <c r="AV39" s="19">
        <f t="shared" si="101"/>
        <v>0</v>
      </c>
      <c r="AW39" s="19">
        <f t="shared" si="102"/>
        <v>0</v>
      </c>
      <c r="AX39" s="19"/>
      <c r="AY39" s="19"/>
      <c r="AZ39" s="19">
        <f t="shared" si="36"/>
        <v>0</v>
      </c>
      <c r="BA39" s="19">
        <f t="shared" si="37"/>
        <v>0</v>
      </c>
      <c r="BB39" s="19">
        <f t="shared" si="38"/>
        <v>0</v>
      </c>
      <c r="BC39" s="66"/>
      <c r="BD39" s="19"/>
      <c r="BE39" s="19">
        <f t="shared" si="39"/>
        <v>0</v>
      </c>
      <c r="BF39" s="19">
        <f t="shared" si="40"/>
        <v>0</v>
      </c>
      <c r="BG39" s="19">
        <f t="shared" si="41"/>
        <v>0</v>
      </c>
      <c r="BH39" s="19">
        <f t="shared" si="42"/>
        <v>0</v>
      </c>
      <c r="BI39" s="73"/>
      <c r="BJ39" s="19"/>
      <c r="BK39" s="12"/>
      <c r="BL39" s="19">
        <f t="shared" si="43"/>
        <v>0</v>
      </c>
      <c r="BM39" s="20"/>
      <c r="BN39" s="19">
        <f t="shared" si="44"/>
        <v>0</v>
      </c>
      <c r="BO39" s="12">
        <f t="shared" si="3"/>
        <v>0</v>
      </c>
      <c r="BP39" s="19">
        <f t="shared" si="4"/>
        <v>0</v>
      </c>
      <c r="BQ39" s="19">
        <f t="shared" si="5"/>
        <v>0</v>
      </c>
      <c r="BR39" s="19">
        <f t="shared" si="6"/>
        <v>0</v>
      </c>
      <c r="BS39" s="19">
        <f t="shared" si="7"/>
        <v>0</v>
      </c>
      <c r="BT39" s="73"/>
      <c r="BU39" s="80"/>
      <c r="BV39" s="78">
        <f t="shared" si="45"/>
        <v>0</v>
      </c>
      <c r="BW39" s="78"/>
      <c r="BX39" s="78">
        <f t="shared" si="46"/>
        <v>0</v>
      </c>
      <c r="BY39" s="78"/>
      <c r="BZ39" s="93">
        <v>0</v>
      </c>
      <c r="CA39" s="93"/>
      <c r="CB39" s="88"/>
      <c r="CC39" s="80"/>
      <c r="CD39" s="65"/>
      <c r="CE39" s="93">
        <f t="shared" si="48"/>
        <v>0</v>
      </c>
      <c r="CF39" s="93">
        <f t="shared" si="49"/>
        <v>0</v>
      </c>
      <c r="CG39" s="80"/>
      <c r="CH39" s="65"/>
      <c r="CI39" s="93">
        <f t="shared" si="50"/>
        <v>0</v>
      </c>
      <c r="CJ39" s="93">
        <f t="shared" si="51"/>
        <v>0</v>
      </c>
      <c r="CK39" s="93">
        <f t="shared" si="52"/>
        <v>0</v>
      </c>
      <c r="CL39" s="80"/>
      <c r="CM39" s="65"/>
      <c r="CN39" s="93">
        <f t="shared" si="82"/>
        <v>0</v>
      </c>
      <c r="CO39" s="93">
        <f t="shared" si="53"/>
        <v>0</v>
      </c>
      <c r="CP39" s="93">
        <f t="shared" si="54"/>
        <v>0</v>
      </c>
      <c r="CQ39" s="80"/>
      <c r="CR39" s="65"/>
      <c r="CS39" s="93">
        <f t="shared" si="55"/>
        <v>0</v>
      </c>
      <c r="CT39" s="93">
        <f t="shared" si="56"/>
        <v>0</v>
      </c>
      <c r="CU39" s="93">
        <f t="shared" si="57"/>
        <v>0</v>
      </c>
      <c r="CV39" s="93">
        <f t="shared" si="58"/>
        <v>0</v>
      </c>
      <c r="CW39" s="80"/>
      <c r="CX39" s="65"/>
      <c r="CY39" s="93">
        <f t="shared" si="99"/>
        <v>0</v>
      </c>
      <c r="CZ39" s="93">
        <f t="shared" si="9"/>
        <v>0</v>
      </c>
      <c r="DA39" s="93">
        <f t="shared" si="10"/>
        <v>0</v>
      </c>
      <c r="DB39" s="93">
        <f t="shared" si="11"/>
        <v>0</v>
      </c>
      <c r="DC39" s="80"/>
      <c r="DD39" s="65"/>
      <c r="DE39" s="93">
        <f t="shared" si="12"/>
        <v>0</v>
      </c>
      <c r="DF39" s="93">
        <f t="shared" si="13"/>
        <v>0</v>
      </c>
      <c r="DG39" s="93">
        <f t="shared" si="59"/>
        <v>0</v>
      </c>
      <c r="DH39" s="80"/>
      <c r="DI39" s="65"/>
      <c r="DJ39" s="80"/>
      <c r="DK39" s="96"/>
      <c r="DL39" s="92">
        <f t="shared" si="14"/>
        <v>0</v>
      </c>
      <c r="DM39" s="127">
        <f t="shared" si="15"/>
        <v>0</v>
      </c>
      <c r="DN39" s="148"/>
      <c r="DO39" s="22">
        <f t="shared" si="60"/>
        <v>0</v>
      </c>
      <c r="DP39" s="80"/>
      <c r="DQ39" s="145"/>
      <c r="DR39" s="145"/>
      <c r="DS39" s="148">
        <f t="shared" si="92"/>
        <v>0</v>
      </c>
      <c r="DT39" s="24">
        <f t="shared" si="61"/>
        <v>0</v>
      </c>
      <c r="DU39" s="22">
        <f t="shared" si="62"/>
        <v>0</v>
      </c>
      <c r="DV39" s="22">
        <f t="shared" si="63"/>
        <v>0</v>
      </c>
      <c r="DW39" s="22">
        <f t="shared" si="64"/>
        <v>0</v>
      </c>
      <c r="DX39" s="80"/>
      <c r="DY39" s="157"/>
      <c r="DZ39" s="148"/>
      <c r="EA39" s="24">
        <f t="shared" si="93"/>
        <v>0</v>
      </c>
      <c r="EB39" s="22">
        <f t="shared" si="94"/>
        <v>0</v>
      </c>
      <c r="EC39" s="22">
        <f t="shared" si="67"/>
        <v>0</v>
      </c>
      <c r="ED39" s="22">
        <f t="shared" si="68"/>
        <v>0</v>
      </c>
      <c r="EE39" s="22">
        <f t="shared" si="69"/>
        <v>0</v>
      </c>
      <c r="EF39" s="164"/>
      <c r="EG39" s="172"/>
      <c r="EH39" s="148">
        <f t="shared" si="70"/>
        <v>0</v>
      </c>
      <c r="EI39" s="24">
        <f t="shared" si="95"/>
        <v>0</v>
      </c>
      <c r="EJ39" s="22">
        <f t="shared" si="96"/>
        <v>0</v>
      </c>
      <c r="EK39" s="22">
        <f t="shared" si="73"/>
        <v>0</v>
      </c>
      <c r="EL39" s="22">
        <f t="shared" si="74"/>
        <v>0</v>
      </c>
      <c r="EM39" s="22">
        <f t="shared" si="75"/>
        <v>0</v>
      </c>
      <c r="EN39" s="22">
        <f t="shared" si="76"/>
        <v>0</v>
      </c>
      <c r="EO39" s="164"/>
      <c r="EP39" s="145"/>
      <c r="EQ39" s="148"/>
      <c r="ER39" s="148"/>
      <c r="ES39" s="148">
        <f t="shared" si="77"/>
        <v>0</v>
      </c>
      <c r="ET39" s="22">
        <f t="shared" si="78"/>
        <v>0</v>
      </c>
      <c r="EU39" s="22">
        <f t="shared" si="79"/>
        <v>0</v>
      </c>
      <c r="EV39" s="159"/>
      <c r="EW39" s="201"/>
      <c r="EX39" s="148">
        <v>0</v>
      </c>
      <c r="EY39" s="5">
        <f t="shared" si="80"/>
        <v>0</v>
      </c>
      <c r="EZ39" s="80"/>
      <c r="FA39" s="145"/>
      <c r="FB39" s="5">
        <f t="shared" si="0"/>
        <v>0</v>
      </c>
      <c r="FC39" s="5">
        <f t="shared" si="1"/>
        <v>0</v>
      </c>
      <c r="FD39" s="80"/>
    </row>
    <row r="40" spans="1:163" ht="12.75" hidden="1" customHeight="1" x14ac:dyDescent="0.2">
      <c r="A40" s="8" t="s">
        <v>65</v>
      </c>
      <c r="B40" s="9"/>
      <c r="C40" s="27" t="s">
        <v>67</v>
      </c>
      <c r="D40" s="20">
        <v>246250</v>
      </c>
      <c r="E40" s="20">
        <v>0</v>
      </c>
      <c r="F40" s="5">
        <f t="shared" si="17"/>
        <v>-246250</v>
      </c>
      <c r="G40" s="22"/>
      <c r="H40" s="5">
        <f t="shared" si="18"/>
        <v>-246250</v>
      </c>
      <c r="I40" s="5">
        <f t="shared" si="83"/>
        <v>0</v>
      </c>
      <c r="J40" s="31"/>
      <c r="K40" s="19">
        <v>0</v>
      </c>
      <c r="L40" s="11">
        <f t="shared" si="19"/>
        <v>-246250</v>
      </c>
      <c r="M40" s="11">
        <f t="shared" si="84"/>
        <v>0</v>
      </c>
      <c r="N40" s="11">
        <f t="shared" si="20"/>
        <v>0</v>
      </c>
      <c r="O40" s="19">
        <v>222000</v>
      </c>
      <c r="P40" s="11">
        <f t="shared" si="21"/>
        <v>-24250</v>
      </c>
      <c r="Q40" s="11">
        <f t="shared" si="85"/>
        <v>222000</v>
      </c>
      <c r="R40" s="11">
        <f t="shared" si="22"/>
        <v>222000</v>
      </c>
      <c r="S40" s="19">
        <v>222000</v>
      </c>
      <c r="T40" s="11">
        <f t="shared" si="23"/>
        <v>-24250</v>
      </c>
      <c r="U40" s="11">
        <f t="shared" si="86"/>
        <v>222000</v>
      </c>
      <c r="V40" s="11">
        <f t="shared" si="81"/>
        <v>222000</v>
      </c>
      <c r="W40" s="11">
        <f t="shared" si="24"/>
        <v>0</v>
      </c>
      <c r="X40" s="19">
        <v>0</v>
      </c>
      <c r="Y40" s="11">
        <f t="shared" si="87"/>
        <v>-246250</v>
      </c>
      <c r="Z40" s="11">
        <f t="shared" si="88"/>
        <v>0</v>
      </c>
      <c r="AA40" s="11">
        <f t="shared" si="25"/>
        <v>0</v>
      </c>
      <c r="AB40" s="11">
        <f t="shared" si="26"/>
        <v>-222000</v>
      </c>
      <c r="AC40" s="19">
        <v>0</v>
      </c>
      <c r="AD40" s="11">
        <f t="shared" si="89"/>
        <v>-246250</v>
      </c>
      <c r="AE40" s="11">
        <f t="shared" si="27"/>
        <v>0</v>
      </c>
      <c r="AF40" s="11">
        <f t="shared" si="2"/>
        <v>0</v>
      </c>
      <c r="AG40" s="19">
        <v>0</v>
      </c>
      <c r="AH40" s="11">
        <f t="shared" si="90"/>
        <v>-246250</v>
      </c>
      <c r="AI40" s="11"/>
      <c r="AJ40" s="11">
        <f t="shared" si="28"/>
        <v>0</v>
      </c>
      <c r="AK40" s="11"/>
      <c r="AL40" s="11"/>
      <c r="AM40" s="11">
        <f t="shared" si="29"/>
        <v>0</v>
      </c>
      <c r="AN40" s="19">
        <v>0</v>
      </c>
      <c r="AO40" s="11">
        <f t="shared" si="30"/>
        <v>0</v>
      </c>
      <c r="AP40" s="11"/>
      <c r="AQ40" s="19">
        <v>0</v>
      </c>
      <c r="AR40" s="19">
        <f t="shared" si="31"/>
        <v>0</v>
      </c>
      <c r="AS40" s="19">
        <f t="shared" si="32"/>
        <v>0</v>
      </c>
      <c r="AT40" s="19"/>
      <c r="AU40" s="19">
        <f t="shared" si="100"/>
        <v>0</v>
      </c>
      <c r="AV40" s="19">
        <f t="shared" si="101"/>
        <v>0</v>
      </c>
      <c r="AW40" s="19">
        <f t="shared" si="102"/>
        <v>0</v>
      </c>
      <c r="AX40" s="19"/>
      <c r="AY40" s="19"/>
      <c r="AZ40" s="19">
        <f t="shared" si="36"/>
        <v>0</v>
      </c>
      <c r="BA40" s="19">
        <f t="shared" si="37"/>
        <v>0</v>
      </c>
      <c r="BB40" s="19">
        <f t="shared" si="38"/>
        <v>0</v>
      </c>
      <c r="BC40" s="66"/>
      <c r="BD40" s="19"/>
      <c r="BE40" s="19">
        <f t="shared" si="39"/>
        <v>0</v>
      </c>
      <c r="BF40" s="19">
        <f t="shared" si="40"/>
        <v>0</v>
      </c>
      <c r="BG40" s="19">
        <f t="shared" si="41"/>
        <v>0</v>
      </c>
      <c r="BH40" s="19">
        <f t="shared" si="42"/>
        <v>0</v>
      </c>
      <c r="BI40" s="73"/>
      <c r="BJ40" s="19"/>
      <c r="BK40" s="11"/>
      <c r="BL40" s="19">
        <f t="shared" si="43"/>
        <v>0</v>
      </c>
      <c r="BM40" s="20"/>
      <c r="BN40" s="19">
        <f t="shared" si="44"/>
        <v>0</v>
      </c>
      <c r="BO40" s="12">
        <f t="shared" si="3"/>
        <v>0</v>
      </c>
      <c r="BP40" s="19">
        <f t="shared" si="4"/>
        <v>0</v>
      </c>
      <c r="BQ40" s="19">
        <f t="shared" si="5"/>
        <v>0</v>
      </c>
      <c r="BR40" s="19">
        <f t="shared" si="6"/>
        <v>0</v>
      </c>
      <c r="BS40" s="19">
        <f t="shared" si="7"/>
        <v>0</v>
      </c>
      <c r="BT40" s="73"/>
      <c r="BU40" s="80"/>
      <c r="BV40" s="78">
        <f t="shared" si="45"/>
        <v>0</v>
      </c>
      <c r="BW40" s="78"/>
      <c r="BX40" s="78">
        <f t="shared" si="46"/>
        <v>0</v>
      </c>
      <c r="BY40" s="78"/>
      <c r="BZ40" s="93">
        <v>0</v>
      </c>
      <c r="CA40" s="93"/>
      <c r="CB40" s="88"/>
      <c r="CC40" s="80"/>
      <c r="CD40" s="65"/>
      <c r="CE40" s="93">
        <f t="shared" si="48"/>
        <v>0</v>
      </c>
      <c r="CF40" s="93">
        <f t="shared" si="49"/>
        <v>0</v>
      </c>
      <c r="CG40" s="80"/>
      <c r="CH40" s="65"/>
      <c r="CI40" s="93">
        <f t="shared" si="50"/>
        <v>0</v>
      </c>
      <c r="CJ40" s="93">
        <f t="shared" si="51"/>
        <v>0</v>
      </c>
      <c r="CK40" s="93">
        <f t="shared" si="52"/>
        <v>0</v>
      </c>
      <c r="CL40" s="80"/>
      <c r="CM40" s="65"/>
      <c r="CN40" s="93">
        <f t="shared" si="82"/>
        <v>0</v>
      </c>
      <c r="CO40" s="93">
        <f t="shared" si="53"/>
        <v>0</v>
      </c>
      <c r="CP40" s="93">
        <f t="shared" si="54"/>
        <v>0</v>
      </c>
      <c r="CQ40" s="80"/>
      <c r="CR40" s="65"/>
      <c r="CS40" s="93">
        <f t="shared" si="55"/>
        <v>0</v>
      </c>
      <c r="CT40" s="93">
        <f t="shared" si="56"/>
        <v>0</v>
      </c>
      <c r="CU40" s="93">
        <f t="shared" si="57"/>
        <v>0</v>
      </c>
      <c r="CV40" s="93">
        <f t="shared" si="58"/>
        <v>0</v>
      </c>
      <c r="CW40" s="80"/>
      <c r="CX40" s="65"/>
      <c r="CY40" s="93">
        <f t="shared" si="99"/>
        <v>0</v>
      </c>
      <c r="CZ40" s="93">
        <f t="shared" si="9"/>
        <v>0</v>
      </c>
      <c r="DA40" s="93">
        <f t="shared" si="10"/>
        <v>0</v>
      </c>
      <c r="DB40" s="93">
        <f t="shared" si="11"/>
        <v>0</v>
      </c>
      <c r="DC40" s="80"/>
      <c r="DD40" s="65"/>
      <c r="DE40" s="93">
        <f t="shared" si="12"/>
        <v>0</v>
      </c>
      <c r="DF40" s="93">
        <f t="shared" si="13"/>
        <v>0</v>
      </c>
      <c r="DG40" s="93">
        <f t="shared" si="59"/>
        <v>0</v>
      </c>
      <c r="DH40" s="80"/>
      <c r="DI40" s="65"/>
      <c r="DJ40" s="80"/>
      <c r="DK40" s="96"/>
      <c r="DL40" s="92">
        <f t="shared" si="14"/>
        <v>0</v>
      </c>
      <c r="DM40" s="127">
        <f t="shared" si="15"/>
        <v>0</v>
      </c>
      <c r="DN40" s="148"/>
      <c r="DO40" s="22">
        <f t="shared" si="60"/>
        <v>0</v>
      </c>
      <c r="DP40" s="80"/>
      <c r="DQ40" s="145"/>
      <c r="DR40" s="145"/>
      <c r="DS40" s="148">
        <f t="shared" si="92"/>
        <v>0</v>
      </c>
      <c r="DT40" s="24">
        <f t="shared" si="61"/>
        <v>0</v>
      </c>
      <c r="DU40" s="22">
        <f t="shared" si="62"/>
        <v>0</v>
      </c>
      <c r="DV40" s="22">
        <f t="shared" si="63"/>
        <v>0</v>
      </c>
      <c r="DW40" s="22">
        <f t="shared" si="64"/>
        <v>0</v>
      </c>
      <c r="DX40" s="80"/>
      <c r="DY40" s="157"/>
      <c r="DZ40" s="148"/>
      <c r="EA40" s="24">
        <f t="shared" si="93"/>
        <v>0</v>
      </c>
      <c r="EB40" s="22">
        <f t="shared" si="94"/>
        <v>0</v>
      </c>
      <c r="EC40" s="22">
        <f t="shared" si="67"/>
        <v>0</v>
      </c>
      <c r="ED40" s="22">
        <f t="shared" si="68"/>
        <v>0</v>
      </c>
      <c r="EE40" s="22">
        <f t="shared" si="69"/>
        <v>0</v>
      </c>
      <c r="EF40" s="164"/>
      <c r="EG40" s="172"/>
      <c r="EH40" s="148">
        <f t="shared" si="70"/>
        <v>0</v>
      </c>
      <c r="EI40" s="24">
        <f t="shared" si="95"/>
        <v>0</v>
      </c>
      <c r="EJ40" s="22">
        <f t="shared" si="96"/>
        <v>0</v>
      </c>
      <c r="EK40" s="22">
        <f t="shared" si="73"/>
        <v>0</v>
      </c>
      <c r="EL40" s="22">
        <f t="shared" si="74"/>
        <v>0</v>
      </c>
      <c r="EM40" s="22">
        <f t="shared" si="75"/>
        <v>0</v>
      </c>
      <c r="EN40" s="22">
        <f t="shared" si="76"/>
        <v>0</v>
      </c>
      <c r="EO40" s="164"/>
      <c r="EP40" s="145"/>
      <c r="EQ40" s="148"/>
      <c r="ER40" s="148"/>
      <c r="ES40" s="148">
        <f t="shared" si="77"/>
        <v>0</v>
      </c>
      <c r="ET40" s="22">
        <f t="shared" si="78"/>
        <v>0</v>
      </c>
      <c r="EU40" s="22">
        <f t="shared" si="79"/>
        <v>0</v>
      </c>
      <c r="EV40" s="159"/>
      <c r="EW40" s="201"/>
      <c r="EX40" s="148">
        <v>0</v>
      </c>
      <c r="EY40" s="5">
        <f t="shared" si="80"/>
        <v>0</v>
      </c>
      <c r="EZ40" s="80"/>
      <c r="FA40" s="145"/>
      <c r="FB40" s="5">
        <f t="shared" ref="FB40:FB68" si="103">FA40-ES40</f>
        <v>0</v>
      </c>
      <c r="FC40" s="5">
        <f t="shared" si="1"/>
        <v>0</v>
      </c>
      <c r="FD40" s="80"/>
    </row>
    <row r="41" spans="1:163" ht="25.5" x14ac:dyDescent="0.2">
      <c r="A41" s="10" t="s">
        <v>7</v>
      </c>
      <c r="B41" s="10"/>
      <c r="C41" s="26" t="s">
        <v>104</v>
      </c>
      <c r="D41" s="20">
        <v>76860000</v>
      </c>
      <c r="E41" s="20">
        <v>76860000</v>
      </c>
      <c r="F41" s="5">
        <f t="shared" si="17"/>
        <v>0</v>
      </c>
      <c r="G41" s="22">
        <v>76860000</v>
      </c>
      <c r="H41" s="5">
        <f t="shared" si="18"/>
        <v>0</v>
      </c>
      <c r="I41" s="5">
        <f t="shared" si="83"/>
        <v>0</v>
      </c>
      <c r="J41" s="31"/>
      <c r="K41" s="19">
        <v>76860000</v>
      </c>
      <c r="L41" s="11">
        <f t="shared" si="19"/>
        <v>0</v>
      </c>
      <c r="M41" s="11">
        <f t="shared" si="84"/>
        <v>0</v>
      </c>
      <c r="N41" s="11">
        <f t="shared" si="20"/>
        <v>0</v>
      </c>
      <c r="O41" s="19">
        <v>80000000</v>
      </c>
      <c r="P41" s="11">
        <f t="shared" si="21"/>
        <v>3140000</v>
      </c>
      <c r="Q41" s="11">
        <f t="shared" si="85"/>
        <v>3140000</v>
      </c>
      <c r="R41" s="11">
        <f t="shared" si="22"/>
        <v>3140000</v>
      </c>
      <c r="S41" s="19">
        <f>80000000+4500000</f>
        <v>84500000</v>
      </c>
      <c r="T41" s="11">
        <f t="shared" si="23"/>
        <v>7640000</v>
      </c>
      <c r="U41" s="11">
        <f t="shared" si="86"/>
        <v>7640000</v>
      </c>
      <c r="V41" s="11">
        <f t="shared" si="81"/>
        <v>7640000</v>
      </c>
      <c r="W41" s="11">
        <f t="shared" si="24"/>
        <v>4500000</v>
      </c>
      <c r="X41" s="19">
        <v>80500000</v>
      </c>
      <c r="Y41" s="11">
        <f t="shared" si="87"/>
        <v>3640000</v>
      </c>
      <c r="Z41" s="11">
        <f t="shared" si="88"/>
        <v>3640000</v>
      </c>
      <c r="AA41" s="11">
        <f t="shared" si="25"/>
        <v>3640000</v>
      </c>
      <c r="AB41" s="11">
        <f t="shared" si="26"/>
        <v>-4000000</v>
      </c>
      <c r="AC41" s="19">
        <v>80500000</v>
      </c>
      <c r="AD41" s="11">
        <f t="shared" si="89"/>
        <v>3640000</v>
      </c>
      <c r="AE41" s="11">
        <f t="shared" si="27"/>
        <v>0</v>
      </c>
      <c r="AF41" s="11">
        <f t="shared" si="2"/>
        <v>0</v>
      </c>
      <c r="AG41" s="19">
        <v>80500000</v>
      </c>
      <c r="AH41" s="11">
        <f t="shared" si="90"/>
        <v>3640000</v>
      </c>
      <c r="AI41" s="11"/>
      <c r="AJ41" s="11">
        <f t="shared" si="28"/>
        <v>80500000</v>
      </c>
      <c r="AK41" s="11"/>
      <c r="AL41" s="11"/>
      <c r="AM41" s="11">
        <f t="shared" si="29"/>
        <v>80500000</v>
      </c>
      <c r="AN41" s="19">
        <v>100975474</v>
      </c>
      <c r="AO41" s="11">
        <f t="shared" si="30"/>
        <v>20475474</v>
      </c>
      <c r="AP41" s="11"/>
      <c r="AQ41" s="19">
        <v>85500000</v>
      </c>
      <c r="AR41" s="19">
        <f t="shared" si="31"/>
        <v>5000000</v>
      </c>
      <c r="AS41" s="19">
        <f t="shared" si="32"/>
        <v>-15475474</v>
      </c>
      <c r="AT41" s="19">
        <v>85500000</v>
      </c>
      <c r="AU41" s="19">
        <f t="shared" si="33"/>
        <v>5000000</v>
      </c>
      <c r="AV41" s="19">
        <f t="shared" si="34"/>
        <v>-15475474</v>
      </c>
      <c r="AW41" s="19">
        <f t="shared" si="35"/>
        <v>0</v>
      </c>
      <c r="AX41" s="19" t="s">
        <v>166</v>
      </c>
      <c r="AY41" s="19">
        <v>87500000</v>
      </c>
      <c r="AZ41" s="19">
        <f t="shared" si="36"/>
        <v>7000000</v>
      </c>
      <c r="BA41" s="19">
        <f t="shared" si="37"/>
        <v>-13475474</v>
      </c>
      <c r="BB41" s="19">
        <f t="shared" si="38"/>
        <v>2000000</v>
      </c>
      <c r="BC41" s="66"/>
      <c r="BD41" s="19">
        <v>90000000</v>
      </c>
      <c r="BE41" s="19">
        <f t="shared" si="39"/>
        <v>9500000</v>
      </c>
      <c r="BF41" s="19">
        <f t="shared" si="40"/>
        <v>-10975474</v>
      </c>
      <c r="BG41" s="19">
        <f t="shared" si="41"/>
        <v>4500000</v>
      </c>
      <c r="BH41" s="19">
        <f t="shared" si="42"/>
        <v>2500000</v>
      </c>
      <c r="BI41" s="73"/>
      <c r="BJ41" s="19">
        <v>80500000</v>
      </c>
      <c r="BK41" s="12"/>
      <c r="BL41" s="19">
        <f t="shared" si="43"/>
        <v>80500000</v>
      </c>
      <c r="BM41" s="20"/>
      <c r="BN41" s="19">
        <f t="shared" si="44"/>
        <v>80500000</v>
      </c>
      <c r="BO41" s="12">
        <f t="shared" si="3"/>
        <v>0</v>
      </c>
      <c r="BP41" s="19">
        <f t="shared" si="4"/>
        <v>-20475474</v>
      </c>
      <c r="BQ41" s="19">
        <f t="shared" si="5"/>
        <v>-5000000</v>
      </c>
      <c r="BR41" s="19">
        <f t="shared" si="6"/>
        <v>-9500000</v>
      </c>
      <c r="BS41" s="19">
        <f t="shared" si="7"/>
        <v>0</v>
      </c>
      <c r="BT41" s="73"/>
      <c r="BU41" s="80"/>
      <c r="BV41" s="78">
        <f t="shared" si="45"/>
        <v>80500000</v>
      </c>
      <c r="BW41" s="78"/>
      <c r="BX41" s="78">
        <f t="shared" si="46"/>
        <v>80500000</v>
      </c>
      <c r="BY41" s="78"/>
      <c r="BZ41" s="93">
        <v>80500000</v>
      </c>
      <c r="CA41" s="93">
        <v>80500000</v>
      </c>
      <c r="CB41" s="88">
        <f t="shared" ref="CB41:CB44" si="104">CA41-BZ41</f>
        <v>0</v>
      </c>
      <c r="CC41" s="80"/>
      <c r="CD41" s="65">
        <v>80500000</v>
      </c>
      <c r="CE41" s="93">
        <f t="shared" si="48"/>
        <v>0</v>
      </c>
      <c r="CF41" s="93">
        <f t="shared" si="49"/>
        <v>0</v>
      </c>
      <c r="CG41" s="80"/>
      <c r="CH41" s="65">
        <v>80500000</v>
      </c>
      <c r="CI41" s="93">
        <f t="shared" si="50"/>
        <v>0</v>
      </c>
      <c r="CJ41" s="93">
        <f t="shared" si="51"/>
        <v>0</v>
      </c>
      <c r="CK41" s="93">
        <f t="shared" si="52"/>
        <v>0</v>
      </c>
      <c r="CL41" s="80"/>
      <c r="CM41" s="65">
        <v>80500000</v>
      </c>
      <c r="CN41" s="93">
        <f t="shared" si="82"/>
        <v>0</v>
      </c>
      <c r="CO41" s="93">
        <f t="shared" si="53"/>
        <v>0</v>
      </c>
      <c r="CP41" s="93">
        <f t="shared" si="54"/>
        <v>0</v>
      </c>
      <c r="CQ41" s="80"/>
      <c r="CR41" s="65">
        <v>80500000</v>
      </c>
      <c r="CS41" s="93">
        <f t="shared" si="55"/>
        <v>0</v>
      </c>
      <c r="CT41" s="93">
        <f t="shared" si="56"/>
        <v>0</v>
      </c>
      <c r="CU41" s="93">
        <f t="shared" si="57"/>
        <v>0</v>
      </c>
      <c r="CV41" s="93">
        <f t="shared" si="58"/>
        <v>0</v>
      </c>
      <c r="CW41" s="80"/>
      <c r="CX41" s="65">
        <v>80500000</v>
      </c>
      <c r="CY41" s="93">
        <f t="shared" si="99"/>
        <v>0</v>
      </c>
      <c r="CZ41" s="93">
        <f t="shared" si="9"/>
        <v>0</v>
      </c>
      <c r="DA41" s="93">
        <f t="shared" si="10"/>
        <v>0</v>
      </c>
      <c r="DB41" s="93">
        <f t="shared" si="11"/>
        <v>0</v>
      </c>
      <c r="DC41" s="80"/>
      <c r="DD41" s="65">
        <v>80500000</v>
      </c>
      <c r="DE41" s="93">
        <f t="shared" si="12"/>
        <v>0</v>
      </c>
      <c r="DF41" s="93">
        <f t="shared" si="13"/>
        <v>0</v>
      </c>
      <c r="DG41" s="93">
        <f t="shared" si="59"/>
        <v>0</v>
      </c>
      <c r="DH41" s="80"/>
      <c r="DI41" s="65">
        <v>80500000</v>
      </c>
      <c r="DJ41" s="80"/>
      <c r="DK41" s="96">
        <v>2500000</v>
      </c>
      <c r="DL41" s="92">
        <f>DI41+2500000</f>
        <v>83000000</v>
      </c>
      <c r="DM41" s="127">
        <f t="shared" si="15"/>
        <v>2500000</v>
      </c>
      <c r="DN41" s="148">
        <v>80500000</v>
      </c>
      <c r="DO41" s="22">
        <f t="shared" si="60"/>
        <v>-2500000</v>
      </c>
      <c r="DP41" s="80"/>
      <c r="DQ41" s="145">
        <v>90000000</v>
      </c>
      <c r="DR41" s="145"/>
      <c r="DS41" s="148">
        <f t="shared" si="92"/>
        <v>90000000</v>
      </c>
      <c r="DT41" s="24">
        <f t="shared" si="61"/>
        <v>7000000</v>
      </c>
      <c r="DU41" s="22">
        <f t="shared" si="62"/>
        <v>9500000</v>
      </c>
      <c r="DV41" s="22">
        <f t="shared" si="63"/>
        <v>7000000</v>
      </c>
      <c r="DW41" s="22">
        <f t="shared" si="64"/>
        <v>9500000</v>
      </c>
      <c r="DX41" s="80"/>
      <c r="DY41" s="157"/>
      <c r="DZ41" s="148">
        <v>100000000</v>
      </c>
      <c r="EA41" s="24">
        <f t="shared" si="93"/>
        <v>-90000000</v>
      </c>
      <c r="EB41" s="22">
        <f t="shared" si="94"/>
        <v>-9500000</v>
      </c>
      <c r="EC41" s="22">
        <f t="shared" si="67"/>
        <v>17000000</v>
      </c>
      <c r="ED41" s="22">
        <f t="shared" si="68"/>
        <v>19500000</v>
      </c>
      <c r="EE41" s="22">
        <f t="shared" si="69"/>
        <v>10000000</v>
      </c>
      <c r="EF41" s="164"/>
      <c r="EG41" s="172"/>
      <c r="EH41" s="148">
        <f t="shared" si="70"/>
        <v>100000000</v>
      </c>
      <c r="EI41" s="24">
        <f t="shared" si="95"/>
        <v>-90000000</v>
      </c>
      <c r="EJ41" s="22">
        <f t="shared" si="96"/>
        <v>19500000</v>
      </c>
      <c r="EK41" s="22">
        <f t="shared" si="73"/>
        <v>17000000</v>
      </c>
      <c r="EL41" s="22">
        <f t="shared" si="74"/>
        <v>19500000</v>
      </c>
      <c r="EM41" s="22">
        <f t="shared" si="75"/>
        <v>10000000</v>
      </c>
      <c r="EN41" s="22">
        <f t="shared" si="76"/>
        <v>0</v>
      </c>
      <c r="EO41" s="164"/>
      <c r="EP41" s="145">
        <v>90000000</v>
      </c>
      <c r="EQ41" s="148">
        <v>90000000</v>
      </c>
      <c r="ER41" s="148"/>
      <c r="ES41" s="148">
        <f t="shared" si="77"/>
        <v>90000000</v>
      </c>
      <c r="ET41" s="22">
        <f t="shared" si="78"/>
        <v>9500000</v>
      </c>
      <c r="EU41" s="22">
        <f t="shared" si="79"/>
        <v>7000000</v>
      </c>
      <c r="EV41" s="159"/>
      <c r="EW41" s="201"/>
      <c r="EX41" s="148">
        <v>106000000</v>
      </c>
      <c r="EY41" s="5">
        <f t="shared" si="80"/>
        <v>16000000</v>
      </c>
      <c r="EZ41" s="80"/>
      <c r="FA41" s="145">
        <v>113000000</v>
      </c>
      <c r="FB41" s="5">
        <f t="shared" si="103"/>
        <v>23000000</v>
      </c>
      <c r="FC41" s="5">
        <f t="shared" si="1"/>
        <v>7000000</v>
      </c>
      <c r="FD41" s="80"/>
    </row>
    <row r="42" spans="1:163" ht="12.75" x14ac:dyDescent="0.2">
      <c r="A42" s="10" t="s">
        <v>74</v>
      </c>
      <c r="B42" s="10"/>
      <c r="C42" s="26" t="s">
        <v>88</v>
      </c>
      <c r="D42" s="20">
        <v>731625</v>
      </c>
      <c r="E42" s="20">
        <v>0</v>
      </c>
      <c r="F42" s="5">
        <f t="shared" si="17"/>
        <v>-731625</v>
      </c>
      <c r="G42" s="22">
        <v>0</v>
      </c>
      <c r="H42" s="5">
        <f t="shared" si="18"/>
        <v>-731625</v>
      </c>
      <c r="I42" s="5">
        <f t="shared" si="83"/>
        <v>0</v>
      </c>
      <c r="J42" s="29" t="s">
        <v>116</v>
      </c>
      <c r="K42" s="19">
        <v>0</v>
      </c>
      <c r="L42" s="11">
        <f t="shared" si="19"/>
        <v>-731625</v>
      </c>
      <c r="M42" s="11">
        <f t="shared" si="84"/>
        <v>0</v>
      </c>
      <c r="N42" s="11">
        <f t="shared" si="20"/>
        <v>0</v>
      </c>
      <c r="O42" s="19">
        <v>736898</v>
      </c>
      <c r="P42" s="11">
        <f t="shared" si="21"/>
        <v>5273</v>
      </c>
      <c r="Q42" s="11">
        <f t="shared" si="85"/>
        <v>736898</v>
      </c>
      <c r="R42" s="11">
        <f t="shared" si="22"/>
        <v>736898</v>
      </c>
      <c r="S42" s="19">
        <v>736898</v>
      </c>
      <c r="T42" s="11">
        <f t="shared" si="23"/>
        <v>5273</v>
      </c>
      <c r="U42" s="11">
        <f t="shared" si="86"/>
        <v>736898</v>
      </c>
      <c r="V42" s="11">
        <f t="shared" si="81"/>
        <v>736898</v>
      </c>
      <c r="W42" s="11">
        <f t="shared" si="24"/>
        <v>0</v>
      </c>
      <c r="X42" s="19">
        <v>736898</v>
      </c>
      <c r="Y42" s="11">
        <f t="shared" si="87"/>
        <v>5273</v>
      </c>
      <c r="Z42" s="11">
        <f t="shared" si="88"/>
        <v>736898</v>
      </c>
      <c r="AA42" s="11">
        <f t="shared" si="25"/>
        <v>736898</v>
      </c>
      <c r="AB42" s="11">
        <f t="shared" si="26"/>
        <v>0</v>
      </c>
      <c r="AC42" s="19">
        <v>736898</v>
      </c>
      <c r="AD42" s="11">
        <f t="shared" si="89"/>
        <v>5273</v>
      </c>
      <c r="AE42" s="11">
        <f t="shared" si="27"/>
        <v>0</v>
      </c>
      <c r="AF42" s="11">
        <f t="shared" si="2"/>
        <v>0</v>
      </c>
      <c r="AG42" s="19">
        <v>736898</v>
      </c>
      <c r="AH42" s="11">
        <f t="shared" si="90"/>
        <v>5273</v>
      </c>
      <c r="AI42" s="11"/>
      <c r="AJ42" s="11">
        <f t="shared" si="28"/>
        <v>736898</v>
      </c>
      <c r="AK42" s="11"/>
      <c r="AL42" s="11">
        <v>-440000</v>
      </c>
      <c r="AM42" s="11">
        <f t="shared" si="29"/>
        <v>296898</v>
      </c>
      <c r="AN42" s="19">
        <v>0</v>
      </c>
      <c r="AO42" s="11">
        <f t="shared" si="30"/>
        <v>-296898</v>
      </c>
      <c r="AP42" s="11"/>
      <c r="AQ42" s="19">
        <v>0</v>
      </c>
      <c r="AR42" s="19">
        <f t="shared" si="31"/>
        <v>-296898</v>
      </c>
      <c r="AS42" s="19">
        <f t="shared" si="32"/>
        <v>0</v>
      </c>
      <c r="AT42" s="19">
        <v>0</v>
      </c>
      <c r="AU42" s="19">
        <f t="shared" si="33"/>
        <v>-296898</v>
      </c>
      <c r="AV42" s="19">
        <f t="shared" si="34"/>
        <v>0</v>
      </c>
      <c r="AW42" s="19">
        <f t="shared" si="35"/>
        <v>0</v>
      </c>
      <c r="AX42" s="19"/>
      <c r="AY42" s="19">
        <v>500000</v>
      </c>
      <c r="AZ42" s="19">
        <f t="shared" si="36"/>
        <v>203102</v>
      </c>
      <c r="BA42" s="19">
        <f t="shared" si="37"/>
        <v>500000</v>
      </c>
      <c r="BB42" s="19">
        <f t="shared" si="38"/>
        <v>500000</v>
      </c>
      <c r="BC42" s="66" t="s">
        <v>184</v>
      </c>
      <c r="BD42" s="19">
        <v>700000</v>
      </c>
      <c r="BE42" s="19">
        <f t="shared" si="39"/>
        <v>403102</v>
      </c>
      <c r="BF42" s="19">
        <f t="shared" si="40"/>
        <v>700000</v>
      </c>
      <c r="BG42" s="19">
        <f t="shared" si="41"/>
        <v>700000</v>
      </c>
      <c r="BH42" s="19">
        <f t="shared" si="42"/>
        <v>200000</v>
      </c>
      <c r="BI42" s="73"/>
      <c r="BJ42" s="19">
        <v>350000</v>
      </c>
      <c r="BK42" s="12">
        <v>-350000</v>
      </c>
      <c r="BL42" s="19">
        <f t="shared" si="43"/>
        <v>0</v>
      </c>
      <c r="BM42" s="20">
        <v>350000</v>
      </c>
      <c r="BN42" s="19">
        <f t="shared" si="44"/>
        <v>350000</v>
      </c>
      <c r="BO42" s="12">
        <f t="shared" si="3"/>
        <v>53102</v>
      </c>
      <c r="BP42" s="19">
        <f t="shared" si="4"/>
        <v>350000</v>
      </c>
      <c r="BQ42" s="19">
        <f t="shared" si="5"/>
        <v>350000</v>
      </c>
      <c r="BR42" s="19">
        <f t="shared" si="6"/>
        <v>-350000</v>
      </c>
      <c r="BS42" s="19">
        <f t="shared" si="7"/>
        <v>0</v>
      </c>
      <c r="BT42" s="80" t="s">
        <v>224</v>
      </c>
      <c r="BU42" s="80"/>
      <c r="BV42" s="78">
        <f t="shared" si="45"/>
        <v>350000</v>
      </c>
      <c r="BW42" s="78"/>
      <c r="BX42" s="78">
        <f t="shared" si="46"/>
        <v>350000</v>
      </c>
      <c r="BY42" s="78">
        <v>-350000</v>
      </c>
      <c r="BZ42" s="93">
        <v>0</v>
      </c>
      <c r="CA42" s="93">
        <v>0</v>
      </c>
      <c r="CB42" s="88">
        <f t="shared" si="104"/>
        <v>0</v>
      </c>
      <c r="CC42" s="80"/>
      <c r="CD42" s="65">
        <v>0</v>
      </c>
      <c r="CE42" s="93">
        <f t="shared" si="48"/>
        <v>0</v>
      </c>
      <c r="CF42" s="93">
        <f t="shared" si="49"/>
        <v>0</v>
      </c>
      <c r="CG42" s="80"/>
      <c r="CH42" s="65">
        <v>0</v>
      </c>
      <c r="CI42" s="93">
        <f t="shared" si="50"/>
        <v>0</v>
      </c>
      <c r="CJ42" s="93">
        <f t="shared" si="51"/>
        <v>0</v>
      </c>
      <c r="CK42" s="93">
        <f t="shared" si="52"/>
        <v>0</v>
      </c>
      <c r="CL42" s="80"/>
      <c r="CM42" s="65">
        <v>300000</v>
      </c>
      <c r="CN42" s="93">
        <f t="shared" si="82"/>
        <v>300000</v>
      </c>
      <c r="CO42" s="93">
        <f t="shared" si="53"/>
        <v>300000</v>
      </c>
      <c r="CP42" s="93">
        <f t="shared" si="54"/>
        <v>300000</v>
      </c>
      <c r="CQ42" s="80"/>
      <c r="CR42" s="65">
        <v>300000</v>
      </c>
      <c r="CS42" s="93">
        <f t="shared" si="55"/>
        <v>300000</v>
      </c>
      <c r="CT42" s="93">
        <f t="shared" si="56"/>
        <v>300000</v>
      </c>
      <c r="CU42" s="93">
        <f t="shared" si="57"/>
        <v>300000</v>
      </c>
      <c r="CV42" s="93">
        <f t="shared" si="58"/>
        <v>0</v>
      </c>
      <c r="CW42" s="80"/>
      <c r="CX42" s="65">
        <v>165000</v>
      </c>
      <c r="CY42" s="93">
        <f t="shared" si="99"/>
        <v>165000</v>
      </c>
      <c r="CZ42" s="93">
        <f t="shared" si="9"/>
        <v>165000</v>
      </c>
      <c r="DA42" s="93">
        <f t="shared" si="10"/>
        <v>165000</v>
      </c>
      <c r="DB42" s="93">
        <f t="shared" si="11"/>
        <v>-135000</v>
      </c>
      <c r="DC42" s="80" t="s">
        <v>364</v>
      </c>
      <c r="DD42" s="65">
        <v>0</v>
      </c>
      <c r="DE42" s="93">
        <f t="shared" si="12"/>
        <v>0</v>
      </c>
      <c r="DF42" s="93">
        <f t="shared" si="13"/>
        <v>0</v>
      </c>
      <c r="DG42" s="93">
        <f t="shared" si="59"/>
        <v>-165000</v>
      </c>
      <c r="DH42" s="80"/>
      <c r="DI42" s="65">
        <v>165000</v>
      </c>
      <c r="DJ42" s="80" t="s">
        <v>364</v>
      </c>
      <c r="DK42" s="96"/>
      <c r="DL42" s="93">
        <f t="shared" si="14"/>
        <v>165000</v>
      </c>
      <c r="DM42" s="127">
        <f t="shared" si="15"/>
        <v>165000</v>
      </c>
      <c r="DN42" s="148">
        <v>0</v>
      </c>
      <c r="DO42" s="22">
        <f t="shared" si="60"/>
        <v>-165000</v>
      </c>
      <c r="DP42" s="80" t="s">
        <v>402</v>
      </c>
      <c r="DQ42" s="145">
        <v>0</v>
      </c>
      <c r="DR42" s="145"/>
      <c r="DS42" s="148">
        <f t="shared" si="92"/>
        <v>0</v>
      </c>
      <c r="DT42" s="24">
        <f t="shared" si="61"/>
        <v>-165000</v>
      </c>
      <c r="DU42" s="22">
        <f t="shared" si="62"/>
        <v>0</v>
      </c>
      <c r="DV42" s="22">
        <f t="shared" si="63"/>
        <v>-165000</v>
      </c>
      <c r="DW42" s="22">
        <f t="shared" si="64"/>
        <v>0</v>
      </c>
      <c r="DX42" s="80"/>
      <c r="DY42" s="157"/>
      <c r="DZ42" s="148">
        <v>100000</v>
      </c>
      <c r="EA42" s="24">
        <f t="shared" si="93"/>
        <v>0</v>
      </c>
      <c r="EB42" s="22">
        <f t="shared" si="94"/>
        <v>0</v>
      </c>
      <c r="EC42" s="22">
        <f t="shared" si="67"/>
        <v>-65000</v>
      </c>
      <c r="ED42" s="22">
        <f t="shared" si="68"/>
        <v>100000</v>
      </c>
      <c r="EE42" s="22">
        <f t="shared" si="69"/>
        <v>100000</v>
      </c>
      <c r="EF42" s="164"/>
      <c r="EG42" s="172">
        <v>100000</v>
      </c>
      <c r="EH42" s="148">
        <f t="shared" si="70"/>
        <v>200000</v>
      </c>
      <c r="EI42" s="24">
        <f t="shared" si="95"/>
        <v>0</v>
      </c>
      <c r="EJ42" s="22">
        <f t="shared" si="96"/>
        <v>100000</v>
      </c>
      <c r="EK42" s="22">
        <f t="shared" si="73"/>
        <v>35000</v>
      </c>
      <c r="EL42" s="22">
        <f t="shared" si="74"/>
        <v>200000</v>
      </c>
      <c r="EM42" s="22">
        <f t="shared" si="75"/>
        <v>200000</v>
      </c>
      <c r="EN42" s="22">
        <f t="shared" si="76"/>
        <v>100000</v>
      </c>
      <c r="EO42" s="159" t="s">
        <v>581</v>
      </c>
      <c r="EP42" s="145">
        <v>200000</v>
      </c>
      <c r="EQ42" s="148">
        <v>200000</v>
      </c>
      <c r="ER42" s="148"/>
      <c r="ES42" s="148">
        <f t="shared" si="77"/>
        <v>200000</v>
      </c>
      <c r="ET42" s="22">
        <f t="shared" si="78"/>
        <v>200000</v>
      </c>
      <c r="EU42" s="22">
        <f t="shared" si="79"/>
        <v>35000</v>
      </c>
      <c r="EV42" s="159" t="s">
        <v>621</v>
      </c>
      <c r="EW42" s="201" t="s">
        <v>621</v>
      </c>
      <c r="EX42" s="148">
        <v>0</v>
      </c>
      <c r="EY42" s="5">
        <f t="shared" si="80"/>
        <v>-200000</v>
      </c>
      <c r="EZ42" s="80" t="s">
        <v>690</v>
      </c>
      <c r="FA42" s="208">
        <v>0</v>
      </c>
      <c r="FB42" s="5">
        <f t="shared" si="103"/>
        <v>-200000</v>
      </c>
      <c r="FC42" s="5">
        <f t="shared" si="1"/>
        <v>0</v>
      </c>
      <c r="FD42" s="80" t="s">
        <v>690</v>
      </c>
    </row>
    <row r="43" spans="1:163" ht="18" customHeight="1" x14ac:dyDescent="0.2">
      <c r="A43" s="8" t="s">
        <v>22</v>
      </c>
      <c r="B43" s="9"/>
      <c r="C43" s="27" t="s">
        <v>79</v>
      </c>
      <c r="D43" s="20">
        <v>771682</v>
      </c>
      <c r="E43" s="20">
        <v>771681</v>
      </c>
      <c r="F43" s="5">
        <f t="shared" si="17"/>
        <v>-1</v>
      </c>
      <c r="G43" s="22">
        <v>771681</v>
      </c>
      <c r="H43" s="5">
        <f t="shared" si="18"/>
        <v>-1</v>
      </c>
      <c r="I43" s="5">
        <f t="shared" si="83"/>
        <v>0</v>
      </c>
      <c r="J43" s="31"/>
      <c r="K43" s="19">
        <v>771681</v>
      </c>
      <c r="L43" s="11">
        <f t="shared" si="19"/>
        <v>-1</v>
      </c>
      <c r="M43" s="11">
        <f t="shared" si="84"/>
        <v>0</v>
      </c>
      <c r="N43" s="11">
        <f t="shared" si="20"/>
        <v>0</v>
      </c>
      <c r="O43" s="19">
        <v>0</v>
      </c>
      <c r="P43" s="11">
        <f t="shared" si="21"/>
        <v>-771682</v>
      </c>
      <c r="Q43" s="11">
        <f t="shared" si="85"/>
        <v>-771681</v>
      </c>
      <c r="R43" s="11">
        <f t="shared" si="22"/>
        <v>-771681</v>
      </c>
      <c r="S43" s="19">
        <v>0</v>
      </c>
      <c r="T43" s="11">
        <f t="shared" si="23"/>
        <v>-771682</v>
      </c>
      <c r="U43" s="11">
        <f t="shared" si="86"/>
        <v>-771681</v>
      </c>
      <c r="V43" s="11">
        <f t="shared" si="81"/>
        <v>-771681</v>
      </c>
      <c r="W43" s="11">
        <f t="shared" si="24"/>
        <v>0</v>
      </c>
      <c r="X43" s="19">
        <v>771681</v>
      </c>
      <c r="Y43" s="11">
        <f t="shared" si="87"/>
        <v>-1</v>
      </c>
      <c r="Z43" s="11">
        <f t="shared" si="88"/>
        <v>0</v>
      </c>
      <c r="AA43" s="11">
        <f t="shared" si="25"/>
        <v>0</v>
      </c>
      <c r="AB43" s="11">
        <f t="shared" si="26"/>
        <v>771681</v>
      </c>
      <c r="AC43" s="19">
        <v>771681</v>
      </c>
      <c r="AD43" s="11">
        <f t="shared" si="89"/>
        <v>-1</v>
      </c>
      <c r="AE43" s="11">
        <f t="shared" si="27"/>
        <v>0</v>
      </c>
      <c r="AF43" s="11">
        <f t="shared" si="2"/>
        <v>0</v>
      </c>
      <c r="AG43" s="19">
        <v>771681</v>
      </c>
      <c r="AH43" s="11">
        <f t="shared" si="90"/>
        <v>-1</v>
      </c>
      <c r="AI43" s="11"/>
      <c r="AJ43" s="11">
        <f t="shared" si="28"/>
        <v>771681</v>
      </c>
      <c r="AK43" s="11"/>
      <c r="AL43" s="11"/>
      <c r="AM43" s="11">
        <f t="shared" si="29"/>
        <v>771681</v>
      </c>
      <c r="AN43" s="19">
        <v>770481</v>
      </c>
      <c r="AO43" s="11">
        <f t="shared" si="30"/>
        <v>-1200</v>
      </c>
      <c r="AP43" s="11"/>
      <c r="AQ43" s="19">
        <v>770481</v>
      </c>
      <c r="AR43" s="19">
        <f t="shared" si="31"/>
        <v>-1200</v>
      </c>
      <c r="AS43" s="19">
        <f t="shared" si="32"/>
        <v>0</v>
      </c>
      <c r="AT43" s="19">
        <v>770481</v>
      </c>
      <c r="AU43" s="19">
        <f t="shared" si="33"/>
        <v>-1200</v>
      </c>
      <c r="AV43" s="19">
        <f t="shared" si="34"/>
        <v>0</v>
      </c>
      <c r="AW43" s="19">
        <f t="shared" si="35"/>
        <v>0</v>
      </c>
      <c r="AX43" s="19"/>
      <c r="AY43" s="19">
        <v>770481</v>
      </c>
      <c r="AZ43" s="19">
        <f t="shared" si="36"/>
        <v>-1200</v>
      </c>
      <c r="BA43" s="19" t="s">
        <v>43</v>
      </c>
      <c r="BB43" s="19">
        <f t="shared" si="38"/>
        <v>0</v>
      </c>
      <c r="BC43" s="66"/>
      <c r="BD43" s="19">
        <v>770481</v>
      </c>
      <c r="BE43" s="19">
        <f t="shared" si="39"/>
        <v>-1200</v>
      </c>
      <c r="BF43" s="19">
        <f t="shared" si="40"/>
        <v>0</v>
      </c>
      <c r="BG43" s="19">
        <f t="shared" si="41"/>
        <v>0</v>
      </c>
      <c r="BH43" s="19">
        <f t="shared" si="42"/>
        <v>0</v>
      </c>
      <c r="BI43" s="73"/>
      <c r="BJ43" s="19">
        <v>770481</v>
      </c>
      <c r="BK43" s="12"/>
      <c r="BL43" s="19">
        <f t="shared" si="43"/>
        <v>770481</v>
      </c>
      <c r="BM43" s="20"/>
      <c r="BN43" s="19">
        <f t="shared" si="44"/>
        <v>770481</v>
      </c>
      <c r="BO43" s="12">
        <f t="shared" si="3"/>
        <v>-1200</v>
      </c>
      <c r="BP43" s="19">
        <f t="shared" si="4"/>
        <v>0</v>
      </c>
      <c r="BQ43" s="19">
        <f t="shared" si="5"/>
        <v>0</v>
      </c>
      <c r="BR43" s="19">
        <f t="shared" si="6"/>
        <v>0</v>
      </c>
      <c r="BS43" s="19">
        <f t="shared" si="7"/>
        <v>0</v>
      </c>
      <c r="BT43" s="73"/>
      <c r="BU43" s="80"/>
      <c r="BV43" s="78">
        <f t="shared" si="45"/>
        <v>770481</v>
      </c>
      <c r="BW43" s="78">
        <v>-7705</v>
      </c>
      <c r="BX43" s="78">
        <f t="shared" si="46"/>
        <v>762776</v>
      </c>
      <c r="BY43" s="78"/>
      <c r="BZ43" s="93">
        <v>762776</v>
      </c>
      <c r="CA43" s="93">
        <v>788088</v>
      </c>
      <c r="CB43" s="88">
        <f t="shared" si="104"/>
        <v>25312</v>
      </c>
      <c r="CC43" s="80"/>
      <c r="CD43" s="65">
        <v>788087</v>
      </c>
      <c r="CE43" s="93">
        <f t="shared" si="48"/>
        <v>25311</v>
      </c>
      <c r="CF43" s="93">
        <f t="shared" si="49"/>
        <v>-1</v>
      </c>
      <c r="CG43" s="80"/>
      <c r="CH43" s="65">
        <v>788087</v>
      </c>
      <c r="CI43" s="93">
        <f t="shared" si="50"/>
        <v>25311</v>
      </c>
      <c r="CJ43" s="93">
        <f t="shared" si="51"/>
        <v>-1</v>
      </c>
      <c r="CK43" s="93">
        <f t="shared" si="52"/>
        <v>0</v>
      </c>
      <c r="CL43" s="80"/>
      <c r="CM43" s="65">
        <v>788088</v>
      </c>
      <c r="CN43" s="93">
        <f t="shared" si="82"/>
        <v>25312</v>
      </c>
      <c r="CO43" s="93">
        <f t="shared" si="53"/>
        <v>0</v>
      </c>
      <c r="CP43" s="93">
        <f t="shared" si="54"/>
        <v>1</v>
      </c>
      <c r="CQ43" s="80"/>
      <c r="CR43" s="65">
        <v>788088</v>
      </c>
      <c r="CS43" s="93">
        <f t="shared" si="55"/>
        <v>25312</v>
      </c>
      <c r="CT43" s="93">
        <f t="shared" si="56"/>
        <v>0</v>
      </c>
      <c r="CU43" s="93">
        <f t="shared" si="57"/>
        <v>1</v>
      </c>
      <c r="CV43" s="93">
        <f t="shared" si="58"/>
        <v>0</v>
      </c>
      <c r="CW43" s="80"/>
      <c r="CX43" s="65">
        <v>520481</v>
      </c>
      <c r="CY43" s="93">
        <f t="shared" si="99"/>
        <v>-242295</v>
      </c>
      <c r="CZ43" s="93">
        <f t="shared" si="9"/>
        <v>-267607</v>
      </c>
      <c r="DA43" s="93">
        <f t="shared" si="10"/>
        <v>-267606</v>
      </c>
      <c r="DB43" s="93">
        <f t="shared" si="11"/>
        <v>-267607</v>
      </c>
      <c r="DC43" s="123" t="s">
        <v>363</v>
      </c>
      <c r="DD43" s="65">
        <v>520481</v>
      </c>
      <c r="DE43" s="93">
        <f t="shared" si="12"/>
        <v>-242295</v>
      </c>
      <c r="DF43" s="93">
        <f t="shared" si="13"/>
        <v>-267607</v>
      </c>
      <c r="DG43" s="93">
        <f t="shared" si="59"/>
        <v>0</v>
      </c>
      <c r="DH43" s="123" t="s">
        <v>363</v>
      </c>
      <c r="DI43" s="65">
        <v>520481</v>
      </c>
      <c r="DJ43" s="147" t="s">
        <v>363</v>
      </c>
      <c r="DK43" s="199"/>
      <c r="DL43" s="93">
        <f t="shared" si="14"/>
        <v>520481</v>
      </c>
      <c r="DM43" s="127">
        <f t="shared" si="15"/>
        <v>-242295</v>
      </c>
      <c r="DN43" s="148">
        <v>524492</v>
      </c>
      <c r="DO43" s="22">
        <f t="shared" si="60"/>
        <v>4011</v>
      </c>
      <c r="DP43" s="87"/>
      <c r="DQ43" s="145">
        <v>522978</v>
      </c>
      <c r="DR43" s="145"/>
      <c r="DS43" s="148">
        <f t="shared" si="92"/>
        <v>522978</v>
      </c>
      <c r="DT43" s="24">
        <f t="shared" si="61"/>
        <v>2497</v>
      </c>
      <c r="DU43" s="22">
        <f t="shared" si="62"/>
        <v>-1514</v>
      </c>
      <c r="DV43" s="22">
        <f t="shared" si="63"/>
        <v>2497</v>
      </c>
      <c r="DW43" s="22">
        <f t="shared" si="64"/>
        <v>-1514</v>
      </c>
      <c r="DX43" s="87"/>
      <c r="DY43" s="157"/>
      <c r="DZ43" s="148">
        <v>524492</v>
      </c>
      <c r="EA43" s="24">
        <f t="shared" si="93"/>
        <v>-522978</v>
      </c>
      <c r="EB43" s="22">
        <f t="shared" si="94"/>
        <v>1514</v>
      </c>
      <c r="EC43" s="22">
        <f t="shared" si="67"/>
        <v>4011</v>
      </c>
      <c r="ED43" s="22">
        <f t="shared" si="68"/>
        <v>0</v>
      </c>
      <c r="EE43" s="22">
        <f t="shared" si="69"/>
        <v>1514</v>
      </c>
      <c r="EF43" s="164"/>
      <c r="EG43" s="172"/>
      <c r="EH43" s="148">
        <f t="shared" si="70"/>
        <v>524492</v>
      </c>
      <c r="EI43" s="24">
        <f t="shared" si="95"/>
        <v>-522978</v>
      </c>
      <c r="EJ43" s="22">
        <f t="shared" si="96"/>
        <v>0</v>
      </c>
      <c r="EK43" s="22">
        <f t="shared" si="73"/>
        <v>4011</v>
      </c>
      <c r="EL43" s="22">
        <f t="shared" si="74"/>
        <v>0</v>
      </c>
      <c r="EM43" s="22">
        <f t="shared" si="75"/>
        <v>1514</v>
      </c>
      <c r="EN43" s="22">
        <f t="shared" si="76"/>
        <v>0</v>
      </c>
      <c r="EO43" s="164"/>
      <c r="EP43" s="145">
        <v>522978</v>
      </c>
      <c r="EQ43" s="148">
        <v>522978</v>
      </c>
      <c r="ER43" s="148"/>
      <c r="ES43" s="148">
        <f t="shared" si="77"/>
        <v>522978</v>
      </c>
      <c r="ET43" s="22">
        <f t="shared" si="78"/>
        <v>-1514</v>
      </c>
      <c r="EU43" s="22">
        <f t="shared" si="79"/>
        <v>2497</v>
      </c>
      <c r="EV43" s="159"/>
      <c r="EW43" s="201"/>
      <c r="EX43" s="148">
        <v>578231</v>
      </c>
      <c r="EY43" s="5">
        <f t="shared" si="80"/>
        <v>55253</v>
      </c>
      <c r="EZ43" s="80"/>
      <c r="FA43" s="145">
        <v>578231</v>
      </c>
      <c r="FB43" s="5">
        <f t="shared" si="103"/>
        <v>55253</v>
      </c>
      <c r="FC43" s="5">
        <f t="shared" si="1"/>
        <v>0</v>
      </c>
      <c r="FD43" s="80"/>
    </row>
    <row r="44" spans="1:163" ht="48" x14ac:dyDescent="0.2">
      <c r="A44" s="8" t="s">
        <v>8</v>
      </c>
      <c r="B44" s="9"/>
      <c r="C44" s="27" t="s">
        <v>71</v>
      </c>
      <c r="D44" s="20">
        <v>28906725</v>
      </c>
      <c r="E44" s="20">
        <v>28906725</v>
      </c>
      <c r="F44" s="5">
        <f t="shared" si="17"/>
        <v>0</v>
      </c>
      <c r="G44" s="22">
        <v>23920227</v>
      </c>
      <c r="H44" s="5">
        <f t="shared" si="18"/>
        <v>-4986498</v>
      </c>
      <c r="I44" s="5">
        <f t="shared" si="83"/>
        <v>-4986498</v>
      </c>
      <c r="J44" s="31"/>
      <c r="K44" s="19">
        <v>23920227</v>
      </c>
      <c r="L44" s="11">
        <f t="shared" si="19"/>
        <v>-4986498</v>
      </c>
      <c r="M44" s="11">
        <f t="shared" si="84"/>
        <v>-4986498</v>
      </c>
      <c r="N44" s="11">
        <f t="shared" si="20"/>
        <v>0</v>
      </c>
      <c r="O44" s="19">
        <v>28473125</v>
      </c>
      <c r="P44" s="11">
        <f t="shared" si="21"/>
        <v>-433600</v>
      </c>
      <c r="Q44" s="11">
        <f t="shared" si="85"/>
        <v>-433600</v>
      </c>
      <c r="R44" s="11">
        <f t="shared" si="22"/>
        <v>4552898</v>
      </c>
      <c r="S44" s="19">
        <v>28473125</v>
      </c>
      <c r="T44" s="11">
        <f t="shared" si="23"/>
        <v>-433600</v>
      </c>
      <c r="U44" s="11">
        <f t="shared" si="86"/>
        <v>-433600</v>
      </c>
      <c r="V44" s="11">
        <f t="shared" si="81"/>
        <v>4552898</v>
      </c>
      <c r="W44" s="11">
        <f t="shared" si="24"/>
        <v>0</v>
      </c>
      <c r="X44" s="19">
        <v>23920227</v>
      </c>
      <c r="Y44" s="11">
        <f t="shared" si="87"/>
        <v>-4986498</v>
      </c>
      <c r="Z44" s="11">
        <f t="shared" si="88"/>
        <v>-4986498</v>
      </c>
      <c r="AA44" s="11">
        <f t="shared" si="25"/>
        <v>0</v>
      </c>
      <c r="AB44" s="11">
        <f t="shared" si="26"/>
        <v>-4552898</v>
      </c>
      <c r="AC44" s="19">
        <v>23920227</v>
      </c>
      <c r="AD44" s="11">
        <f t="shared" si="89"/>
        <v>-4986498</v>
      </c>
      <c r="AE44" s="11">
        <f t="shared" si="27"/>
        <v>0</v>
      </c>
      <c r="AF44" s="11">
        <f t="shared" si="2"/>
        <v>0</v>
      </c>
      <c r="AG44" s="19">
        <v>23920227</v>
      </c>
      <c r="AH44" s="11">
        <f t="shared" si="90"/>
        <v>-4986498</v>
      </c>
      <c r="AI44" s="11">
        <v>1800000</v>
      </c>
      <c r="AJ44" s="11">
        <f t="shared" si="28"/>
        <v>25720227</v>
      </c>
      <c r="AK44" s="11"/>
      <c r="AL44" s="11"/>
      <c r="AM44" s="11">
        <f>AJ44+AL44+AK44</f>
        <v>25720227</v>
      </c>
      <c r="AN44" s="19">
        <v>29500000</v>
      </c>
      <c r="AO44" s="11">
        <f t="shared" si="30"/>
        <v>3779773</v>
      </c>
      <c r="AP44" s="11"/>
      <c r="AQ44" s="19">
        <v>25720227</v>
      </c>
      <c r="AR44" s="19">
        <f t="shared" si="31"/>
        <v>0</v>
      </c>
      <c r="AS44" s="19">
        <f t="shared" si="32"/>
        <v>-3779773</v>
      </c>
      <c r="AT44" s="19">
        <v>25720227</v>
      </c>
      <c r="AU44" s="19">
        <f t="shared" si="33"/>
        <v>0</v>
      </c>
      <c r="AV44" s="19">
        <f t="shared" si="34"/>
        <v>-3779773</v>
      </c>
      <c r="AW44" s="19">
        <f t="shared" si="35"/>
        <v>0</v>
      </c>
      <c r="AX44" s="19"/>
      <c r="AY44" s="19">
        <v>25720227</v>
      </c>
      <c r="AZ44" s="19">
        <f t="shared" si="36"/>
        <v>0</v>
      </c>
      <c r="BA44" s="19">
        <f t="shared" si="37"/>
        <v>-3779773</v>
      </c>
      <c r="BB44" s="19">
        <f t="shared" si="38"/>
        <v>0</v>
      </c>
      <c r="BC44" s="66"/>
      <c r="BD44" s="19">
        <v>25720227</v>
      </c>
      <c r="BE44" s="19">
        <f t="shared" si="39"/>
        <v>0</v>
      </c>
      <c r="BF44" s="19">
        <f t="shared" si="40"/>
        <v>-3779773</v>
      </c>
      <c r="BG44" s="19">
        <f t="shared" si="41"/>
        <v>0</v>
      </c>
      <c r="BH44" s="19">
        <f t="shared" si="42"/>
        <v>0</v>
      </c>
      <c r="BI44" s="73"/>
      <c r="BJ44" s="19">
        <v>25720227</v>
      </c>
      <c r="BK44" s="12"/>
      <c r="BL44" s="19">
        <f t="shared" si="43"/>
        <v>25720227</v>
      </c>
      <c r="BM44" s="20"/>
      <c r="BN44" s="19">
        <f>+BL44+BM44</f>
        <v>25720227</v>
      </c>
      <c r="BO44" s="12">
        <f t="shared" si="3"/>
        <v>0</v>
      </c>
      <c r="BP44" s="19">
        <f t="shared" si="4"/>
        <v>-3779773</v>
      </c>
      <c r="BQ44" s="19">
        <f t="shared" si="5"/>
        <v>0</v>
      </c>
      <c r="BR44" s="19">
        <f t="shared" si="6"/>
        <v>0</v>
      </c>
      <c r="BS44" s="19">
        <f t="shared" si="7"/>
        <v>0</v>
      </c>
      <c r="BT44" s="73"/>
      <c r="BU44" s="67">
        <v>8751555</v>
      </c>
      <c r="BV44" s="78">
        <f t="shared" si="45"/>
        <v>34471782</v>
      </c>
      <c r="BW44" s="78"/>
      <c r="BX44" s="78">
        <f t="shared" si="46"/>
        <v>34471782</v>
      </c>
      <c r="BY44" s="78"/>
      <c r="BZ44" s="93">
        <v>34471782</v>
      </c>
      <c r="CA44" s="93">
        <v>31094275</v>
      </c>
      <c r="CB44" s="88">
        <f t="shared" si="104"/>
        <v>-3377507</v>
      </c>
      <c r="CC44" s="80" t="s">
        <v>243</v>
      </c>
      <c r="CD44" s="65">
        <v>31094275</v>
      </c>
      <c r="CE44" s="93">
        <f t="shared" si="48"/>
        <v>-3377507</v>
      </c>
      <c r="CF44" s="93">
        <f t="shared" si="49"/>
        <v>0</v>
      </c>
      <c r="CG44" s="80" t="s">
        <v>243</v>
      </c>
      <c r="CH44" s="65">
        <v>31094275</v>
      </c>
      <c r="CI44" s="93">
        <f t="shared" si="50"/>
        <v>-3377507</v>
      </c>
      <c r="CJ44" s="93">
        <f t="shared" si="51"/>
        <v>0</v>
      </c>
      <c r="CK44" s="93">
        <f t="shared" si="52"/>
        <v>0</v>
      </c>
      <c r="CL44" s="80" t="s">
        <v>243</v>
      </c>
      <c r="CM44" s="65">
        <v>27094275</v>
      </c>
      <c r="CN44" s="93">
        <f t="shared" si="82"/>
        <v>-7377507</v>
      </c>
      <c r="CO44" s="93">
        <f t="shared" si="53"/>
        <v>-4000000</v>
      </c>
      <c r="CP44" s="92">
        <f t="shared" si="54"/>
        <v>-4000000</v>
      </c>
      <c r="CQ44" s="80"/>
      <c r="CR44" s="65">
        <v>27094275</v>
      </c>
      <c r="CS44" s="93">
        <f t="shared" si="55"/>
        <v>-7377507</v>
      </c>
      <c r="CT44" s="93">
        <f t="shared" si="56"/>
        <v>-4000000</v>
      </c>
      <c r="CU44" s="93">
        <f t="shared" si="57"/>
        <v>-4000000</v>
      </c>
      <c r="CV44" s="93">
        <f t="shared" si="58"/>
        <v>0</v>
      </c>
      <c r="CW44" s="80"/>
      <c r="CX44" s="65">
        <v>26994275</v>
      </c>
      <c r="CY44" s="93">
        <f t="shared" si="99"/>
        <v>-7477507</v>
      </c>
      <c r="CZ44" s="93">
        <f t="shared" si="9"/>
        <v>-4100000</v>
      </c>
      <c r="DA44" s="93">
        <f t="shared" si="10"/>
        <v>-4100000</v>
      </c>
      <c r="DB44" s="93">
        <f t="shared" si="11"/>
        <v>-100000</v>
      </c>
      <c r="DC44" s="123" t="s">
        <v>369</v>
      </c>
      <c r="DD44" s="65">
        <v>26994275</v>
      </c>
      <c r="DE44" s="93">
        <f t="shared" si="12"/>
        <v>-7477507</v>
      </c>
      <c r="DF44" s="93">
        <f t="shared" si="13"/>
        <v>-4100000</v>
      </c>
      <c r="DG44" s="93">
        <f t="shared" si="59"/>
        <v>0</v>
      </c>
      <c r="DH44" s="123" t="s">
        <v>369</v>
      </c>
      <c r="DI44" s="65">
        <v>26994275</v>
      </c>
      <c r="DJ44" s="87" t="s">
        <v>369</v>
      </c>
      <c r="DK44" s="96">
        <v>4100000</v>
      </c>
      <c r="DL44" s="93">
        <f>DI44+4100000</f>
        <v>31094275</v>
      </c>
      <c r="DM44" s="127">
        <f t="shared" si="15"/>
        <v>-3377507</v>
      </c>
      <c r="DN44" s="148">
        <v>32134648</v>
      </c>
      <c r="DO44" s="22">
        <f t="shared" si="60"/>
        <v>1040373</v>
      </c>
      <c r="DP44" s="80" t="s">
        <v>403</v>
      </c>
      <c r="DQ44" s="145">
        <v>27094275</v>
      </c>
      <c r="DR44" s="145">
        <v>5040373</v>
      </c>
      <c r="DS44" s="148">
        <f t="shared" si="92"/>
        <v>32134648</v>
      </c>
      <c r="DT44" s="24">
        <f t="shared" si="61"/>
        <v>-4000000</v>
      </c>
      <c r="DU44" s="22">
        <f t="shared" si="62"/>
        <v>-5040373</v>
      </c>
      <c r="DV44" s="22">
        <f t="shared" si="63"/>
        <v>1040373</v>
      </c>
      <c r="DW44" s="22">
        <f t="shared" si="64"/>
        <v>0</v>
      </c>
      <c r="DX44" s="80"/>
      <c r="DY44" s="80" t="s">
        <v>403</v>
      </c>
      <c r="DZ44" s="148">
        <v>27094275</v>
      </c>
      <c r="EA44" s="24">
        <f t="shared" si="93"/>
        <v>-32134648</v>
      </c>
      <c r="EB44" s="22">
        <f t="shared" si="94"/>
        <v>5040373</v>
      </c>
      <c r="EC44" s="22">
        <f t="shared" si="67"/>
        <v>-4000000</v>
      </c>
      <c r="ED44" s="22">
        <f t="shared" si="68"/>
        <v>-5040373</v>
      </c>
      <c r="EE44" s="22">
        <f t="shared" si="69"/>
        <v>-5040373</v>
      </c>
      <c r="EF44" s="78"/>
      <c r="EG44" s="96"/>
      <c r="EH44" s="148">
        <f t="shared" si="70"/>
        <v>27094275</v>
      </c>
      <c r="EI44" s="24">
        <f t="shared" si="95"/>
        <v>-32134648</v>
      </c>
      <c r="EJ44" s="22">
        <f t="shared" si="96"/>
        <v>-10080746</v>
      </c>
      <c r="EK44" s="22">
        <f t="shared" si="73"/>
        <v>-4000000</v>
      </c>
      <c r="EL44" s="22">
        <f t="shared" si="74"/>
        <v>-5040373</v>
      </c>
      <c r="EM44" s="22">
        <f t="shared" si="75"/>
        <v>-5040373</v>
      </c>
      <c r="EN44" s="22">
        <f t="shared" si="76"/>
        <v>0</v>
      </c>
      <c r="EO44" s="78"/>
      <c r="EP44" s="145">
        <v>32134648</v>
      </c>
      <c r="EQ44" s="148">
        <v>32134648</v>
      </c>
      <c r="ER44" s="148"/>
      <c r="ES44" s="148">
        <f t="shared" si="77"/>
        <v>32134648</v>
      </c>
      <c r="ET44" s="22">
        <f t="shared" si="78"/>
        <v>0</v>
      </c>
      <c r="EU44" s="22">
        <f t="shared" si="79"/>
        <v>1040373</v>
      </c>
      <c r="EV44" s="29" t="s">
        <v>622</v>
      </c>
      <c r="EW44" s="80" t="s">
        <v>622</v>
      </c>
      <c r="EX44" s="148">
        <v>32235270</v>
      </c>
      <c r="EY44" s="5">
        <f t="shared" si="80"/>
        <v>100622</v>
      </c>
      <c r="EZ44" s="80"/>
      <c r="FA44" s="145">
        <v>32235270</v>
      </c>
      <c r="FB44" s="5">
        <f t="shared" si="103"/>
        <v>100622</v>
      </c>
      <c r="FC44" s="5">
        <f t="shared" si="1"/>
        <v>0</v>
      </c>
      <c r="FD44" s="80"/>
    </row>
    <row r="45" spans="1:163" ht="12.75" x14ac:dyDescent="0.2">
      <c r="A45" s="21" t="s">
        <v>185</v>
      </c>
      <c r="B45" s="9"/>
      <c r="C45" s="27" t="s">
        <v>186</v>
      </c>
      <c r="D45" s="20"/>
      <c r="E45" s="20"/>
      <c r="F45" s="5">
        <f t="shared" si="17"/>
        <v>0</v>
      </c>
      <c r="G45" s="24"/>
      <c r="H45" s="5">
        <f t="shared" si="18"/>
        <v>0</v>
      </c>
      <c r="I45" s="23"/>
      <c r="J45" s="38"/>
      <c r="K45" s="20"/>
      <c r="L45" s="11">
        <f t="shared" si="19"/>
        <v>0</v>
      </c>
      <c r="M45" s="14"/>
      <c r="N45" s="14"/>
      <c r="O45" s="20"/>
      <c r="P45" s="11">
        <f t="shared" si="21"/>
        <v>0</v>
      </c>
      <c r="Q45" s="14"/>
      <c r="R45" s="14"/>
      <c r="S45" s="20"/>
      <c r="T45" s="11">
        <f t="shared" si="23"/>
        <v>0</v>
      </c>
      <c r="U45" s="14"/>
      <c r="V45" s="14"/>
      <c r="W45" s="14"/>
      <c r="X45" s="20"/>
      <c r="Y45" s="14"/>
      <c r="Z45" s="14"/>
      <c r="AA45" s="14"/>
      <c r="AB45" s="14"/>
      <c r="AC45" s="20"/>
      <c r="AD45" s="14"/>
      <c r="AE45" s="14"/>
      <c r="AF45" s="14"/>
      <c r="AG45" s="20"/>
      <c r="AH45" s="14"/>
      <c r="AI45" s="14"/>
      <c r="AJ45" s="14"/>
      <c r="AK45" s="14"/>
      <c r="AL45" s="14"/>
      <c r="AM45" s="14">
        <v>0</v>
      </c>
      <c r="AN45" s="20">
        <v>0</v>
      </c>
      <c r="AO45" s="14"/>
      <c r="AP45" s="14"/>
      <c r="AQ45" s="20"/>
      <c r="AR45" s="20"/>
      <c r="AS45" s="20"/>
      <c r="AT45" s="20">
        <v>0</v>
      </c>
      <c r="AU45" s="20"/>
      <c r="AV45" s="20">
        <f t="shared" si="34"/>
        <v>0</v>
      </c>
      <c r="AW45" s="20"/>
      <c r="AX45" s="20"/>
      <c r="AY45" s="20">
        <v>350000</v>
      </c>
      <c r="AZ45" s="20">
        <f t="shared" si="36"/>
        <v>350000</v>
      </c>
      <c r="BA45" s="20">
        <f t="shared" si="37"/>
        <v>350000</v>
      </c>
      <c r="BB45" s="20">
        <f t="shared" si="38"/>
        <v>350000</v>
      </c>
      <c r="BC45" s="72"/>
      <c r="BD45" s="20">
        <v>350000</v>
      </c>
      <c r="BE45" s="19">
        <f t="shared" si="39"/>
        <v>350000</v>
      </c>
      <c r="BF45" s="19">
        <f t="shared" si="40"/>
        <v>350000</v>
      </c>
      <c r="BG45" s="19">
        <f t="shared" si="41"/>
        <v>350000</v>
      </c>
      <c r="BH45" s="19">
        <f t="shared" si="42"/>
        <v>0</v>
      </c>
      <c r="BI45" s="73"/>
      <c r="BJ45" s="20">
        <v>350000</v>
      </c>
      <c r="BK45" s="13">
        <v>-350000</v>
      </c>
      <c r="BL45" s="19">
        <f t="shared" si="43"/>
        <v>0</v>
      </c>
      <c r="BM45" s="20">
        <v>350000</v>
      </c>
      <c r="BN45" s="19">
        <f t="shared" si="44"/>
        <v>350000</v>
      </c>
      <c r="BO45" s="12">
        <f t="shared" ref="BO45:BO65" si="105">+BN45-AM45</f>
        <v>350000</v>
      </c>
      <c r="BP45" s="19">
        <f t="shared" ref="BP45:BP65" si="106">+BN45-AN45</f>
        <v>350000</v>
      </c>
      <c r="BQ45" s="19">
        <f t="shared" ref="BQ45:BQ65" si="107">+BN45-AT45</f>
        <v>350000</v>
      </c>
      <c r="BR45" s="19">
        <f t="shared" ref="BR45:BR65" si="108">+BN45-BD45</f>
        <v>0</v>
      </c>
      <c r="BS45" s="19">
        <f t="shared" ref="BS45:BS65" si="109">+BN45-BJ45</f>
        <v>0</v>
      </c>
      <c r="BT45" s="73"/>
      <c r="BU45" s="80"/>
      <c r="BV45" s="78">
        <f t="shared" si="45"/>
        <v>350000</v>
      </c>
      <c r="BW45" s="78"/>
      <c r="BX45" s="78">
        <f t="shared" si="46"/>
        <v>350000</v>
      </c>
      <c r="BY45" s="78">
        <v>-350000</v>
      </c>
      <c r="BZ45" s="93">
        <v>0</v>
      </c>
      <c r="CA45" s="93">
        <v>0</v>
      </c>
      <c r="CB45" s="88"/>
      <c r="CC45" s="80"/>
      <c r="CD45" s="65">
        <v>0</v>
      </c>
      <c r="CE45" s="93">
        <f t="shared" si="48"/>
        <v>0</v>
      </c>
      <c r="CF45" s="93">
        <f t="shared" si="49"/>
        <v>0</v>
      </c>
      <c r="CG45" s="80"/>
      <c r="CH45" s="65">
        <v>0</v>
      </c>
      <c r="CI45" s="93">
        <f t="shared" si="50"/>
        <v>0</v>
      </c>
      <c r="CJ45" s="93">
        <f t="shared" si="51"/>
        <v>0</v>
      </c>
      <c r="CK45" s="93">
        <f t="shared" si="52"/>
        <v>0</v>
      </c>
      <c r="CL45" s="80"/>
      <c r="CM45" s="65">
        <v>400000</v>
      </c>
      <c r="CN45" s="93">
        <f t="shared" si="82"/>
        <v>400000</v>
      </c>
      <c r="CO45" s="93">
        <f t="shared" si="53"/>
        <v>400000</v>
      </c>
      <c r="CP45" s="93">
        <f t="shared" si="54"/>
        <v>400000</v>
      </c>
      <c r="CQ45" s="80"/>
      <c r="CR45" s="65">
        <v>400000</v>
      </c>
      <c r="CS45" s="93">
        <f t="shared" si="55"/>
        <v>400000</v>
      </c>
      <c r="CT45" s="93">
        <f t="shared" si="56"/>
        <v>400000</v>
      </c>
      <c r="CU45" s="93">
        <f t="shared" si="57"/>
        <v>400000</v>
      </c>
      <c r="CV45" s="93">
        <f t="shared" si="58"/>
        <v>0</v>
      </c>
      <c r="CW45" s="80"/>
      <c r="CX45" s="65">
        <v>200000</v>
      </c>
      <c r="CY45" s="93">
        <f t="shared" si="99"/>
        <v>200000</v>
      </c>
      <c r="CZ45" s="93">
        <f t="shared" ref="CZ45:CZ65" si="110">CX45-CA45</f>
        <v>200000</v>
      </c>
      <c r="DA45" s="93">
        <f t="shared" ref="DA45:DA65" si="111">CX45-CH45</f>
        <v>200000</v>
      </c>
      <c r="DB45" s="93">
        <f t="shared" ref="DB45:DB65" si="112">CX45-CR45</f>
        <v>-200000</v>
      </c>
      <c r="DC45" s="80"/>
      <c r="DD45" s="65">
        <v>0</v>
      </c>
      <c r="DE45" s="93">
        <f t="shared" ref="DE45:DE65" si="113">DD45-BZ45</f>
        <v>0</v>
      </c>
      <c r="DF45" s="93">
        <f t="shared" ref="DF45:DF65" si="114">DD45-CA45</f>
        <v>0</v>
      </c>
      <c r="DG45" s="93">
        <f t="shared" si="59"/>
        <v>-200000</v>
      </c>
      <c r="DH45" s="80"/>
      <c r="DI45" s="65">
        <v>200000</v>
      </c>
      <c r="DJ45" s="80"/>
      <c r="DK45" s="96"/>
      <c r="DL45" s="93">
        <f t="shared" ref="DL45:DL52" si="115">DI45</f>
        <v>200000</v>
      </c>
      <c r="DM45" s="127">
        <f t="shared" si="15"/>
        <v>200000</v>
      </c>
      <c r="DN45" s="148">
        <v>0</v>
      </c>
      <c r="DO45" s="22">
        <f t="shared" si="60"/>
        <v>-200000</v>
      </c>
      <c r="DP45" s="80" t="s">
        <v>402</v>
      </c>
      <c r="DQ45" s="145">
        <v>0</v>
      </c>
      <c r="DR45" s="145"/>
      <c r="DS45" s="148">
        <f t="shared" si="92"/>
        <v>0</v>
      </c>
      <c r="DT45" s="24">
        <f t="shared" si="61"/>
        <v>-200000</v>
      </c>
      <c r="DU45" s="22">
        <f t="shared" si="62"/>
        <v>0</v>
      </c>
      <c r="DV45" s="22">
        <f t="shared" si="63"/>
        <v>-200000</v>
      </c>
      <c r="DW45" s="22">
        <f t="shared" si="64"/>
        <v>0</v>
      </c>
      <c r="DX45" s="80"/>
      <c r="DY45" s="157"/>
      <c r="DZ45" s="148">
        <v>200000</v>
      </c>
      <c r="EA45" s="24">
        <f t="shared" si="93"/>
        <v>0</v>
      </c>
      <c r="EB45" s="22">
        <f t="shared" si="94"/>
        <v>0</v>
      </c>
      <c r="EC45" s="22">
        <f t="shared" si="67"/>
        <v>0</v>
      </c>
      <c r="ED45" s="22">
        <f t="shared" ref="ED45:ED65" si="116">DZ45-DN45</f>
        <v>200000</v>
      </c>
      <c r="EE45" s="22">
        <f t="shared" ref="EE45:EE65" si="117">DZ45-DS45</f>
        <v>200000</v>
      </c>
      <c r="EF45" s="164"/>
      <c r="EG45" s="172">
        <v>200000</v>
      </c>
      <c r="EH45" s="148">
        <f t="shared" si="70"/>
        <v>400000</v>
      </c>
      <c r="EI45" s="24">
        <f t="shared" si="95"/>
        <v>0</v>
      </c>
      <c r="EJ45" s="22">
        <f t="shared" si="96"/>
        <v>200000</v>
      </c>
      <c r="EK45" s="22">
        <f t="shared" si="73"/>
        <v>200000</v>
      </c>
      <c r="EL45" s="22">
        <f t="shared" si="74"/>
        <v>400000</v>
      </c>
      <c r="EM45" s="22">
        <f t="shared" si="75"/>
        <v>400000</v>
      </c>
      <c r="EN45" s="22">
        <f t="shared" si="76"/>
        <v>200000</v>
      </c>
      <c r="EO45" s="159" t="s">
        <v>581</v>
      </c>
      <c r="EP45" s="145">
        <v>400000</v>
      </c>
      <c r="EQ45" s="148">
        <f>200000+200000</f>
        <v>400000</v>
      </c>
      <c r="ER45" s="148"/>
      <c r="ES45" s="148">
        <f t="shared" si="77"/>
        <v>400000</v>
      </c>
      <c r="ET45" s="22">
        <f t="shared" si="78"/>
        <v>400000</v>
      </c>
      <c r="EU45" s="22">
        <f t="shared" si="79"/>
        <v>200000</v>
      </c>
      <c r="EV45" s="159"/>
      <c r="EW45" s="201" t="s">
        <v>648</v>
      </c>
      <c r="EX45" s="148">
        <v>0</v>
      </c>
      <c r="EY45" s="5">
        <f t="shared" si="80"/>
        <v>-400000</v>
      </c>
      <c r="EZ45" s="80" t="s">
        <v>690</v>
      </c>
      <c r="FA45" s="208">
        <v>0</v>
      </c>
      <c r="FB45" s="5">
        <f t="shared" si="103"/>
        <v>-400000</v>
      </c>
      <c r="FC45" s="5">
        <f t="shared" si="1"/>
        <v>0</v>
      </c>
      <c r="FD45" s="80" t="s">
        <v>690</v>
      </c>
    </row>
    <row r="46" spans="1:163" ht="12.75" hidden="1" x14ac:dyDescent="0.2">
      <c r="A46" s="8" t="s">
        <v>9</v>
      </c>
      <c r="B46" s="9"/>
      <c r="C46" s="27" t="s">
        <v>57</v>
      </c>
      <c r="D46" s="20">
        <v>4162804</v>
      </c>
      <c r="E46" s="20">
        <v>0</v>
      </c>
      <c r="F46" s="5">
        <f t="shared" si="17"/>
        <v>-4162804</v>
      </c>
      <c r="G46" s="22">
        <v>4094804</v>
      </c>
      <c r="H46" s="5">
        <f t="shared" si="18"/>
        <v>-68000</v>
      </c>
      <c r="I46" s="5">
        <f t="shared" ref="I46:I57" si="118">G46-E46</f>
        <v>4094804</v>
      </c>
      <c r="J46" s="29" t="s">
        <v>116</v>
      </c>
      <c r="K46" s="19">
        <v>4094804</v>
      </c>
      <c r="L46" s="11">
        <f t="shared" si="19"/>
        <v>-68000</v>
      </c>
      <c r="M46" s="11">
        <f t="shared" ref="M46:M57" si="119">K46-E46</f>
        <v>4094804</v>
      </c>
      <c r="N46" s="11">
        <f t="shared" si="20"/>
        <v>0</v>
      </c>
      <c r="O46" s="19">
        <v>4094804</v>
      </c>
      <c r="P46" s="11">
        <f t="shared" si="21"/>
        <v>-68000</v>
      </c>
      <c r="Q46" s="11">
        <f t="shared" ref="Q46:Q57" si="120">O46-E46</f>
        <v>4094804</v>
      </c>
      <c r="R46" s="11">
        <f t="shared" si="22"/>
        <v>0</v>
      </c>
      <c r="S46" s="19">
        <v>4094804</v>
      </c>
      <c r="T46" s="11">
        <f t="shared" si="23"/>
        <v>-68000</v>
      </c>
      <c r="U46" s="11">
        <f t="shared" ref="U46:U57" si="121">S46-E46</f>
        <v>4094804</v>
      </c>
      <c r="V46" s="11">
        <f t="shared" si="81"/>
        <v>0</v>
      </c>
      <c r="W46" s="11">
        <f t="shared" si="24"/>
        <v>0</v>
      </c>
      <c r="X46" s="19">
        <v>4294804</v>
      </c>
      <c r="Y46" s="11">
        <f t="shared" ref="Y46:Y57" si="122">X46-D46</f>
        <v>132000</v>
      </c>
      <c r="Z46" s="11">
        <f t="shared" ref="Z46:Z57" si="123">X46-E46</f>
        <v>4294804</v>
      </c>
      <c r="AA46" s="11">
        <f t="shared" si="25"/>
        <v>200000</v>
      </c>
      <c r="AB46" s="11">
        <f t="shared" si="26"/>
        <v>200000</v>
      </c>
      <c r="AC46" s="19">
        <v>4294804</v>
      </c>
      <c r="AD46" s="11">
        <f t="shared" ref="AD46:AD57" si="124">AC46-D46</f>
        <v>132000</v>
      </c>
      <c r="AE46" s="11">
        <f t="shared" si="27"/>
        <v>0</v>
      </c>
      <c r="AF46" s="11">
        <f t="shared" si="2"/>
        <v>0</v>
      </c>
      <c r="AG46" s="19">
        <v>4294804</v>
      </c>
      <c r="AH46" s="11">
        <f t="shared" ref="AH46:AH57" si="125">AG46-D46</f>
        <v>132000</v>
      </c>
      <c r="AI46" s="11"/>
      <c r="AJ46" s="11">
        <f t="shared" si="28"/>
        <v>4294804</v>
      </c>
      <c r="AK46" s="11"/>
      <c r="AL46" s="11"/>
      <c r="AM46" s="11">
        <f t="shared" si="29"/>
        <v>4294804</v>
      </c>
      <c r="AN46" s="19">
        <v>0</v>
      </c>
      <c r="AO46" s="11">
        <f t="shared" si="30"/>
        <v>-4294804</v>
      </c>
      <c r="AP46" s="11"/>
      <c r="AQ46" s="19">
        <v>0</v>
      </c>
      <c r="AR46" s="19">
        <f t="shared" si="31"/>
        <v>-4294804</v>
      </c>
      <c r="AS46" s="19">
        <f t="shared" si="32"/>
        <v>0</v>
      </c>
      <c r="AT46" s="19">
        <v>0</v>
      </c>
      <c r="AU46" s="19">
        <f t="shared" si="33"/>
        <v>-4294804</v>
      </c>
      <c r="AV46" s="19">
        <f t="shared" si="34"/>
        <v>0</v>
      </c>
      <c r="AW46" s="19">
        <f t="shared" si="35"/>
        <v>0</v>
      </c>
      <c r="AX46" s="19"/>
      <c r="AY46" s="19">
        <v>0</v>
      </c>
      <c r="AZ46" s="19">
        <f t="shared" si="36"/>
        <v>-4294804</v>
      </c>
      <c r="BA46" s="19">
        <f t="shared" si="37"/>
        <v>0</v>
      </c>
      <c r="BB46" s="19">
        <f t="shared" si="38"/>
        <v>0</v>
      </c>
      <c r="BC46" s="66"/>
      <c r="BD46" s="19">
        <v>0</v>
      </c>
      <c r="BE46" s="19">
        <f t="shared" si="39"/>
        <v>-4294804</v>
      </c>
      <c r="BF46" s="19">
        <f t="shared" si="40"/>
        <v>0</v>
      </c>
      <c r="BG46" s="19">
        <f t="shared" si="41"/>
        <v>0</v>
      </c>
      <c r="BH46" s="19">
        <f t="shared" si="42"/>
        <v>0</v>
      </c>
      <c r="BI46" s="73"/>
      <c r="BJ46" s="19">
        <v>0</v>
      </c>
      <c r="BK46" s="12"/>
      <c r="BL46" s="19">
        <f t="shared" si="43"/>
        <v>0</v>
      </c>
      <c r="BM46" s="20"/>
      <c r="BN46" s="19">
        <f t="shared" si="44"/>
        <v>0</v>
      </c>
      <c r="BO46" s="12">
        <f t="shared" si="105"/>
        <v>-4294804</v>
      </c>
      <c r="BP46" s="19">
        <f t="shared" si="106"/>
        <v>0</v>
      </c>
      <c r="BQ46" s="19">
        <f t="shared" si="107"/>
        <v>0</v>
      </c>
      <c r="BR46" s="19">
        <f t="shared" si="108"/>
        <v>0</v>
      </c>
      <c r="BS46" s="19">
        <f t="shared" si="109"/>
        <v>0</v>
      </c>
      <c r="BT46" s="73"/>
      <c r="BU46" s="80"/>
      <c r="BV46" s="78">
        <f t="shared" si="45"/>
        <v>0</v>
      </c>
      <c r="BW46" s="78"/>
      <c r="BX46" s="78">
        <f t="shared" si="46"/>
        <v>0</v>
      </c>
      <c r="BY46" s="78"/>
      <c r="BZ46" s="93">
        <v>0</v>
      </c>
      <c r="CA46" s="93">
        <v>0</v>
      </c>
      <c r="CB46" s="88">
        <f t="shared" ref="CB46:CB49" si="126">CA46-BZ46</f>
        <v>0</v>
      </c>
      <c r="CC46" s="80"/>
      <c r="CD46" s="65">
        <v>0</v>
      </c>
      <c r="CE46" s="93">
        <f t="shared" si="48"/>
        <v>0</v>
      </c>
      <c r="CF46" s="93">
        <f t="shared" si="49"/>
        <v>0</v>
      </c>
      <c r="CG46" s="80"/>
      <c r="CH46" s="65">
        <v>0</v>
      </c>
      <c r="CI46" s="93">
        <f t="shared" si="50"/>
        <v>0</v>
      </c>
      <c r="CJ46" s="93">
        <f t="shared" si="51"/>
        <v>0</v>
      </c>
      <c r="CK46" s="93">
        <f t="shared" si="52"/>
        <v>0</v>
      </c>
      <c r="CL46" s="80"/>
      <c r="CM46" s="65"/>
      <c r="CN46" s="93">
        <f t="shared" si="82"/>
        <v>0</v>
      </c>
      <c r="CO46" s="93">
        <f t="shared" si="53"/>
        <v>0</v>
      </c>
      <c r="CP46" s="93">
        <f t="shared" si="54"/>
        <v>0</v>
      </c>
      <c r="CQ46" s="80"/>
      <c r="CR46" s="65"/>
      <c r="CS46" s="93">
        <f t="shared" si="55"/>
        <v>0</v>
      </c>
      <c r="CT46" s="93">
        <f t="shared" si="56"/>
        <v>0</v>
      </c>
      <c r="CU46" s="93">
        <f t="shared" si="57"/>
        <v>0</v>
      </c>
      <c r="CV46" s="93">
        <f t="shared" si="58"/>
        <v>0</v>
      </c>
      <c r="CW46" s="80"/>
      <c r="CX46" s="65"/>
      <c r="CY46" s="93">
        <f t="shared" si="99"/>
        <v>0</v>
      </c>
      <c r="CZ46" s="93">
        <f t="shared" si="110"/>
        <v>0</v>
      </c>
      <c r="DA46" s="93">
        <f t="shared" si="111"/>
        <v>0</v>
      </c>
      <c r="DB46" s="93">
        <f t="shared" si="112"/>
        <v>0</v>
      </c>
      <c r="DC46" s="80"/>
      <c r="DD46" s="65"/>
      <c r="DE46" s="93">
        <f t="shared" si="113"/>
        <v>0</v>
      </c>
      <c r="DF46" s="93">
        <f t="shared" si="114"/>
        <v>0</v>
      </c>
      <c r="DG46" s="93">
        <f t="shared" si="59"/>
        <v>0</v>
      </c>
      <c r="DH46" s="80"/>
      <c r="DI46" s="65"/>
      <c r="DJ46" s="80"/>
      <c r="DK46" s="96"/>
      <c r="DL46" s="93">
        <f t="shared" si="115"/>
        <v>0</v>
      </c>
      <c r="DM46" s="127">
        <f t="shared" si="15"/>
        <v>0</v>
      </c>
      <c r="DN46" s="148">
        <v>0</v>
      </c>
      <c r="DO46" s="22">
        <f t="shared" si="60"/>
        <v>0</v>
      </c>
      <c r="DP46" s="80"/>
      <c r="DQ46" s="145"/>
      <c r="DR46" s="145"/>
      <c r="DS46" s="148">
        <f t="shared" si="92"/>
        <v>0</v>
      </c>
      <c r="DT46" s="24">
        <f t="shared" si="61"/>
        <v>0</v>
      </c>
      <c r="DU46" s="22">
        <f t="shared" si="62"/>
        <v>0</v>
      </c>
      <c r="DV46" s="22">
        <f t="shared" si="63"/>
        <v>0</v>
      </c>
      <c r="DW46" s="22">
        <f t="shared" si="64"/>
        <v>0</v>
      </c>
      <c r="DX46" s="80"/>
      <c r="DY46" s="157"/>
      <c r="DZ46" s="148"/>
      <c r="EA46" s="24">
        <f t="shared" si="93"/>
        <v>0</v>
      </c>
      <c r="EB46" s="22">
        <f t="shared" si="94"/>
        <v>0</v>
      </c>
      <c r="EC46" s="22">
        <f t="shared" si="67"/>
        <v>0</v>
      </c>
      <c r="ED46" s="22">
        <f t="shared" si="116"/>
        <v>0</v>
      </c>
      <c r="EE46" s="22">
        <f t="shared" si="117"/>
        <v>0</v>
      </c>
      <c r="EF46" s="164"/>
      <c r="EG46" s="172"/>
      <c r="EH46" s="148">
        <f t="shared" si="70"/>
        <v>0</v>
      </c>
      <c r="EI46" s="24">
        <f t="shared" si="95"/>
        <v>0</v>
      </c>
      <c r="EJ46" s="22">
        <f t="shared" si="96"/>
        <v>0</v>
      </c>
      <c r="EK46" s="22">
        <f t="shared" si="73"/>
        <v>0</v>
      </c>
      <c r="EL46" s="22">
        <f t="shared" si="74"/>
        <v>0</v>
      </c>
      <c r="EM46" s="22">
        <f t="shared" si="75"/>
        <v>0</v>
      </c>
      <c r="EN46" s="22">
        <f t="shared" si="76"/>
        <v>0</v>
      </c>
      <c r="EO46" s="164"/>
      <c r="EP46" s="145"/>
      <c r="EQ46" s="148"/>
      <c r="ER46" s="148"/>
      <c r="ES46" s="148">
        <f t="shared" si="77"/>
        <v>0</v>
      </c>
      <c r="ET46" s="22">
        <f t="shared" si="78"/>
        <v>0</v>
      </c>
      <c r="EU46" s="22">
        <f t="shared" si="79"/>
        <v>0</v>
      </c>
      <c r="EV46" s="159"/>
      <c r="EW46" s="201"/>
      <c r="EX46" s="148">
        <v>0</v>
      </c>
      <c r="EY46" s="5">
        <f t="shared" si="80"/>
        <v>0</v>
      </c>
      <c r="EZ46" s="80"/>
      <c r="FA46" s="145"/>
      <c r="FB46" s="5">
        <f t="shared" si="103"/>
        <v>0</v>
      </c>
      <c r="FC46" s="5">
        <f t="shared" si="1"/>
        <v>0</v>
      </c>
      <c r="FD46" s="80"/>
    </row>
    <row r="47" spans="1:163" ht="24" customHeight="1" x14ac:dyDescent="0.2">
      <c r="A47" s="21" t="s">
        <v>100</v>
      </c>
      <c r="B47" s="9"/>
      <c r="C47" s="26" t="s">
        <v>101</v>
      </c>
      <c r="D47" s="20">
        <v>360339</v>
      </c>
      <c r="E47" s="20">
        <v>0</v>
      </c>
      <c r="F47" s="5">
        <f t="shared" si="17"/>
        <v>-360339</v>
      </c>
      <c r="G47" s="22">
        <v>0</v>
      </c>
      <c r="H47" s="5">
        <f t="shared" si="18"/>
        <v>-360339</v>
      </c>
      <c r="I47" s="5">
        <f t="shared" si="118"/>
        <v>0</v>
      </c>
      <c r="J47" s="29" t="s">
        <v>116</v>
      </c>
      <c r="K47" s="19">
        <v>500000</v>
      </c>
      <c r="L47" s="11">
        <f t="shared" si="19"/>
        <v>139661</v>
      </c>
      <c r="M47" s="11">
        <f t="shared" si="119"/>
        <v>500000</v>
      </c>
      <c r="N47" s="11">
        <f t="shared" si="20"/>
        <v>500000</v>
      </c>
      <c r="O47" s="19">
        <v>0</v>
      </c>
      <c r="P47" s="11">
        <f t="shared" si="21"/>
        <v>-360339</v>
      </c>
      <c r="Q47" s="11">
        <f t="shared" si="120"/>
        <v>0</v>
      </c>
      <c r="R47" s="11">
        <f t="shared" si="22"/>
        <v>-500000</v>
      </c>
      <c r="S47" s="19">
        <v>0</v>
      </c>
      <c r="T47" s="11">
        <f t="shared" si="23"/>
        <v>-360339</v>
      </c>
      <c r="U47" s="11">
        <f t="shared" si="121"/>
        <v>0</v>
      </c>
      <c r="V47" s="11">
        <f t="shared" si="81"/>
        <v>-500000</v>
      </c>
      <c r="W47" s="11">
        <f t="shared" si="24"/>
        <v>0</v>
      </c>
      <c r="X47" s="19">
        <v>500000</v>
      </c>
      <c r="Y47" s="11">
        <f t="shared" si="122"/>
        <v>139661</v>
      </c>
      <c r="Z47" s="11">
        <f t="shared" si="123"/>
        <v>500000</v>
      </c>
      <c r="AA47" s="11">
        <f t="shared" si="25"/>
        <v>0</v>
      </c>
      <c r="AB47" s="11">
        <f t="shared" si="26"/>
        <v>500000</v>
      </c>
      <c r="AC47" s="19">
        <v>500000</v>
      </c>
      <c r="AD47" s="11">
        <f t="shared" si="124"/>
        <v>139661</v>
      </c>
      <c r="AE47" s="11">
        <f t="shared" si="27"/>
        <v>0</v>
      </c>
      <c r="AF47" s="11">
        <f t="shared" ref="AF47:AF65" si="127">AG47-AC47</f>
        <v>0</v>
      </c>
      <c r="AG47" s="19">
        <v>500000</v>
      </c>
      <c r="AH47" s="11">
        <f t="shared" si="125"/>
        <v>139661</v>
      </c>
      <c r="AI47" s="11"/>
      <c r="AJ47" s="11">
        <f t="shared" si="28"/>
        <v>500000</v>
      </c>
      <c r="AK47" s="11"/>
      <c r="AL47" s="11"/>
      <c r="AM47" s="11">
        <f t="shared" si="29"/>
        <v>500000</v>
      </c>
      <c r="AN47" s="19">
        <v>0</v>
      </c>
      <c r="AO47" s="11">
        <f t="shared" si="30"/>
        <v>-500000</v>
      </c>
      <c r="AP47" s="11"/>
      <c r="AQ47" s="19">
        <v>700000</v>
      </c>
      <c r="AR47" s="19">
        <f t="shared" si="31"/>
        <v>200000</v>
      </c>
      <c r="AS47" s="19">
        <f t="shared" si="32"/>
        <v>700000</v>
      </c>
      <c r="AT47" s="19">
        <v>700000</v>
      </c>
      <c r="AU47" s="19">
        <f t="shared" si="33"/>
        <v>200000</v>
      </c>
      <c r="AV47" s="19">
        <f t="shared" si="34"/>
        <v>700000</v>
      </c>
      <c r="AW47" s="19">
        <f t="shared" si="35"/>
        <v>0</v>
      </c>
      <c r="AX47" s="19" t="s">
        <v>178</v>
      </c>
      <c r="AY47" s="19">
        <v>0</v>
      </c>
      <c r="AZ47" s="19">
        <f t="shared" si="36"/>
        <v>-500000</v>
      </c>
      <c r="BA47" s="19">
        <f t="shared" si="37"/>
        <v>0</v>
      </c>
      <c r="BB47" s="19">
        <f t="shared" si="38"/>
        <v>-700000</v>
      </c>
      <c r="BC47" s="66"/>
      <c r="BD47" s="19">
        <v>0</v>
      </c>
      <c r="BE47" s="19">
        <f t="shared" si="39"/>
        <v>-500000</v>
      </c>
      <c r="BF47" s="19">
        <f t="shared" si="40"/>
        <v>0</v>
      </c>
      <c r="BG47" s="19">
        <f t="shared" si="41"/>
        <v>-700000</v>
      </c>
      <c r="BH47" s="19">
        <f t="shared" si="42"/>
        <v>0</v>
      </c>
      <c r="BI47" s="73"/>
      <c r="BJ47" s="19">
        <v>700000</v>
      </c>
      <c r="BK47" s="12">
        <v>-200000</v>
      </c>
      <c r="BL47" s="19">
        <f t="shared" si="43"/>
        <v>500000</v>
      </c>
      <c r="BM47" s="20">
        <v>200000</v>
      </c>
      <c r="BN47" s="19">
        <f t="shared" si="44"/>
        <v>700000</v>
      </c>
      <c r="BO47" s="12">
        <f t="shared" si="105"/>
        <v>200000</v>
      </c>
      <c r="BP47" s="19">
        <f t="shared" si="106"/>
        <v>700000</v>
      </c>
      <c r="BQ47" s="19">
        <f t="shared" si="107"/>
        <v>0</v>
      </c>
      <c r="BR47" s="19">
        <f t="shared" si="108"/>
        <v>700000</v>
      </c>
      <c r="BS47" s="19">
        <f t="shared" si="109"/>
        <v>0</v>
      </c>
      <c r="BT47" s="73" t="s">
        <v>216</v>
      </c>
      <c r="BU47" s="80"/>
      <c r="BV47" s="78">
        <f t="shared" si="45"/>
        <v>700000</v>
      </c>
      <c r="BW47" s="78"/>
      <c r="BX47" s="78">
        <f t="shared" si="46"/>
        <v>700000</v>
      </c>
      <c r="BY47" s="78">
        <v>-466666</v>
      </c>
      <c r="BZ47" s="93">
        <v>233334</v>
      </c>
      <c r="CA47" s="93">
        <v>0</v>
      </c>
      <c r="CB47" s="88">
        <f t="shared" si="126"/>
        <v>-233334</v>
      </c>
      <c r="CC47" s="80" t="s">
        <v>237</v>
      </c>
      <c r="CD47" s="65">
        <v>700000</v>
      </c>
      <c r="CE47" s="93">
        <f t="shared" si="48"/>
        <v>466666</v>
      </c>
      <c r="CF47" s="93">
        <f t="shared" si="49"/>
        <v>700000</v>
      </c>
      <c r="CG47" s="97" t="s">
        <v>262</v>
      </c>
      <c r="CH47" s="65">
        <v>700000</v>
      </c>
      <c r="CI47" s="93">
        <f t="shared" si="50"/>
        <v>466666</v>
      </c>
      <c r="CJ47" s="93">
        <f t="shared" si="51"/>
        <v>700000</v>
      </c>
      <c r="CK47" s="93">
        <f t="shared" si="52"/>
        <v>0</v>
      </c>
      <c r="CL47" s="97" t="s">
        <v>304</v>
      </c>
      <c r="CM47" s="65">
        <v>0</v>
      </c>
      <c r="CN47" s="93">
        <f t="shared" si="82"/>
        <v>-233334</v>
      </c>
      <c r="CO47" s="93">
        <f t="shared" si="53"/>
        <v>0</v>
      </c>
      <c r="CP47" s="93">
        <f t="shared" si="54"/>
        <v>-700000</v>
      </c>
      <c r="CQ47" s="97" t="s">
        <v>318</v>
      </c>
      <c r="CR47" s="65">
        <v>0</v>
      </c>
      <c r="CS47" s="93">
        <f t="shared" si="55"/>
        <v>-233334</v>
      </c>
      <c r="CT47" s="93">
        <f t="shared" si="56"/>
        <v>0</v>
      </c>
      <c r="CU47" s="93">
        <f t="shared" si="57"/>
        <v>-700000</v>
      </c>
      <c r="CV47" s="93">
        <f t="shared" si="58"/>
        <v>0</v>
      </c>
      <c r="CW47" s="97" t="s">
        <v>318</v>
      </c>
      <c r="CX47" s="65">
        <v>700000</v>
      </c>
      <c r="CY47" s="93">
        <f t="shared" si="99"/>
        <v>466666</v>
      </c>
      <c r="CZ47" s="93">
        <f t="shared" si="110"/>
        <v>700000</v>
      </c>
      <c r="DA47" s="93">
        <f t="shared" si="111"/>
        <v>0</v>
      </c>
      <c r="DB47" s="93">
        <f t="shared" si="112"/>
        <v>700000</v>
      </c>
      <c r="DC47" s="97" t="s">
        <v>304</v>
      </c>
      <c r="DD47" s="65">
        <v>233334</v>
      </c>
      <c r="DE47" s="93">
        <f t="shared" si="113"/>
        <v>0</v>
      </c>
      <c r="DF47" s="93">
        <f t="shared" si="114"/>
        <v>233334</v>
      </c>
      <c r="DG47" s="93">
        <f t="shared" si="59"/>
        <v>-466666</v>
      </c>
      <c r="DH47" s="97" t="s">
        <v>304</v>
      </c>
      <c r="DI47" s="65">
        <v>700000</v>
      </c>
      <c r="DJ47" s="129" t="s">
        <v>304</v>
      </c>
      <c r="DK47" s="130"/>
      <c r="DL47" s="93">
        <f t="shared" si="115"/>
        <v>700000</v>
      </c>
      <c r="DM47" s="127">
        <f t="shared" si="15"/>
        <v>466666</v>
      </c>
      <c r="DN47" s="148">
        <v>0</v>
      </c>
      <c r="DO47" s="22">
        <f t="shared" si="60"/>
        <v>-700000</v>
      </c>
      <c r="DP47" s="97" t="s">
        <v>402</v>
      </c>
      <c r="DQ47" s="145">
        <v>700000</v>
      </c>
      <c r="DR47" s="145"/>
      <c r="DS47" s="93">
        <f t="shared" si="92"/>
        <v>700000</v>
      </c>
      <c r="DT47" s="24">
        <f t="shared" si="61"/>
        <v>0</v>
      </c>
      <c r="DU47" s="22">
        <f t="shared" si="62"/>
        <v>700000</v>
      </c>
      <c r="DV47" s="22">
        <f t="shared" si="63"/>
        <v>0</v>
      </c>
      <c r="DW47" s="22">
        <f t="shared" si="64"/>
        <v>700000</v>
      </c>
      <c r="DX47" s="97"/>
      <c r="DY47" s="157"/>
      <c r="DZ47" s="29">
        <v>0</v>
      </c>
      <c r="EA47" s="24">
        <f t="shared" si="93"/>
        <v>-700000</v>
      </c>
      <c r="EB47" s="22">
        <f t="shared" si="94"/>
        <v>-700000</v>
      </c>
      <c r="EC47" s="22">
        <f t="shared" si="67"/>
        <v>-700000</v>
      </c>
      <c r="ED47" s="22">
        <f t="shared" si="116"/>
        <v>0</v>
      </c>
      <c r="EE47" s="22">
        <f t="shared" si="117"/>
        <v>-700000</v>
      </c>
      <c r="EF47" s="164"/>
      <c r="EG47" s="172"/>
      <c r="EH47" s="148">
        <f t="shared" si="70"/>
        <v>0</v>
      </c>
      <c r="EI47" s="24">
        <f t="shared" si="95"/>
        <v>-700000</v>
      </c>
      <c r="EJ47" s="22">
        <f t="shared" si="96"/>
        <v>0</v>
      </c>
      <c r="EK47" s="22">
        <f t="shared" si="73"/>
        <v>-700000</v>
      </c>
      <c r="EL47" s="22">
        <f t="shared" si="74"/>
        <v>0</v>
      </c>
      <c r="EM47" s="22">
        <f t="shared" si="75"/>
        <v>-700000</v>
      </c>
      <c r="EN47" s="22">
        <f t="shared" si="76"/>
        <v>0</v>
      </c>
      <c r="EO47" s="164"/>
      <c r="EP47" s="145">
        <v>700000</v>
      </c>
      <c r="EQ47" s="93">
        <v>700000</v>
      </c>
      <c r="ER47" s="93"/>
      <c r="ES47" s="93">
        <f t="shared" si="77"/>
        <v>700000</v>
      </c>
      <c r="ET47" s="22">
        <f t="shared" si="78"/>
        <v>700000</v>
      </c>
      <c r="EU47" s="22">
        <f t="shared" si="79"/>
        <v>0</v>
      </c>
      <c r="EV47" s="159" t="s">
        <v>624</v>
      </c>
      <c r="EW47" s="201" t="s">
        <v>624</v>
      </c>
      <c r="EX47" s="93">
        <v>0</v>
      </c>
      <c r="EY47" s="5">
        <f t="shared" si="80"/>
        <v>-700000</v>
      </c>
      <c r="EZ47" s="80" t="s">
        <v>690</v>
      </c>
      <c r="FA47" s="127">
        <v>700000</v>
      </c>
      <c r="FB47" s="5">
        <f t="shared" si="103"/>
        <v>0</v>
      </c>
      <c r="FC47" s="5">
        <f t="shared" si="1"/>
        <v>700000</v>
      </c>
      <c r="FD47" s="201"/>
    </row>
    <row r="48" spans="1:163" ht="27" customHeight="1" x14ac:dyDescent="0.2">
      <c r="A48" s="8" t="s">
        <v>30</v>
      </c>
      <c r="B48" s="9"/>
      <c r="C48" s="26" t="s">
        <v>161</v>
      </c>
      <c r="D48" s="20">
        <v>7706297</v>
      </c>
      <c r="E48" s="20">
        <v>17483679</v>
      </c>
      <c r="F48" s="5">
        <f t="shared" si="17"/>
        <v>9777382</v>
      </c>
      <c r="G48" s="22">
        <v>7938413</v>
      </c>
      <c r="H48" s="5">
        <f t="shared" si="18"/>
        <v>232116</v>
      </c>
      <c r="I48" s="5">
        <f t="shared" si="118"/>
        <v>-9545266</v>
      </c>
      <c r="J48" s="29" t="s">
        <v>117</v>
      </c>
      <c r="K48" s="19">
        <v>7938413</v>
      </c>
      <c r="L48" s="11">
        <f t="shared" si="19"/>
        <v>232116</v>
      </c>
      <c r="M48" s="11">
        <f t="shared" si="119"/>
        <v>-9545266</v>
      </c>
      <c r="N48" s="11">
        <f t="shared" si="20"/>
        <v>0</v>
      </c>
      <c r="O48" s="19">
        <v>7580375</v>
      </c>
      <c r="P48" s="11">
        <f t="shared" si="21"/>
        <v>-125922</v>
      </c>
      <c r="Q48" s="11">
        <f t="shared" si="120"/>
        <v>-9903304</v>
      </c>
      <c r="R48" s="11">
        <f t="shared" si="22"/>
        <v>-358038</v>
      </c>
      <c r="S48" s="19">
        <f>7580375+60000+200000</f>
        <v>7840375</v>
      </c>
      <c r="T48" s="11">
        <f t="shared" si="23"/>
        <v>134078</v>
      </c>
      <c r="U48" s="11">
        <f t="shared" si="121"/>
        <v>-9643304</v>
      </c>
      <c r="V48" s="11">
        <f t="shared" si="81"/>
        <v>-98038</v>
      </c>
      <c r="W48" s="11">
        <f t="shared" si="24"/>
        <v>260000</v>
      </c>
      <c r="X48" s="19">
        <v>8448413</v>
      </c>
      <c r="Y48" s="11">
        <f t="shared" si="122"/>
        <v>742116</v>
      </c>
      <c r="Z48" s="11">
        <f t="shared" si="123"/>
        <v>-9035266</v>
      </c>
      <c r="AA48" s="11">
        <f t="shared" si="25"/>
        <v>510000</v>
      </c>
      <c r="AB48" s="11">
        <f t="shared" si="26"/>
        <v>608038</v>
      </c>
      <c r="AC48" s="19">
        <f>8448413-510000</f>
        <v>7938413</v>
      </c>
      <c r="AD48" s="11">
        <f t="shared" si="124"/>
        <v>232116</v>
      </c>
      <c r="AE48" s="11">
        <f t="shared" si="27"/>
        <v>-510000</v>
      </c>
      <c r="AF48" s="11">
        <f t="shared" si="127"/>
        <v>510000</v>
      </c>
      <c r="AG48" s="19">
        <f>8448413</f>
        <v>8448413</v>
      </c>
      <c r="AH48" s="11">
        <f t="shared" si="125"/>
        <v>742116</v>
      </c>
      <c r="AI48" s="11"/>
      <c r="AJ48" s="11">
        <f t="shared" si="28"/>
        <v>8448413</v>
      </c>
      <c r="AK48" s="11">
        <f>7906097-8448413</f>
        <v>-542316</v>
      </c>
      <c r="AL48" s="11"/>
      <c r="AM48" s="11">
        <f t="shared" si="29"/>
        <v>7906097</v>
      </c>
      <c r="AN48" s="19">
        <v>7889141</v>
      </c>
      <c r="AO48" s="11">
        <f t="shared" si="30"/>
        <v>-16956</v>
      </c>
      <c r="AP48" s="19" t="s">
        <v>155</v>
      </c>
      <c r="AQ48" s="19">
        <v>7391120</v>
      </c>
      <c r="AR48" s="19">
        <f t="shared" si="31"/>
        <v>-514977</v>
      </c>
      <c r="AS48" s="19">
        <f t="shared" si="32"/>
        <v>-498021</v>
      </c>
      <c r="AT48" s="19">
        <v>7391120</v>
      </c>
      <c r="AU48" s="19">
        <f t="shared" si="33"/>
        <v>-514977</v>
      </c>
      <c r="AV48" s="19">
        <f t="shared" si="34"/>
        <v>-498021</v>
      </c>
      <c r="AW48" s="19">
        <f t="shared" si="35"/>
        <v>0</v>
      </c>
      <c r="AX48" s="19" t="s">
        <v>155</v>
      </c>
      <c r="AY48" s="19">
        <v>7646098</v>
      </c>
      <c r="AZ48" s="19">
        <f t="shared" si="36"/>
        <v>-259999</v>
      </c>
      <c r="BA48" s="19">
        <f t="shared" si="37"/>
        <v>-243043</v>
      </c>
      <c r="BB48" s="19">
        <f t="shared" si="38"/>
        <v>254978</v>
      </c>
      <c r="BC48" s="66" t="s">
        <v>189</v>
      </c>
      <c r="BD48" s="19">
        <f>7646098+50000</f>
        <v>7696098</v>
      </c>
      <c r="BE48" s="19">
        <f t="shared" si="39"/>
        <v>-209999</v>
      </c>
      <c r="BF48" s="19">
        <f t="shared" si="40"/>
        <v>-193043</v>
      </c>
      <c r="BG48" s="19">
        <f t="shared" si="41"/>
        <v>304978</v>
      </c>
      <c r="BH48" s="19">
        <f t="shared" si="42"/>
        <v>50000</v>
      </c>
      <c r="BI48" s="73" t="s">
        <v>205</v>
      </c>
      <c r="BJ48" s="19">
        <v>7691120</v>
      </c>
      <c r="BK48" s="12">
        <v>-300000</v>
      </c>
      <c r="BL48" s="19">
        <f t="shared" si="43"/>
        <v>7391120</v>
      </c>
      <c r="BM48" s="20">
        <v>300000</v>
      </c>
      <c r="BN48" s="19">
        <f t="shared" si="44"/>
        <v>7691120</v>
      </c>
      <c r="BO48" s="12">
        <f t="shared" si="105"/>
        <v>-214977</v>
      </c>
      <c r="BP48" s="19">
        <f t="shared" si="106"/>
        <v>-198021</v>
      </c>
      <c r="BQ48" s="19">
        <f t="shared" si="107"/>
        <v>300000</v>
      </c>
      <c r="BR48" s="19">
        <f t="shared" si="108"/>
        <v>-4978</v>
      </c>
      <c r="BS48" s="19">
        <f t="shared" si="109"/>
        <v>0</v>
      </c>
      <c r="BT48" s="73" t="s">
        <v>217</v>
      </c>
      <c r="BU48" s="80"/>
      <c r="BV48" s="78">
        <f t="shared" si="45"/>
        <v>7691120</v>
      </c>
      <c r="BW48" s="78"/>
      <c r="BX48" s="78">
        <f t="shared" si="46"/>
        <v>7691120</v>
      </c>
      <c r="BY48" s="78">
        <v>-300000</v>
      </c>
      <c r="BZ48" s="93">
        <v>7391120</v>
      </c>
      <c r="CA48" s="92">
        <v>27958257</v>
      </c>
      <c r="CB48" s="88">
        <f t="shared" si="126"/>
        <v>20567137</v>
      </c>
      <c r="CC48" s="80" t="s">
        <v>241</v>
      </c>
      <c r="CD48" s="65">
        <v>7307165</v>
      </c>
      <c r="CE48" s="93">
        <f t="shared" si="48"/>
        <v>-83955</v>
      </c>
      <c r="CF48" s="93">
        <f t="shared" si="49"/>
        <v>-20651092</v>
      </c>
      <c r="CG48" s="80" t="s">
        <v>255</v>
      </c>
      <c r="CH48" s="65">
        <v>7307165</v>
      </c>
      <c r="CI48" s="93">
        <f t="shared" si="50"/>
        <v>-83955</v>
      </c>
      <c r="CJ48" s="93">
        <f t="shared" si="51"/>
        <v>-20651092</v>
      </c>
      <c r="CK48" s="93">
        <f t="shared" si="52"/>
        <v>0</v>
      </c>
      <c r="CL48" s="80" t="s">
        <v>255</v>
      </c>
      <c r="CM48" s="65">
        <v>7457168</v>
      </c>
      <c r="CN48" s="93">
        <f>CM48-BZ48</f>
        <v>66048</v>
      </c>
      <c r="CO48" s="93">
        <f t="shared" si="53"/>
        <v>-20501089</v>
      </c>
      <c r="CP48" s="93">
        <f t="shared" si="54"/>
        <v>150003</v>
      </c>
      <c r="CQ48" s="80" t="s">
        <v>321</v>
      </c>
      <c r="CR48" s="65">
        <f>7457168+250000</f>
        <v>7707168</v>
      </c>
      <c r="CS48" s="93">
        <f t="shared" si="55"/>
        <v>316048</v>
      </c>
      <c r="CT48" s="93">
        <f t="shared" si="56"/>
        <v>-20251089</v>
      </c>
      <c r="CU48" s="93">
        <f>CR48-CH48</f>
        <v>400003</v>
      </c>
      <c r="CV48" s="93">
        <f t="shared" si="58"/>
        <v>250000</v>
      </c>
      <c r="CW48" s="80" t="s">
        <v>345</v>
      </c>
      <c r="CX48" s="65">
        <v>7207165</v>
      </c>
      <c r="CY48" s="93">
        <f t="shared" si="99"/>
        <v>-183955</v>
      </c>
      <c r="CZ48" s="93">
        <f t="shared" si="110"/>
        <v>-20751092</v>
      </c>
      <c r="DA48" s="93">
        <f t="shared" si="111"/>
        <v>-100000</v>
      </c>
      <c r="DB48" s="93">
        <f t="shared" si="112"/>
        <v>-500003</v>
      </c>
      <c r="DC48" s="123" t="s">
        <v>362</v>
      </c>
      <c r="DD48" s="65">
        <v>6807165</v>
      </c>
      <c r="DE48" s="93">
        <f t="shared" si="113"/>
        <v>-583955</v>
      </c>
      <c r="DF48" s="93">
        <f t="shared" si="114"/>
        <v>-21151092</v>
      </c>
      <c r="DG48" s="93">
        <f t="shared" si="59"/>
        <v>-400000</v>
      </c>
      <c r="DH48" s="123" t="s">
        <v>378</v>
      </c>
      <c r="DI48" s="65">
        <v>7207165</v>
      </c>
      <c r="DJ48" s="147" t="s">
        <v>362</v>
      </c>
      <c r="DK48" s="199"/>
      <c r="DL48" s="93">
        <f t="shared" si="115"/>
        <v>7207165</v>
      </c>
      <c r="DM48" s="127">
        <f t="shared" si="15"/>
        <v>-183955</v>
      </c>
      <c r="DN48" s="149">
        <v>6960939</v>
      </c>
      <c r="DO48" s="22">
        <f t="shared" si="60"/>
        <v>-246226</v>
      </c>
      <c r="DP48" s="80" t="s">
        <v>406</v>
      </c>
      <c r="DQ48" s="146">
        <v>7414998</v>
      </c>
      <c r="DR48" s="146"/>
      <c r="DS48" s="148">
        <f t="shared" si="92"/>
        <v>7414998</v>
      </c>
      <c r="DT48" s="24">
        <f t="shared" si="61"/>
        <v>207833</v>
      </c>
      <c r="DU48" s="22">
        <f t="shared" si="62"/>
        <v>454059</v>
      </c>
      <c r="DV48" s="22">
        <f t="shared" si="63"/>
        <v>207833</v>
      </c>
      <c r="DW48" s="22">
        <f t="shared" si="64"/>
        <v>454059</v>
      </c>
      <c r="DX48" s="153" t="s">
        <v>434</v>
      </c>
      <c r="DY48" s="153" t="s">
        <v>434</v>
      </c>
      <c r="DZ48" s="148">
        <v>6760939</v>
      </c>
      <c r="EA48" s="24" t="e">
        <f t="shared" si="93"/>
        <v>#VALUE!</v>
      </c>
      <c r="EB48" s="22" t="e">
        <f t="shared" si="94"/>
        <v>#VALUE!</v>
      </c>
      <c r="EC48" s="22">
        <f t="shared" si="67"/>
        <v>-446226</v>
      </c>
      <c r="ED48" s="22">
        <f>DZ48-DN48</f>
        <v>-200000</v>
      </c>
      <c r="EE48" s="22">
        <f>DZ48-DS48</f>
        <v>-654059</v>
      </c>
      <c r="EF48" s="159" t="s">
        <v>526</v>
      </c>
      <c r="EG48" s="65">
        <f>75000+75000</f>
        <v>150000</v>
      </c>
      <c r="EH48" s="148">
        <f t="shared" si="70"/>
        <v>6910939</v>
      </c>
      <c r="EI48" s="24">
        <f t="shared" si="95"/>
        <v>-7414998</v>
      </c>
      <c r="EJ48" s="22" t="e">
        <f t="shared" si="96"/>
        <v>#VALUE!</v>
      </c>
      <c r="EK48" s="22">
        <f t="shared" si="73"/>
        <v>-296226</v>
      </c>
      <c r="EL48" s="22">
        <f t="shared" si="74"/>
        <v>-50000</v>
      </c>
      <c r="EM48" s="22">
        <f t="shared" si="75"/>
        <v>-504059</v>
      </c>
      <c r="EN48" s="22">
        <f t="shared" si="76"/>
        <v>150000</v>
      </c>
      <c r="EO48" s="159" t="s">
        <v>596</v>
      </c>
      <c r="EP48" s="145">
        <v>7564998</v>
      </c>
      <c r="EQ48" s="148">
        <v>7564998</v>
      </c>
      <c r="ER48" s="148">
        <f>5000000+9198</f>
        <v>5009198</v>
      </c>
      <c r="ES48" s="148">
        <f t="shared" si="77"/>
        <v>12574196</v>
      </c>
      <c r="ET48" s="22">
        <f t="shared" si="78"/>
        <v>5613257</v>
      </c>
      <c r="EU48" s="22">
        <f>ES48-DL48</f>
        <v>5367031</v>
      </c>
      <c r="EV48" s="159" t="s">
        <v>643</v>
      </c>
      <c r="EW48" s="201" t="s">
        <v>643</v>
      </c>
      <c r="EX48" s="148">
        <v>26540589</v>
      </c>
      <c r="EY48" s="5">
        <f t="shared" si="80"/>
        <v>13966393</v>
      </c>
      <c r="EZ48" s="80" t="s">
        <v>687</v>
      </c>
      <c r="FA48" s="145">
        <v>12425572</v>
      </c>
      <c r="FB48" s="5">
        <f t="shared" si="103"/>
        <v>-148624</v>
      </c>
      <c r="FC48" s="5">
        <f t="shared" si="1"/>
        <v>-14115017</v>
      </c>
      <c r="FD48" s="80" t="s">
        <v>740</v>
      </c>
      <c r="FG48" s="3"/>
    </row>
    <row r="49" spans="1:160" ht="14.25" customHeight="1" x14ac:dyDescent="0.2">
      <c r="A49" s="8" t="s">
        <v>32</v>
      </c>
      <c r="B49" s="9"/>
      <c r="C49" s="27" t="s">
        <v>39</v>
      </c>
      <c r="D49" s="20">
        <v>14668628</v>
      </c>
      <c r="E49" s="20">
        <v>14673492</v>
      </c>
      <c r="F49" s="5">
        <f t="shared" si="17"/>
        <v>4864</v>
      </c>
      <c r="G49" s="22">
        <v>13673492</v>
      </c>
      <c r="H49" s="5">
        <f t="shared" si="18"/>
        <v>-995136</v>
      </c>
      <c r="I49" s="5">
        <f t="shared" si="118"/>
        <v>-1000000</v>
      </c>
      <c r="J49" s="29" t="s">
        <v>118</v>
      </c>
      <c r="K49" s="19">
        <v>14223492</v>
      </c>
      <c r="L49" s="11">
        <f t="shared" si="19"/>
        <v>-445136</v>
      </c>
      <c r="M49" s="11">
        <f t="shared" si="119"/>
        <v>-450000</v>
      </c>
      <c r="N49" s="11">
        <f t="shared" si="20"/>
        <v>550000</v>
      </c>
      <c r="O49" s="19">
        <v>13673492</v>
      </c>
      <c r="P49" s="11">
        <f t="shared" si="21"/>
        <v>-995136</v>
      </c>
      <c r="Q49" s="11">
        <f t="shared" si="120"/>
        <v>-1000000</v>
      </c>
      <c r="R49" s="11">
        <f t="shared" si="22"/>
        <v>-550000</v>
      </c>
      <c r="S49" s="19">
        <v>13673492</v>
      </c>
      <c r="T49" s="11">
        <f t="shared" si="23"/>
        <v>-995136</v>
      </c>
      <c r="U49" s="11">
        <f t="shared" si="121"/>
        <v>-1000000</v>
      </c>
      <c r="V49" s="11">
        <f t="shared" si="81"/>
        <v>-550000</v>
      </c>
      <c r="W49" s="11">
        <f t="shared" si="24"/>
        <v>0</v>
      </c>
      <c r="X49" s="19">
        <v>14223492</v>
      </c>
      <c r="Y49" s="11">
        <f t="shared" si="122"/>
        <v>-445136</v>
      </c>
      <c r="Z49" s="11">
        <f t="shared" si="123"/>
        <v>-450000</v>
      </c>
      <c r="AA49" s="11">
        <f t="shared" si="25"/>
        <v>0</v>
      </c>
      <c r="AB49" s="11">
        <f t="shared" si="26"/>
        <v>550000</v>
      </c>
      <c r="AC49" s="19">
        <v>14223492</v>
      </c>
      <c r="AD49" s="11">
        <f t="shared" si="124"/>
        <v>-445136</v>
      </c>
      <c r="AE49" s="11">
        <f t="shared" si="27"/>
        <v>0</v>
      </c>
      <c r="AF49" s="11">
        <f t="shared" si="127"/>
        <v>0</v>
      </c>
      <c r="AG49" s="19">
        <v>14223492</v>
      </c>
      <c r="AH49" s="11">
        <f t="shared" si="125"/>
        <v>-445136</v>
      </c>
      <c r="AI49" s="11"/>
      <c r="AJ49" s="11">
        <f t="shared" si="28"/>
        <v>14223492</v>
      </c>
      <c r="AK49" s="11"/>
      <c r="AL49" s="11"/>
      <c r="AM49" s="11">
        <f t="shared" si="29"/>
        <v>14223492</v>
      </c>
      <c r="AN49" s="19">
        <v>14237835</v>
      </c>
      <c r="AO49" s="11">
        <f t="shared" si="30"/>
        <v>14343</v>
      </c>
      <c r="AP49" s="19" t="s">
        <v>156</v>
      </c>
      <c r="AQ49" s="19">
        <v>14237835</v>
      </c>
      <c r="AR49" s="19">
        <f t="shared" si="31"/>
        <v>14343</v>
      </c>
      <c r="AS49" s="19">
        <f t="shared" si="32"/>
        <v>0</v>
      </c>
      <c r="AT49" s="19">
        <v>14237835</v>
      </c>
      <c r="AU49" s="19">
        <f t="shared" si="33"/>
        <v>14343</v>
      </c>
      <c r="AV49" s="19">
        <f t="shared" si="34"/>
        <v>0</v>
      </c>
      <c r="AW49" s="19">
        <f t="shared" si="35"/>
        <v>0</v>
      </c>
      <c r="AX49" s="19" t="s">
        <v>156</v>
      </c>
      <c r="AY49" s="19">
        <v>14174528</v>
      </c>
      <c r="AZ49" s="19">
        <f t="shared" si="36"/>
        <v>-48964</v>
      </c>
      <c r="BA49" s="19">
        <f t="shared" si="37"/>
        <v>-63307</v>
      </c>
      <c r="BB49" s="19">
        <f t="shared" si="38"/>
        <v>-63307</v>
      </c>
      <c r="BC49" s="66" t="s">
        <v>190</v>
      </c>
      <c r="BD49" s="19">
        <v>14174528</v>
      </c>
      <c r="BE49" s="19">
        <f t="shared" si="39"/>
        <v>-48964</v>
      </c>
      <c r="BF49" s="19">
        <f t="shared" si="40"/>
        <v>-63307</v>
      </c>
      <c r="BG49" s="19">
        <f t="shared" si="41"/>
        <v>-63307</v>
      </c>
      <c r="BH49" s="19">
        <f t="shared" si="42"/>
        <v>0</v>
      </c>
      <c r="BI49" s="73"/>
      <c r="BJ49" s="19">
        <v>14174528</v>
      </c>
      <c r="BK49" s="12"/>
      <c r="BL49" s="19">
        <f t="shared" si="43"/>
        <v>14174528</v>
      </c>
      <c r="BM49" s="20"/>
      <c r="BN49" s="19">
        <f t="shared" si="44"/>
        <v>14174528</v>
      </c>
      <c r="BO49" s="12">
        <f t="shared" si="105"/>
        <v>-48964</v>
      </c>
      <c r="BP49" s="19">
        <f t="shared" si="106"/>
        <v>-63307</v>
      </c>
      <c r="BQ49" s="19">
        <f t="shared" si="107"/>
        <v>-63307</v>
      </c>
      <c r="BR49" s="19">
        <f t="shared" si="108"/>
        <v>0</v>
      </c>
      <c r="BS49" s="19">
        <f t="shared" si="109"/>
        <v>0</v>
      </c>
      <c r="BT49" s="73"/>
      <c r="BU49" s="80"/>
      <c r="BV49" s="78">
        <f t="shared" si="45"/>
        <v>14174528</v>
      </c>
      <c r="BW49" s="78">
        <v>-1251</v>
      </c>
      <c r="BX49" s="78">
        <f t="shared" si="46"/>
        <v>14173277</v>
      </c>
      <c r="BY49" s="78"/>
      <c r="BZ49" s="93">
        <v>14173277</v>
      </c>
      <c r="CA49" s="93">
        <v>0</v>
      </c>
      <c r="CB49" s="88">
        <f t="shared" si="126"/>
        <v>-14173277</v>
      </c>
      <c r="CC49" s="80" t="s">
        <v>238</v>
      </c>
      <c r="CD49" s="65">
        <v>14175592</v>
      </c>
      <c r="CE49" s="93">
        <f t="shared" si="48"/>
        <v>2315</v>
      </c>
      <c r="CF49" s="93">
        <f t="shared" si="49"/>
        <v>14175592</v>
      </c>
      <c r="CG49" s="80"/>
      <c r="CH49" s="65">
        <v>14175592</v>
      </c>
      <c r="CI49" s="93">
        <f t="shared" si="50"/>
        <v>2315</v>
      </c>
      <c r="CJ49" s="93">
        <f t="shared" si="51"/>
        <v>14175592</v>
      </c>
      <c r="CK49" s="93">
        <f t="shared" si="52"/>
        <v>0</v>
      </c>
      <c r="CL49" s="80"/>
      <c r="CM49" s="65">
        <v>14175592</v>
      </c>
      <c r="CN49" s="93">
        <f t="shared" si="82"/>
        <v>2315</v>
      </c>
      <c r="CO49" s="93">
        <f t="shared" si="53"/>
        <v>14175592</v>
      </c>
      <c r="CP49" s="93">
        <f t="shared" si="54"/>
        <v>0</v>
      </c>
      <c r="CQ49" s="80"/>
      <c r="CR49" s="65">
        <v>14175592</v>
      </c>
      <c r="CS49" s="93">
        <f t="shared" si="55"/>
        <v>2315</v>
      </c>
      <c r="CT49" s="93">
        <f t="shared" si="56"/>
        <v>14175592</v>
      </c>
      <c r="CU49" s="93">
        <f t="shared" si="57"/>
        <v>0</v>
      </c>
      <c r="CV49" s="93">
        <f t="shared" si="58"/>
        <v>0</v>
      </c>
      <c r="CW49" s="80"/>
      <c r="CX49" s="65">
        <v>13975592</v>
      </c>
      <c r="CY49" s="93">
        <f t="shared" si="99"/>
        <v>-197685</v>
      </c>
      <c r="CZ49" s="93">
        <f t="shared" si="110"/>
        <v>13975592</v>
      </c>
      <c r="DA49" s="93">
        <f t="shared" si="111"/>
        <v>-200000</v>
      </c>
      <c r="DB49" s="93">
        <f t="shared" si="112"/>
        <v>-200000</v>
      </c>
      <c r="DC49" s="80"/>
      <c r="DD49" s="65">
        <v>13975592</v>
      </c>
      <c r="DE49" s="93">
        <f t="shared" si="113"/>
        <v>-197685</v>
      </c>
      <c r="DF49" s="93">
        <f t="shared" si="114"/>
        <v>13975592</v>
      </c>
      <c r="DG49" s="93">
        <f t="shared" si="59"/>
        <v>0</v>
      </c>
      <c r="DH49" s="80"/>
      <c r="DI49" s="65">
        <v>13975592</v>
      </c>
      <c r="DJ49" s="128"/>
      <c r="DK49" s="130"/>
      <c r="DL49" s="93">
        <f t="shared" si="115"/>
        <v>13975592</v>
      </c>
      <c r="DM49" s="127">
        <f t="shared" si="15"/>
        <v>-197685</v>
      </c>
      <c r="DN49" s="148">
        <v>13975592</v>
      </c>
      <c r="DO49" s="22">
        <f t="shared" si="60"/>
        <v>0</v>
      </c>
      <c r="DP49" s="80"/>
      <c r="DQ49" s="145">
        <v>13975592</v>
      </c>
      <c r="DR49" s="145"/>
      <c r="DS49" s="148">
        <f t="shared" si="92"/>
        <v>13975592</v>
      </c>
      <c r="DT49" s="24">
        <f t="shared" si="61"/>
        <v>0</v>
      </c>
      <c r="DU49" s="22">
        <f t="shared" si="62"/>
        <v>0</v>
      </c>
      <c r="DV49" s="22">
        <f t="shared" si="63"/>
        <v>0</v>
      </c>
      <c r="DW49" s="22">
        <f t="shared" si="64"/>
        <v>0</v>
      </c>
      <c r="DX49" s="80"/>
      <c r="DY49" s="80"/>
      <c r="DZ49" s="148">
        <v>13975592</v>
      </c>
      <c r="EA49" s="24">
        <f t="shared" si="93"/>
        <v>-13975592</v>
      </c>
      <c r="EB49" s="22">
        <f t="shared" si="94"/>
        <v>0</v>
      </c>
      <c r="EC49" s="22">
        <f t="shared" si="67"/>
        <v>0</v>
      </c>
      <c r="ED49" s="22">
        <f t="shared" si="116"/>
        <v>0</v>
      </c>
      <c r="EE49" s="22">
        <f t="shared" si="117"/>
        <v>0</v>
      </c>
      <c r="EF49" s="164"/>
      <c r="EG49" s="172"/>
      <c r="EH49" s="148">
        <f t="shared" si="70"/>
        <v>13975592</v>
      </c>
      <c r="EI49" s="24">
        <f t="shared" si="95"/>
        <v>-13975592</v>
      </c>
      <c r="EJ49" s="22">
        <f t="shared" si="96"/>
        <v>0</v>
      </c>
      <c r="EK49" s="22">
        <f t="shared" si="73"/>
        <v>0</v>
      </c>
      <c r="EL49" s="22">
        <f t="shared" si="74"/>
        <v>0</v>
      </c>
      <c r="EM49" s="22">
        <f t="shared" si="75"/>
        <v>0</v>
      </c>
      <c r="EN49" s="22">
        <f t="shared" si="76"/>
        <v>0</v>
      </c>
      <c r="EO49" s="164"/>
      <c r="EP49" s="145">
        <v>13975592</v>
      </c>
      <c r="EQ49" s="148">
        <v>13975592</v>
      </c>
      <c r="ER49" s="148"/>
      <c r="ES49" s="148">
        <f t="shared" si="77"/>
        <v>13975592</v>
      </c>
      <c r="ET49" s="22">
        <f t="shared" si="78"/>
        <v>0</v>
      </c>
      <c r="EU49" s="22">
        <f t="shared" si="79"/>
        <v>0</v>
      </c>
      <c r="EV49" s="159"/>
      <c r="EW49" s="201"/>
      <c r="EX49" s="148">
        <v>0</v>
      </c>
      <c r="EY49" s="5">
        <f t="shared" si="80"/>
        <v>-13975592</v>
      </c>
      <c r="EZ49" s="80" t="s">
        <v>238</v>
      </c>
      <c r="FA49" s="145">
        <v>13984883</v>
      </c>
      <c r="FB49" s="5">
        <f t="shared" si="103"/>
        <v>9291</v>
      </c>
      <c r="FC49" s="5">
        <f t="shared" si="1"/>
        <v>13984883</v>
      </c>
      <c r="FD49" s="80"/>
    </row>
    <row r="50" spans="1:160" ht="12.75" hidden="1" customHeight="1" x14ac:dyDescent="0.2">
      <c r="A50" s="8" t="s">
        <v>38</v>
      </c>
      <c r="B50" s="9"/>
      <c r="C50" s="26" t="s">
        <v>81</v>
      </c>
      <c r="D50" s="20">
        <v>0</v>
      </c>
      <c r="E50" s="20"/>
      <c r="F50" s="5">
        <f t="shared" si="17"/>
        <v>0</v>
      </c>
      <c r="G50" s="22"/>
      <c r="H50" s="5">
        <f t="shared" si="18"/>
        <v>0</v>
      </c>
      <c r="I50" s="5">
        <f t="shared" si="118"/>
        <v>0</v>
      </c>
      <c r="J50" s="31"/>
      <c r="K50" s="19"/>
      <c r="L50" s="11">
        <f t="shared" si="19"/>
        <v>0</v>
      </c>
      <c r="M50" s="11">
        <f t="shared" si="119"/>
        <v>0</v>
      </c>
      <c r="N50" s="11">
        <f t="shared" si="20"/>
        <v>0</v>
      </c>
      <c r="O50" s="19"/>
      <c r="P50" s="11">
        <f t="shared" si="21"/>
        <v>0</v>
      </c>
      <c r="Q50" s="11">
        <f t="shared" si="120"/>
        <v>0</v>
      </c>
      <c r="R50" s="11">
        <f t="shared" si="22"/>
        <v>0</v>
      </c>
      <c r="S50" s="19"/>
      <c r="T50" s="11">
        <f t="shared" si="23"/>
        <v>0</v>
      </c>
      <c r="U50" s="11">
        <f t="shared" si="121"/>
        <v>0</v>
      </c>
      <c r="V50" s="11">
        <f t="shared" si="81"/>
        <v>0</v>
      </c>
      <c r="W50" s="11">
        <f t="shared" si="24"/>
        <v>0</v>
      </c>
      <c r="X50" s="19"/>
      <c r="Y50" s="11">
        <f t="shared" si="122"/>
        <v>0</v>
      </c>
      <c r="Z50" s="11">
        <f t="shared" si="123"/>
        <v>0</v>
      </c>
      <c r="AA50" s="11">
        <f t="shared" si="25"/>
        <v>0</v>
      </c>
      <c r="AB50" s="11">
        <f t="shared" si="26"/>
        <v>0</v>
      </c>
      <c r="AC50" s="19"/>
      <c r="AD50" s="11">
        <f t="shared" si="124"/>
        <v>0</v>
      </c>
      <c r="AE50" s="11">
        <f t="shared" si="27"/>
        <v>0</v>
      </c>
      <c r="AF50" s="11">
        <f t="shared" si="127"/>
        <v>0</v>
      </c>
      <c r="AG50" s="19"/>
      <c r="AH50" s="11">
        <f t="shared" si="125"/>
        <v>0</v>
      </c>
      <c r="AI50" s="11"/>
      <c r="AJ50" s="11">
        <f t="shared" si="28"/>
        <v>0</v>
      </c>
      <c r="AK50" s="11"/>
      <c r="AL50" s="11"/>
      <c r="AM50" s="11">
        <f t="shared" si="29"/>
        <v>0</v>
      </c>
      <c r="AN50" s="19"/>
      <c r="AO50" s="11">
        <f t="shared" si="30"/>
        <v>0</v>
      </c>
      <c r="AP50" s="11"/>
      <c r="AQ50" s="19"/>
      <c r="AR50" s="19">
        <f t="shared" si="31"/>
        <v>0</v>
      </c>
      <c r="AS50" s="19">
        <f t="shared" si="32"/>
        <v>0</v>
      </c>
      <c r="AT50" s="19"/>
      <c r="AU50" s="19">
        <f t="shared" si="33"/>
        <v>0</v>
      </c>
      <c r="AV50" s="19">
        <f t="shared" si="34"/>
        <v>0</v>
      </c>
      <c r="AW50" s="19">
        <f t="shared" si="35"/>
        <v>0</v>
      </c>
      <c r="AX50" s="19"/>
      <c r="AY50" s="19"/>
      <c r="AZ50" s="19">
        <f t="shared" si="36"/>
        <v>0</v>
      </c>
      <c r="BA50" s="19">
        <f t="shared" si="37"/>
        <v>0</v>
      </c>
      <c r="BB50" s="19">
        <f t="shared" si="38"/>
        <v>0</v>
      </c>
      <c r="BC50" s="66"/>
      <c r="BD50" s="19"/>
      <c r="BE50" s="19">
        <f t="shared" si="39"/>
        <v>0</v>
      </c>
      <c r="BF50" s="19">
        <f t="shared" si="40"/>
        <v>0</v>
      </c>
      <c r="BG50" s="19">
        <f t="shared" si="41"/>
        <v>0</v>
      </c>
      <c r="BH50" s="19">
        <f t="shared" si="42"/>
        <v>0</v>
      </c>
      <c r="BI50" s="73"/>
      <c r="BJ50" s="19"/>
      <c r="BK50" s="12"/>
      <c r="BL50" s="19">
        <f t="shared" si="43"/>
        <v>0</v>
      </c>
      <c r="BM50" s="20"/>
      <c r="BN50" s="19">
        <f t="shared" si="44"/>
        <v>0</v>
      </c>
      <c r="BO50" s="12">
        <f t="shared" si="105"/>
        <v>0</v>
      </c>
      <c r="BP50" s="19">
        <f t="shared" si="106"/>
        <v>0</v>
      </c>
      <c r="BQ50" s="19">
        <f t="shared" si="107"/>
        <v>0</v>
      </c>
      <c r="BR50" s="19">
        <f t="shared" si="108"/>
        <v>0</v>
      </c>
      <c r="BS50" s="19">
        <f t="shared" si="109"/>
        <v>0</v>
      </c>
      <c r="BT50" s="73"/>
      <c r="BU50" s="80"/>
      <c r="BV50" s="78">
        <f t="shared" si="45"/>
        <v>0</v>
      </c>
      <c r="BW50" s="78"/>
      <c r="BX50" s="78">
        <f t="shared" si="46"/>
        <v>0</v>
      </c>
      <c r="BY50" s="78"/>
      <c r="BZ50" s="93">
        <v>0</v>
      </c>
      <c r="CA50" s="93"/>
      <c r="CB50" s="88"/>
      <c r="CC50" s="80"/>
      <c r="CD50" s="65"/>
      <c r="CE50" s="93">
        <f t="shared" si="48"/>
        <v>0</v>
      </c>
      <c r="CF50" s="93">
        <f t="shared" si="49"/>
        <v>0</v>
      </c>
      <c r="CG50" s="80"/>
      <c r="CH50" s="65"/>
      <c r="CI50" s="93">
        <f t="shared" si="50"/>
        <v>0</v>
      </c>
      <c r="CJ50" s="93">
        <f t="shared" si="51"/>
        <v>0</v>
      </c>
      <c r="CK50" s="93">
        <f t="shared" si="52"/>
        <v>0</v>
      </c>
      <c r="CL50" s="80"/>
      <c r="CM50" s="65"/>
      <c r="CN50" s="93">
        <f t="shared" si="82"/>
        <v>0</v>
      </c>
      <c r="CO50" s="93">
        <f t="shared" si="53"/>
        <v>0</v>
      </c>
      <c r="CP50" s="93">
        <f t="shared" si="54"/>
        <v>0</v>
      </c>
      <c r="CQ50" s="80"/>
      <c r="CR50" s="65"/>
      <c r="CS50" s="93">
        <f t="shared" si="55"/>
        <v>0</v>
      </c>
      <c r="CT50" s="93">
        <f t="shared" si="56"/>
        <v>0</v>
      </c>
      <c r="CU50" s="93">
        <f t="shared" si="57"/>
        <v>0</v>
      </c>
      <c r="CV50" s="93">
        <f t="shared" si="58"/>
        <v>0</v>
      </c>
      <c r="CW50" s="80"/>
      <c r="CX50" s="65"/>
      <c r="CY50" s="93">
        <f t="shared" si="99"/>
        <v>0</v>
      </c>
      <c r="CZ50" s="93">
        <f t="shared" si="110"/>
        <v>0</v>
      </c>
      <c r="DA50" s="93">
        <f t="shared" si="111"/>
        <v>0</v>
      </c>
      <c r="DB50" s="93">
        <f t="shared" si="112"/>
        <v>0</v>
      </c>
      <c r="DC50" s="80"/>
      <c r="DD50" s="65"/>
      <c r="DE50" s="93">
        <f t="shared" si="113"/>
        <v>0</v>
      </c>
      <c r="DF50" s="93">
        <f t="shared" si="114"/>
        <v>0</v>
      </c>
      <c r="DG50" s="93">
        <f t="shared" si="59"/>
        <v>0</v>
      </c>
      <c r="DH50" s="80"/>
      <c r="DI50" s="65"/>
      <c r="DJ50" s="80"/>
      <c r="DK50" s="96"/>
      <c r="DL50" s="93">
        <f t="shared" si="115"/>
        <v>0</v>
      </c>
      <c r="DM50" s="127">
        <f t="shared" si="15"/>
        <v>0</v>
      </c>
      <c r="DN50" s="148"/>
      <c r="DO50" s="22">
        <f t="shared" si="60"/>
        <v>0</v>
      </c>
      <c r="DP50" s="80"/>
      <c r="DQ50" s="145"/>
      <c r="DR50" s="145"/>
      <c r="DS50" s="148">
        <f t="shared" si="92"/>
        <v>0</v>
      </c>
      <c r="DT50" s="24">
        <f t="shared" si="61"/>
        <v>0</v>
      </c>
      <c r="DU50" s="22">
        <f t="shared" si="62"/>
        <v>0</v>
      </c>
      <c r="DV50" s="22">
        <f t="shared" si="63"/>
        <v>0</v>
      </c>
      <c r="DW50" s="22">
        <f t="shared" si="64"/>
        <v>0</v>
      </c>
      <c r="DX50" s="80"/>
      <c r="DY50" s="80"/>
      <c r="DZ50" s="148"/>
      <c r="EA50" s="24">
        <f t="shared" si="93"/>
        <v>0</v>
      </c>
      <c r="EB50" s="22">
        <f t="shared" si="94"/>
        <v>0</v>
      </c>
      <c r="EC50" s="22">
        <f t="shared" si="67"/>
        <v>0</v>
      </c>
      <c r="ED50" s="22">
        <f t="shared" si="116"/>
        <v>0</v>
      </c>
      <c r="EE50" s="22">
        <f t="shared" si="117"/>
        <v>0</v>
      </c>
      <c r="EF50" s="164"/>
      <c r="EG50" s="172"/>
      <c r="EH50" s="148">
        <f t="shared" si="70"/>
        <v>0</v>
      </c>
      <c r="EI50" s="24">
        <f t="shared" si="95"/>
        <v>0</v>
      </c>
      <c r="EJ50" s="22">
        <f t="shared" si="96"/>
        <v>0</v>
      </c>
      <c r="EK50" s="22">
        <f t="shared" si="73"/>
        <v>0</v>
      </c>
      <c r="EL50" s="22">
        <f t="shared" si="74"/>
        <v>0</v>
      </c>
      <c r="EM50" s="22">
        <f t="shared" si="75"/>
        <v>0</v>
      </c>
      <c r="EN50" s="22">
        <f t="shared" si="76"/>
        <v>0</v>
      </c>
      <c r="EO50" s="164"/>
      <c r="EP50" s="145"/>
      <c r="EQ50" s="148"/>
      <c r="ER50" s="148"/>
      <c r="ES50" s="148">
        <f t="shared" si="77"/>
        <v>0</v>
      </c>
      <c r="ET50" s="22">
        <f t="shared" si="78"/>
        <v>0</v>
      </c>
      <c r="EU50" s="22">
        <f t="shared" si="79"/>
        <v>0</v>
      </c>
      <c r="EV50" s="159"/>
      <c r="EW50" s="201"/>
      <c r="EX50" s="148">
        <v>0</v>
      </c>
      <c r="EY50" s="5">
        <f t="shared" si="80"/>
        <v>0</v>
      </c>
      <c r="EZ50" s="80"/>
      <c r="FA50" s="145"/>
      <c r="FB50" s="5">
        <f t="shared" si="103"/>
        <v>0</v>
      </c>
      <c r="FC50" s="5">
        <f t="shared" si="1"/>
        <v>0</v>
      </c>
      <c r="FD50" s="80"/>
    </row>
    <row r="51" spans="1:160" ht="24" x14ac:dyDescent="0.2">
      <c r="A51" s="8" t="s">
        <v>49</v>
      </c>
      <c r="B51" s="9"/>
      <c r="C51" s="27" t="s">
        <v>72</v>
      </c>
      <c r="D51" s="20">
        <v>1824546</v>
      </c>
      <c r="E51" s="20">
        <v>2065969</v>
      </c>
      <c r="F51" s="5">
        <f t="shared" si="17"/>
        <v>241423</v>
      </c>
      <c r="G51" s="22">
        <v>1824546</v>
      </c>
      <c r="H51" s="5">
        <f t="shared" si="18"/>
        <v>0</v>
      </c>
      <c r="I51" s="5">
        <f t="shared" si="118"/>
        <v>-241423</v>
      </c>
      <c r="J51" s="31"/>
      <c r="K51" s="19">
        <v>1824546</v>
      </c>
      <c r="L51" s="11">
        <f t="shared" si="19"/>
        <v>0</v>
      </c>
      <c r="M51" s="11">
        <f t="shared" si="119"/>
        <v>-241423</v>
      </c>
      <c r="N51" s="11">
        <f t="shared" si="20"/>
        <v>0</v>
      </c>
      <c r="O51" s="19">
        <v>1865969</v>
      </c>
      <c r="P51" s="11">
        <f t="shared" si="21"/>
        <v>41423</v>
      </c>
      <c r="Q51" s="11">
        <f t="shared" si="120"/>
        <v>-200000</v>
      </c>
      <c r="R51" s="11">
        <f t="shared" si="22"/>
        <v>41423</v>
      </c>
      <c r="S51" s="19">
        <v>1865969</v>
      </c>
      <c r="T51" s="11">
        <f t="shared" si="23"/>
        <v>41423</v>
      </c>
      <c r="U51" s="11">
        <f t="shared" si="121"/>
        <v>-200000</v>
      </c>
      <c r="V51" s="11">
        <f t="shared" si="81"/>
        <v>41423</v>
      </c>
      <c r="W51" s="11">
        <f t="shared" si="24"/>
        <v>0</v>
      </c>
      <c r="X51" s="19">
        <v>1824546</v>
      </c>
      <c r="Y51" s="11">
        <f t="shared" si="122"/>
        <v>0</v>
      </c>
      <c r="Z51" s="11">
        <f t="shared" si="123"/>
        <v>-241423</v>
      </c>
      <c r="AA51" s="11">
        <f t="shared" si="25"/>
        <v>0</v>
      </c>
      <c r="AB51" s="11">
        <f t="shared" si="26"/>
        <v>-41423</v>
      </c>
      <c r="AC51" s="19">
        <v>1824546</v>
      </c>
      <c r="AD51" s="11">
        <f t="shared" si="124"/>
        <v>0</v>
      </c>
      <c r="AE51" s="11">
        <f t="shared" si="27"/>
        <v>0</v>
      </c>
      <c r="AF51" s="11">
        <f t="shared" si="127"/>
        <v>0</v>
      </c>
      <c r="AG51" s="19">
        <v>1824546</v>
      </c>
      <c r="AH51" s="11">
        <f t="shared" si="125"/>
        <v>0</v>
      </c>
      <c r="AI51" s="11"/>
      <c r="AJ51" s="11">
        <f t="shared" si="28"/>
        <v>1824546</v>
      </c>
      <c r="AK51" s="11">
        <f>1750519-1824546</f>
        <v>-74027</v>
      </c>
      <c r="AL51" s="11"/>
      <c r="AM51" s="11">
        <f t="shared" si="29"/>
        <v>1750519</v>
      </c>
      <c r="AN51" s="19">
        <v>1748106</v>
      </c>
      <c r="AO51" s="11">
        <f t="shared" si="30"/>
        <v>-2413</v>
      </c>
      <c r="AP51" s="11"/>
      <c r="AQ51" s="19">
        <v>1746349</v>
      </c>
      <c r="AR51" s="19">
        <f t="shared" si="31"/>
        <v>-4170</v>
      </c>
      <c r="AS51" s="19">
        <f t="shared" si="32"/>
        <v>-1757</v>
      </c>
      <c r="AT51" s="19">
        <v>1746349</v>
      </c>
      <c r="AU51" s="19">
        <f t="shared" si="33"/>
        <v>-4170</v>
      </c>
      <c r="AV51" s="19">
        <f t="shared" si="34"/>
        <v>-1757</v>
      </c>
      <c r="AW51" s="19">
        <f t="shared" si="35"/>
        <v>0</v>
      </c>
      <c r="AX51" s="19"/>
      <c r="AY51" s="19">
        <v>1748106</v>
      </c>
      <c r="AZ51" s="19">
        <f t="shared" si="36"/>
        <v>-2413</v>
      </c>
      <c r="BA51" s="19">
        <f t="shared" si="37"/>
        <v>0</v>
      </c>
      <c r="BB51" s="19">
        <f t="shared" si="38"/>
        <v>1757</v>
      </c>
      <c r="BC51" s="66"/>
      <c r="BD51" s="19">
        <v>1748106</v>
      </c>
      <c r="BE51" s="19">
        <f t="shared" si="39"/>
        <v>-2413</v>
      </c>
      <c r="BF51" s="19">
        <f t="shared" si="40"/>
        <v>0</v>
      </c>
      <c r="BG51" s="19">
        <f t="shared" si="41"/>
        <v>1757</v>
      </c>
      <c r="BH51" s="19">
        <f t="shared" si="42"/>
        <v>0</v>
      </c>
      <c r="BI51" s="73"/>
      <c r="BJ51" s="19">
        <v>1746349</v>
      </c>
      <c r="BK51" s="12"/>
      <c r="BL51" s="19">
        <f t="shared" si="43"/>
        <v>1746349</v>
      </c>
      <c r="BM51" s="20"/>
      <c r="BN51" s="19">
        <f t="shared" si="44"/>
        <v>1746349</v>
      </c>
      <c r="BO51" s="12">
        <f t="shared" si="105"/>
        <v>-4170</v>
      </c>
      <c r="BP51" s="19">
        <f t="shared" si="106"/>
        <v>-1757</v>
      </c>
      <c r="BQ51" s="19">
        <f t="shared" si="107"/>
        <v>0</v>
      </c>
      <c r="BR51" s="19">
        <f t="shared" si="108"/>
        <v>-1757</v>
      </c>
      <c r="BS51" s="19">
        <f t="shared" si="109"/>
        <v>0</v>
      </c>
      <c r="BT51" s="73"/>
      <c r="BU51" s="80"/>
      <c r="BV51" s="78">
        <f t="shared" si="45"/>
        <v>1746349</v>
      </c>
      <c r="BW51" s="78"/>
      <c r="BX51" s="78">
        <f t="shared" si="46"/>
        <v>1746349</v>
      </c>
      <c r="BY51" s="78"/>
      <c r="BZ51" s="93">
        <v>1746349</v>
      </c>
      <c r="CA51" s="93">
        <v>1746349</v>
      </c>
      <c r="CB51" s="88">
        <f>CA51-BZ51</f>
        <v>0</v>
      </c>
      <c r="CC51" s="80"/>
      <c r="CD51" s="65">
        <v>1746349</v>
      </c>
      <c r="CE51" s="93">
        <f t="shared" si="48"/>
        <v>0</v>
      </c>
      <c r="CF51" s="93">
        <f t="shared" si="49"/>
        <v>0</v>
      </c>
      <c r="CG51" s="80"/>
      <c r="CH51" s="65">
        <v>1746349</v>
      </c>
      <c r="CI51" s="93">
        <f t="shared" si="50"/>
        <v>0</v>
      </c>
      <c r="CJ51" s="93">
        <f t="shared" si="51"/>
        <v>0</v>
      </c>
      <c r="CK51" s="93">
        <f t="shared" si="52"/>
        <v>0</v>
      </c>
      <c r="CL51" s="80"/>
      <c r="CM51" s="65">
        <v>1746349</v>
      </c>
      <c r="CN51" s="93">
        <f t="shared" si="82"/>
        <v>0</v>
      </c>
      <c r="CO51" s="93">
        <f t="shared" si="53"/>
        <v>0</v>
      </c>
      <c r="CP51" s="93">
        <f t="shared" si="54"/>
        <v>0</v>
      </c>
      <c r="CQ51" s="80"/>
      <c r="CR51" s="65">
        <v>1746349</v>
      </c>
      <c r="CS51" s="93">
        <f t="shared" si="55"/>
        <v>0</v>
      </c>
      <c r="CT51" s="93">
        <f t="shared" si="56"/>
        <v>0</v>
      </c>
      <c r="CU51" s="93">
        <f t="shared" si="57"/>
        <v>0</v>
      </c>
      <c r="CV51" s="93">
        <f t="shared" si="58"/>
        <v>0</v>
      </c>
      <c r="CW51" s="80"/>
      <c r="CX51" s="65">
        <v>1746349</v>
      </c>
      <c r="CY51" s="93">
        <f t="shared" si="99"/>
        <v>0</v>
      </c>
      <c r="CZ51" s="93">
        <f t="shared" si="110"/>
        <v>0</v>
      </c>
      <c r="DA51" s="93">
        <f t="shared" si="111"/>
        <v>0</v>
      </c>
      <c r="DB51" s="93">
        <f t="shared" si="112"/>
        <v>0</v>
      </c>
      <c r="DC51" s="80"/>
      <c r="DD51" s="65">
        <v>1746349</v>
      </c>
      <c r="DE51" s="93">
        <f t="shared" si="113"/>
        <v>0</v>
      </c>
      <c r="DF51" s="93">
        <f t="shared" si="114"/>
        <v>0</v>
      </c>
      <c r="DG51" s="93">
        <f t="shared" si="59"/>
        <v>0</v>
      </c>
      <c r="DH51" s="80"/>
      <c r="DI51" s="65">
        <v>1746349</v>
      </c>
      <c r="DJ51" s="80"/>
      <c r="DK51" s="96"/>
      <c r="DL51" s="93">
        <f t="shared" si="115"/>
        <v>1746349</v>
      </c>
      <c r="DM51" s="127">
        <f t="shared" si="15"/>
        <v>0</v>
      </c>
      <c r="DN51" s="148">
        <v>1767453</v>
      </c>
      <c r="DO51" s="22">
        <f t="shared" si="60"/>
        <v>21104</v>
      </c>
      <c r="DP51" s="80"/>
      <c r="DQ51" s="145">
        <v>1867453</v>
      </c>
      <c r="DR51" s="145"/>
      <c r="DS51" s="148">
        <f t="shared" si="92"/>
        <v>1867453</v>
      </c>
      <c r="DT51" s="24">
        <f t="shared" si="61"/>
        <v>121104</v>
      </c>
      <c r="DU51" s="22">
        <f t="shared" si="62"/>
        <v>100000</v>
      </c>
      <c r="DV51" s="22">
        <f t="shared" si="63"/>
        <v>121104</v>
      </c>
      <c r="DW51" s="22">
        <f t="shared" si="64"/>
        <v>100000</v>
      </c>
      <c r="DX51" s="80" t="s">
        <v>428</v>
      </c>
      <c r="DY51" s="80" t="s">
        <v>428</v>
      </c>
      <c r="DZ51" s="148">
        <v>1867453</v>
      </c>
      <c r="EA51" s="24" t="e">
        <f t="shared" si="93"/>
        <v>#VALUE!</v>
      </c>
      <c r="EB51" s="22" t="e">
        <f t="shared" si="94"/>
        <v>#VALUE!</v>
      </c>
      <c r="EC51" s="22">
        <f t="shared" si="67"/>
        <v>121104</v>
      </c>
      <c r="ED51" s="22">
        <f t="shared" si="116"/>
        <v>100000</v>
      </c>
      <c r="EE51" s="22">
        <f t="shared" si="117"/>
        <v>0</v>
      </c>
      <c r="EF51" s="164"/>
      <c r="EG51" s="172"/>
      <c r="EH51" s="148">
        <f t="shared" si="70"/>
        <v>1867453</v>
      </c>
      <c r="EI51" s="24">
        <f t="shared" si="95"/>
        <v>-1867453</v>
      </c>
      <c r="EJ51" s="22" t="e">
        <f t="shared" si="96"/>
        <v>#VALUE!</v>
      </c>
      <c r="EK51" s="22">
        <f t="shared" si="73"/>
        <v>121104</v>
      </c>
      <c r="EL51" s="22">
        <f t="shared" si="74"/>
        <v>100000</v>
      </c>
      <c r="EM51" s="22">
        <f t="shared" si="75"/>
        <v>0</v>
      </c>
      <c r="EN51" s="22">
        <f t="shared" si="76"/>
        <v>0</v>
      </c>
      <c r="EO51" s="164"/>
      <c r="EP51" s="145">
        <v>1867453</v>
      </c>
      <c r="EQ51" s="148">
        <v>1867453</v>
      </c>
      <c r="ER51" s="148"/>
      <c r="ES51" s="148">
        <f t="shared" si="77"/>
        <v>1867453</v>
      </c>
      <c r="ET51" s="22">
        <f t="shared" si="78"/>
        <v>100000</v>
      </c>
      <c r="EU51" s="22">
        <f t="shared" si="79"/>
        <v>121104</v>
      </c>
      <c r="EV51" s="159"/>
      <c r="EW51" s="201"/>
      <c r="EX51" s="148">
        <v>2300000</v>
      </c>
      <c r="EY51" s="5">
        <f t="shared" si="80"/>
        <v>432547</v>
      </c>
      <c r="EZ51" s="80" t="s">
        <v>688</v>
      </c>
      <c r="FA51" s="145">
        <v>2300000</v>
      </c>
      <c r="FB51" s="5">
        <f t="shared" si="103"/>
        <v>432547</v>
      </c>
      <c r="FC51" s="5">
        <f t="shared" si="1"/>
        <v>0</v>
      </c>
      <c r="FD51" s="80" t="s">
        <v>688</v>
      </c>
    </row>
    <row r="52" spans="1:160" ht="12.75" hidden="1" customHeight="1" x14ac:dyDescent="0.2">
      <c r="A52" s="8" t="s">
        <v>23</v>
      </c>
      <c r="B52" s="9"/>
      <c r="C52" s="27" t="s">
        <v>63</v>
      </c>
      <c r="D52" s="20">
        <v>0</v>
      </c>
      <c r="E52" s="20"/>
      <c r="F52" s="5">
        <f t="shared" si="17"/>
        <v>0</v>
      </c>
      <c r="G52" s="22"/>
      <c r="H52" s="5">
        <f t="shared" si="18"/>
        <v>0</v>
      </c>
      <c r="I52" s="5">
        <f t="shared" si="118"/>
        <v>0</v>
      </c>
      <c r="J52" s="31"/>
      <c r="K52" s="19"/>
      <c r="L52" s="11">
        <f t="shared" si="19"/>
        <v>0</v>
      </c>
      <c r="M52" s="11">
        <f t="shared" si="119"/>
        <v>0</v>
      </c>
      <c r="N52" s="11">
        <f t="shared" si="20"/>
        <v>0</v>
      </c>
      <c r="O52" s="19"/>
      <c r="P52" s="11">
        <f t="shared" si="21"/>
        <v>0</v>
      </c>
      <c r="Q52" s="11">
        <f t="shared" si="120"/>
        <v>0</v>
      </c>
      <c r="R52" s="11">
        <f t="shared" si="22"/>
        <v>0</v>
      </c>
      <c r="S52" s="19"/>
      <c r="T52" s="11">
        <f t="shared" si="23"/>
        <v>0</v>
      </c>
      <c r="U52" s="11">
        <f t="shared" si="121"/>
        <v>0</v>
      </c>
      <c r="V52" s="11">
        <f t="shared" si="81"/>
        <v>0</v>
      </c>
      <c r="W52" s="11">
        <f t="shared" si="24"/>
        <v>0</v>
      </c>
      <c r="X52" s="19"/>
      <c r="Y52" s="11">
        <f t="shared" si="122"/>
        <v>0</v>
      </c>
      <c r="Z52" s="11">
        <f t="shared" si="123"/>
        <v>0</v>
      </c>
      <c r="AA52" s="11">
        <f t="shared" si="25"/>
        <v>0</v>
      </c>
      <c r="AB52" s="11">
        <f t="shared" si="26"/>
        <v>0</v>
      </c>
      <c r="AC52" s="19"/>
      <c r="AD52" s="11">
        <f t="shared" si="124"/>
        <v>0</v>
      </c>
      <c r="AE52" s="11">
        <f t="shared" si="27"/>
        <v>0</v>
      </c>
      <c r="AF52" s="11">
        <f t="shared" si="127"/>
        <v>0</v>
      </c>
      <c r="AG52" s="19"/>
      <c r="AH52" s="11">
        <f t="shared" si="125"/>
        <v>0</v>
      </c>
      <c r="AI52" s="11"/>
      <c r="AJ52" s="11">
        <f t="shared" si="28"/>
        <v>0</v>
      </c>
      <c r="AK52" s="11"/>
      <c r="AL52" s="11"/>
      <c r="AM52" s="11">
        <f t="shared" si="29"/>
        <v>0</v>
      </c>
      <c r="AN52" s="19"/>
      <c r="AO52" s="11">
        <f t="shared" si="30"/>
        <v>0</v>
      </c>
      <c r="AP52" s="11"/>
      <c r="AQ52" s="19"/>
      <c r="AR52" s="19">
        <f t="shared" si="31"/>
        <v>0</v>
      </c>
      <c r="AS52" s="19">
        <f t="shared" si="32"/>
        <v>0</v>
      </c>
      <c r="AT52" s="19"/>
      <c r="AU52" s="19">
        <f t="shared" si="33"/>
        <v>0</v>
      </c>
      <c r="AV52" s="19">
        <f t="shared" si="34"/>
        <v>0</v>
      </c>
      <c r="AW52" s="19">
        <f t="shared" si="35"/>
        <v>0</v>
      </c>
      <c r="AX52" s="19"/>
      <c r="AY52" s="19"/>
      <c r="AZ52" s="19">
        <f t="shared" si="36"/>
        <v>0</v>
      </c>
      <c r="BA52" s="19">
        <f t="shared" si="37"/>
        <v>0</v>
      </c>
      <c r="BB52" s="19">
        <f t="shared" si="38"/>
        <v>0</v>
      </c>
      <c r="BC52" s="66"/>
      <c r="BD52" s="19"/>
      <c r="BE52" s="19">
        <f t="shared" si="39"/>
        <v>0</v>
      </c>
      <c r="BF52" s="19">
        <f t="shared" si="40"/>
        <v>0</v>
      </c>
      <c r="BG52" s="19">
        <f t="shared" si="41"/>
        <v>0</v>
      </c>
      <c r="BH52" s="19">
        <f t="shared" si="42"/>
        <v>0</v>
      </c>
      <c r="BI52" s="73"/>
      <c r="BJ52" s="19"/>
      <c r="BK52" s="12"/>
      <c r="BL52" s="19">
        <f t="shared" si="43"/>
        <v>0</v>
      </c>
      <c r="BM52" s="20"/>
      <c r="BN52" s="19">
        <f t="shared" si="44"/>
        <v>0</v>
      </c>
      <c r="BO52" s="12">
        <f t="shared" si="105"/>
        <v>0</v>
      </c>
      <c r="BP52" s="19">
        <f t="shared" si="106"/>
        <v>0</v>
      </c>
      <c r="BQ52" s="19">
        <f t="shared" si="107"/>
        <v>0</v>
      </c>
      <c r="BR52" s="19">
        <f t="shared" si="108"/>
        <v>0</v>
      </c>
      <c r="BS52" s="19">
        <f t="shared" si="109"/>
        <v>0</v>
      </c>
      <c r="BT52" s="73"/>
      <c r="BU52" s="80"/>
      <c r="BV52" s="78">
        <f t="shared" si="45"/>
        <v>0</v>
      </c>
      <c r="BW52" s="78"/>
      <c r="BX52" s="78">
        <f t="shared" si="46"/>
        <v>0</v>
      </c>
      <c r="BY52" s="78"/>
      <c r="BZ52" s="93">
        <v>0</v>
      </c>
      <c r="CA52" s="93"/>
      <c r="CB52" s="88"/>
      <c r="CC52" s="80"/>
      <c r="CD52" s="65"/>
      <c r="CE52" s="93">
        <f t="shared" si="48"/>
        <v>0</v>
      </c>
      <c r="CF52" s="93">
        <f t="shared" si="49"/>
        <v>0</v>
      </c>
      <c r="CG52" s="80"/>
      <c r="CH52" s="65"/>
      <c r="CI52" s="93">
        <f t="shared" si="50"/>
        <v>0</v>
      </c>
      <c r="CJ52" s="93">
        <f t="shared" si="51"/>
        <v>0</v>
      </c>
      <c r="CK52" s="93">
        <f t="shared" si="52"/>
        <v>0</v>
      </c>
      <c r="CL52" s="80"/>
      <c r="CM52" s="65"/>
      <c r="CN52" s="93">
        <f t="shared" si="82"/>
        <v>0</v>
      </c>
      <c r="CO52" s="93">
        <f t="shared" si="53"/>
        <v>0</v>
      </c>
      <c r="CP52" s="93">
        <f t="shared" si="54"/>
        <v>0</v>
      </c>
      <c r="CQ52" s="80"/>
      <c r="CR52" s="65"/>
      <c r="CS52" s="93">
        <f t="shared" si="55"/>
        <v>0</v>
      </c>
      <c r="CT52" s="93">
        <f t="shared" si="56"/>
        <v>0</v>
      </c>
      <c r="CU52" s="93">
        <f t="shared" si="57"/>
        <v>0</v>
      </c>
      <c r="CV52" s="93">
        <f t="shared" si="58"/>
        <v>0</v>
      </c>
      <c r="CW52" s="80"/>
      <c r="CX52" s="65"/>
      <c r="CY52" s="93">
        <f t="shared" si="99"/>
        <v>0</v>
      </c>
      <c r="CZ52" s="93">
        <f t="shared" si="110"/>
        <v>0</v>
      </c>
      <c r="DA52" s="93">
        <f t="shared" si="111"/>
        <v>0</v>
      </c>
      <c r="DB52" s="93">
        <f t="shared" si="112"/>
        <v>0</v>
      </c>
      <c r="DC52" s="80"/>
      <c r="DD52" s="65"/>
      <c r="DE52" s="93">
        <f t="shared" si="113"/>
        <v>0</v>
      </c>
      <c r="DF52" s="93">
        <f t="shared" si="114"/>
        <v>0</v>
      </c>
      <c r="DG52" s="93">
        <f t="shared" si="59"/>
        <v>0</v>
      </c>
      <c r="DH52" s="80"/>
      <c r="DI52" s="65"/>
      <c r="DJ52" s="80"/>
      <c r="DK52" s="96"/>
      <c r="DL52" s="93">
        <f t="shared" si="115"/>
        <v>0</v>
      </c>
      <c r="DM52" s="127">
        <f t="shared" si="15"/>
        <v>0</v>
      </c>
      <c r="DN52" s="148"/>
      <c r="DO52" s="22">
        <f t="shared" si="60"/>
        <v>0</v>
      </c>
      <c r="DP52" s="80"/>
      <c r="DQ52" s="145"/>
      <c r="DR52" s="145"/>
      <c r="DS52" s="148">
        <f t="shared" si="92"/>
        <v>0</v>
      </c>
      <c r="DT52" s="24">
        <f t="shared" si="61"/>
        <v>0</v>
      </c>
      <c r="DU52" s="22">
        <f t="shared" si="62"/>
        <v>0</v>
      </c>
      <c r="DV52" s="22">
        <f t="shared" si="63"/>
        <v>0</v>
      </c>
      <c r="DW52" s="22">
        <f t="shared" si="64"/>
        <v>0</v>
      </c>
      <c r="DX52" s="80"/>
      <c r="DY52" s="80"/>
      <c r="DZ52" s="148"/>
      <c r="EA52" s="24">
        <f t="shared" si="93"/>
        <v>0</v>
      </c>
      <c r="EB52" s="22">
        <f t="shared" si="94"/>
        <v>0</v>
      </c>
      <c r="EC52" s="22">
        <f t="shared" si="67"/>
        <v>0</v>
      </c>
      <c r="ED52" s="22">
        <f t="shared" si="116"/>
        <v>0</v>
      </c>
      <c r="EE52" s="22">
        <f t="shared" si="117"/>
        <v>0</v>
      </c>
      <c r="EF52" s="164"/>
      <c r="EG52" s="172"/>
      <c r="EH52" s="148">
        <f t="shared" si="70"/>
        <v>0</v>
      </c>
      <c r="EI52" s="24">
        <f t="shared" si="95"/>
        <v>0</v>
      </c>
      <c r="EJ52" s="22">
        <f t="shared" si="96"/>
        <v>0</v>
      </c>
      <c r="EK52" s="22">
        <f t="shared" si="73"/>
        <v>0</v>
      </c>
      <c r="EL52" s="22">
        <f t="shared" si="74"/>
        <v>0</v>
      </c>
      <c r="EM52" s="22">
        <f t="shared" si="75"/>
        <v>0</v>
      </c>
      <c r="EN52" s="22">
        <f t="shared" si="76"/>
        <v>0</v>
      </c>
      <c r="EO52" s="164"/>
      <c r="EP52" s="145"/>
      <c r="EQ52" s="148"/>
      <c r="ER52" s="148"/>
      <c r="ES52" s="148">
        <f t="shared" si="77"/>
        <v>0</v>
      </c>
      <c r="ET52" s="22">
        <f t="shared" si="78"/>
        <v>0</v>
      </c>
      <c r="EU52" s="22">
        <f t="shared" si="79"/>
        <v>0</v>
      </c>
      <c r="EV52" s="159"/>
      <c r="EW52" s="201"/>
      <c r="EX52" s="148">
        <v>0</v>
      </c>
      <c r="EY52" s="5">
        <f t="shared" si="80"/>
        <v>0</v>
      </c>
      <c r="EZ52" s="80"/>
      <c r="FA52" s="145"/>
      <c r="FB52" s="5">
        <f t="shared" si="103"/>
        <v>0</v>
      </c>
      <c r="FC52" s="5">
        <f t="shared" si="1"/>
        <v>0</v>
      </c>
      <c r="FD52" s="80"/>
    </row>
    <row r="53" spans="1:160" ht="12.75" customHeight="1" x14ac:dyDescent="0.2">
      <c r="A53" s="21" t="s">
        <v>392</v>
      </c>
      <c r="B53" s="9"/>
      <c r="C53" s="26" t="s">
        <v>393</v>
      </c>
      <c r="D53" s="104"/>
      <c r="E53" s="104"/>
      <c r="F53" s="5">
        <f t="shared" si="17"/>
        <v>0</v>
      </c>
      <c r="G53" s="22"/>
      <c r="H53" s="5">
        <f t="shared" si="18"/>
        <v>0</v>
      </c>
      <c r="I53" s="5"/>
      <c r="J53" s="31"/>
      <c r="K53" s="102"/>
      <c r="L53" s="11">
        <f t="shared" si="19"/>
        <v>0</v>
      </c>
      <c r="M53" s="11"/>
      <c r="N53" s="11"/>
      <c r="O53" s="102"/>
      <c r="P53" s="11">
        <f t="shared" si="21"/>
        <v>0</v>
      </c>
      <c r="Q53" s="11"/>
      <c r="R53" s="11"/>
      <c r="S53" s="102"/>
      <c r="T53" s="11">
        <f t="shared" si="23"/>
        <v>0</v>
      </c>
      <c r="U53" s="11"/>
      <c r="V53" s="11"/>
      <c r="W53" s="11"/>
      <c r="X53" s="102"/>
      <c r="Y53" s="11"/>
      <c r="Z53" s="11"/>
      <c r="AA53" s="11"/>
      <c r="AB53" s="11"/>
      <c r="AC53" s="102"/>
      <c r="AD53" s="11"/>
      <c r="AE53" s="11"/>
      <c r="AF53" s="11"/>
      <c r="AG53" s="102"/>
      <c r="AH53" s="11"/>
      <c r="AI53" s="11"/>
      <c r="AJ53" s="11"/>
      <c r="AK53" s="11"/>
      <c r="AL53" s="11"/>
      <c r="AM53" s="11"/>
      <c r="AN53" s="102"/>
      <c r="AO53" s="11"/>
      <c r="AP53" s="11"/>
      <c r="AQ53" s="102"/>
      <c r="AR53" s="102"/>
      <c r="AS53" s="102"/>
      <c r="AT53" s="102"/>
      <c r="AU53" s="102"/>
      <c r="AV53" s="102"/>
      <c r="AW53" s="102"/>
      <c r="AX53" s="102"/>
      <c r="AY53" s="102"/>
      <c r="AZ53" s="102"/>
      <c r="BA53" s="102"/>
      <c r="BB53" s="102"/>
      <c r="BC53" s="66"/>
      <c r="BD53" s="102"/>
      <c r="BE53" s="102"/>
      <c r="BF53" s="102"/>
      <c r="BG53" s="102"/>
      <c r="BH53" s="102"/>
      <c r="BI53" s="80"/>
      <c r="BJ53" s="102"/>
      <c r="BK53" s="103"/>
      <c r="BL53" s="102"/>
      <c r="BM53" s="104"/>
      <c r="BN53" s="102"/>
      <c r="BO53" s="103"/>
      <c r="BP53" s="102"/>
      <c r="BQ53" s="102"/>
      <c r="BR53" s="102"/>
      <c r="BS53" s="102"/>
      <c r="BT53" s="80"/>
      <c r="BU53" s="80"/>
      <c r="BV53" s="78"/>
      <c r="BW53" s="78"/>
      <c r="BX53" s="78"/>
      <c r="BY53" s="78"/>
      <c r="BZ53" s="93"/>
      <c r="CA53" s="93"/>
      <c r="CB53" s="88"/>
      <c r="CC53" s="80"/>
      <c r="CD53" s="65"/>
      <c r="CE53" s="93"/>
      <c r="CF53" s="93"/>
      <c r="CG53" s="80"/>
      <c r="CH53" s="65"/>
      <c r="CI53" s="93"/>
      <c r="CJ53" s="93"/>
      <c r="CK53" s="93"/>
      <c r="CL53" s="80"/>
      <c r="CM53" s="65"/>
      <c r="CN53" s="93"/>
      <c r="CO53" s="93"/>
      <c r="CP53" s="93"/>
      <c r="CQ53" s="80"/>
      <c r="CR53" s="65"/>
      <c r="CS53" s="93"/>
      <c r="CT53" s="93"/>
      <c r="CU53" s="93"/>
      <c r="CV53" s="93"/>
      <c r="CW53" s="80"/>
      <c r="CX53" s="65"/>
      <c r="CY53" s="93"/>
      <c r="CZ53" s="93"/>
      <c r="DA53" s="93"/>
      <c r="DB53" s="93"/>
      <c r="DC53" s="80"/>
      <c r="DD53" s="65"/>
      <c r="DE53" s="93"/>
      <c r="DF53" s="93"/>
      <c r="DG53" s="93"/>
      <c r="DH53" s="80"/>
      <c r="DI53" s="65"/>
      <c r="DJ53" s="128"/>
      <c r="DK53" s="130"/>
      <c r="DL53" s="93"/>
      <c r="DM53" s="127"/>
      <c r="DN53" s="148">
        <v>2475000</v>
      </c>
      <c r="DO53" s="22">
        <f t="shared" si="60"/>
        <v>2475000</v>
      </c>
      <c r="DP53" s="80" t="s">
        <v>405</v>
      </c>
      <c r="DQ53" s="145">
        <v>2475000</v>
      </c>
      <c r="DR53" s="145"/>
      <c r="DS53" s="148">
        <f t="shared" si="92"/>
        <v>2475000</v>
      </c>
      <c r="DT53" s="24">
        <f t="shared" si="61"/>
        <v>2475000</v>
      </c>
      <c r="DU53" s="22">
        <f t="shared" si="62"/>
        <v>0</v>
      </c>
      <c r="DV53" s="22">
        <f t="shared" si="63"/>
        <v>2475000</v>
      </c>
      <c r="DW53" s="22">
        <f t="shared" si="64"/>
        <v>0</v>
      </c>
      <c r="DX53" s="80" t="s">
        <v>405</v>
      </c>
      <c r="DY53" s="80" t="s">
        <v>405</v>
      </c>
      <c r="DZ53" s="148">
        <v>3100000</v>
      </c>
      <c r="EA53" s="24" t="e">
        <f t="shared" si="93"/>
        <v>#VALUE!</v>
      </c>
      <c r="EB53" s="22" t="e">
        <f t="shared" si="94"/>
        <v>#VALUE!</v>
      </c>
      <c r="EC53" s="22">
        <f t="shared" si="67"/>
        <v>3100000</v>
      </c>
      <c r="ED53" s="22">
        <f t="shared" si="116"/>
        <v>625000</v>
      </c>
      <c r="EE53" s="22">
        <f t="shared" si="117"/>
        <v>625000</v>
      </c>
      <c r="EF53" s="159" t="s">
        <v>521</v>
      </c>
      <c r="EG53" s="65"/>
      <c r="EH53" s="148">
        <f t="shared" si="70"/>
        <v>3100000</v>
      </c>
      <c r="EI53" s="24">
        <f t="shared" si="95"/>
        <v>-2475000</v>
      </c>
      <c r="EJ53" s="22" t="e">
        <f t="shared" si="96"/>
        <v>#VALUE!</v>
      </c>
      <c r="EK53" s="22">
        <f t="shared" si="73"/>
        <v>3100000</v>
      </c>
      <c r="EL53" s="22">
        <f t="shared" si="74"/>
        <v>625000</v>
      </c>
      <c r="EM53" s="22">
        <f t="shared" si="75"/>
        <v>625000</v>
      </c>
      <c r="EN53" s="22">
        <f t="shared" si="76"/>
        <v>0</v>
      </c>
      <c r="EO53" s="159"/>
      <c r="EP53" s="145">
        <v>3100000</v>
      </c>
      <c r="EQ53" s="148">
        <v>3100000</v>
      </c>
      <c r="ER53" s="148"/>
      <c r="ES53" s="148">
        <f t="shared" si="77"/>
        <v>3100000</v>
      </c>
      <c r="ET53" s="22">
        <f t="shared" si="78"/>
        <v>625000</v>
      </c>
      <c r="EU53" s="22">
        <f t="shared" si="79"/>
        <v>3100000</v>
      </c>
      <c r="EV53" s="159"/>
      <c r="EW53" s="201"/>
      <c r="EX53" s="148">
        <v>2500000</v>
      </c>
      <c r="EY53" s="5">
        <f t="shared" si="80"/>
        <v>-600000</v>
      </c>
      <c r="EZ53" s="80"/>
      <c r="FA53" s="145">
        <v>2600000</v>
      </c>
      <c r="FB53" s="5">
        <f t="shared" si="103"/>
        <v>-500000</v>
      </c>
      <c r="FC53" s="5">
        <f t="shared" si="1"/>
        <v>100000</v>
      </c>
      <c r="FD53" s="80" t="s">
        <v>750</v>
      </c>
    </row>
    <row r="54" spans="1:160" ht="51" x14ac:dyDescent="0.2">
      <c r="A54" s="8" t="s">
        <v>36</v>
      </c>
      <c r="B54" s="9"/>
      <c r="C54" s="27" t="s">
        <v>37</v>
      </c>
      <c r="D54" s="20">
        <v>1680109</v>
      </c>
      <c r="E54" s="20">
        <v>1675109</v>
      </c>
      <c r="F54" s="5">
        <f t="shared" si="17"/>
        <v>-5000</v>
      </c>
      <c r="G54" s="22">
        <v>1475106</v>
      </c>
      <c r="H54" s="5">
        <f t="shared" si="18"/>
        <v>-205003</v>
      </c>
      <c r="I54" s="5">
        <f t="shared" si="118"/>
        <v>-200003</v>
      </c>
      <c r="J54" s="29" t="s">
        <v>118</v>
      </c>
      <c r="K54" s="19">
        <v>2110000</v>
      </c>
      <c r="L54" s="11">
        <f t="shared" si="19"/>
        <v>429891</v>
      </c>
      <c r="M54" s="11">
        <f t="shared" si="119"/>
        <v>434891</v>
      </c>
      <c r="N54" s="11">
        <f t="shared" si="20"/>
        <v>634894</v>
      </c>
      <c r="O54" s="19">
        <v>1780109</v>
      </c>
      <c r="P54" s="11">
        <f t="shared" si="21"/>
        <v>100000</v>
      </c>
      <c r="Q54" s="11">
        <f t="shared" si="120"/>
        <v>105000</v>
      </c>
      <c r="R54" s="11">
        <f t="shared" si="22"/>
        <v>-329891</v>
      </c>
      <c r="S54" s="19">
        <f>1780109+15000+10000+60000+25000</f>
        <v>1890109</v>
      </c>
      <c r="T54" s="11">
        <f t="shared" si="23"/>
        <v>210000</v>
      </c>
      <c r="U54" s="11">
        <f t="shared" si="121"/>
        <v>215000</v>
      </c>
      <c r="V54" s="11">
        <f t="shared" si="81"/>
        <v>-219891</v>
      </c>
      <c r="W54" s="11">
        <f t="shared" si="24"/>
        <v>110000</v>
      </c>
      <c r="X54" s="19">
        <v>2310000</v>
      </c>
      <c r="Y54" s="11">
        <f t="shared" si="122"/>
        <v>629891</v>
      </c>
      <c r="Z54" s="11">
        <f t="shared" si="123"/>
        <v>634891</v>
      </c>
      <c r="AA54" s="11">
        <f t="shared" si="25"/>
        <v>200000</v>
      </c>
      <c r="AB54" s="11">
        <f t="shared" si="26"/>
        <v>419891</v>
      </c>
      <c r="AC54" s="19">
        <f>2310000-170000</f>
        <v>2140000</v>
      </c>
      <c r="AD54" s="11">
        <f t="shared" si="124"/>
        <v>459891</v>
      </c>
      <c r="AE54" s="11">
        <f t="shared" si="27"/>
        <v>-170000</v>
      </c>
      <c r="AF54" s="11">
        <f t="shared" si="127"/>
        <v>170000</v>
      </c>
      <c r="AG54" s="19">
        <f>2310000</f>
        <v>2310000</v>
      </c>
      <c r="AH54" s="11">
        <f t="shared" si="125"/>
        <v>629891</v>
      </c>
      <c r="AI54" s="11"/>
      <c r="AJ54" s="11">
        <f t="shared" si="28"/>
        <v>2310000</v>
      </c>
      <c r="AK54" s="11"/>
      <c r="AL54" s="11"/>
      <c r="AM54" s="11">
        <f t="shared" si="29"/>
        <v>2310000</v>
      </c>
      <c r="AN54" s="19">
        <v>2000000</v>
      </c>
      <c r="AO54" s="11">
        <f t="shared" si="30"/>
        <v>-310000</v>
      </c>
      <c r="AP54" s="19" t="s">
        <v>157</v>
      </c>
      <c r="AQ54" s="19">
        <v>1500000</v>
      </c>
      <c r="AR54" s="19">
        <f t="shared" si="31"/>
        <v>-810000</v>
      </c>
      <c r="AS54" s="19">
        <f t="shared" si="32"/>
        <v>-500000</v>
      </c>
      <c r="AT54" s="19">
        <v>2295000</v>
      </c>
      <c r="AU54" s="19">
        <f t="shared" si="33"/>
        <v>-15000</v>
      </c>
      <c r="AV54" s="19">
        <f t="shared" si="34"/>
        <v>295000</v>
      </c>
      <c r="AW54" s="19">
        <f t="shared" si="35"/>
        <v>795000</v>
      </c>
      <c r="AX54" s="19" t="s">
        <v>170</v>
      </c>
      <c r="AY54" s="19">
        <v>2100000</v>
      </c>
      <c r="AZ54" s="19">
        <f t="shared" si="36"/>
        <v>-210000</v>
      </c>
      <c r="BA54" s="19">
        <f t="shared" si="37"/>
        <v>100000</v>
      </c>
      <c r="BB54" s="19">
        <f t="shared" si="38"/>
        <v>-195000</v>
      </c>
      <c r="BC54" s="67" t="s">
        <v>194</v>
      </c>
      <c r="BD54" s="19">
        <v>2710000</v>
      </c>
      <c r="BE54" s="19">
        <f t="shared" si="39"/>
        <v>400000</v>
      </c>
      <c r="BF54" s="19">
        <f t="shared" si="40"/>
        <v>710000</v>
      </c>
      <c r="BG54" s="19">
        <f t="shared" si="41"/>
        <v>415000</v>
      </c>
      <c r="BH54" s="19">
        <f t="shared" si="42"/>
        <v>610000</v>
      </c>
      <c r="BI54" s="73" t="s">
        <v>204</v>
      </c>
      <c r="BJ54" s="19">
        <v>2955000</v>
      </c>
      <c r="BK54" s="12">
        <v>-935000</v>
      </c>
      <c r="BL54" s="19">
        <f t="shared" si="43"/>
        <v>2020000</v>
      </c>
      <c r="BM54" s="20">
        <v>935000</v>
      </c>
      <c r="BN54" s="19">
        <f t="shared" si="44"/>
        <v>2955000</v>
      </c>
      <c r="BO54" s="12">
        <f t="shared" si="105"/>
        <v>645000</v>
      </c>
      <c r="BP54" s="19">
        <f t="shared" si="106"/>
        <v>955000</v>
      </c>
      <c r="BQ54" s="19">
        <f t="shared" si="107"/>
        <v>660000</v>
      </c>
      <c r="BR54" s="19">
        <f t="shared" si="108"/>
        <v>245000</v>
      </c>
      <c r="BS54" s="19">
        <f t="shared" si="109"/>
        <v>0</v>
      </c>
      <c r="BT54" s="73" t="s">
        <v>218</v>
      </c>
      <c r="BU54" s="80"/>
      <c r="BV54" s="78">
        <f t="shared" si="45"/>
        <v>2955000</v>
      </c>
      <c r="BW54" s="78"/>
      <c r="BX54" s="78">
        <f t="shared" si="46"/>
        <v>2955000</v>
      </c>
      <c r="BY54" s="78">
        <v>-714999</v>
      </c>
      <c r="BZ54" s="93">
        <v>2240001</v>
      </c>
      <c r="CA54" s="93">
        <v>0</v>
      </c>
      <c r="CB54" s="88">
        <f t="shared" ref="CB54:CB65" si="128">CA54-BZ54</f>
        <v>-2240001</v>
      </c>
      <c r="CC54" s="80" t="s">
        <v>238</v>
      </c>
      <c r="CD54" s="65">
        <v>1499154</v>
      </c>
      <c r="CE54" s="93">
        <f t="shared" si="48"/>
        <v>-740847</v>
      </c>
      <c r="CF54" s="93">
        <f t="shared" si="49"/>
        <v>1499154</v>
      </c>
      <c r="CG54" s="80" t="s">
        <v>258</v>
      </c>
      <c r="CH54" s="65">
        <f>1499154+350000+1105846</f>
        <v>2955000</v>
      </c>
      <c r="CI54" s="93">
        <f>CH54-BZ54</f>
        <v>714999</v>
      </c>
      <c r="CJ54" s="93">
        <f t="shared" si="51"/>
        <v>2955000</v>
      </c>
      <c r="CK54" s="93">
        <f t="shared" si="52"/>
        <v>1455846</v>
      </c>
      <c r="CL54" s="80" t="s">
        <v>285</v>
      </c>
      <c r="CM54" s="65">
        <v>2425000</v>
      </c>
      <c r="CN54" s="93">
        <f>CM54-BZ54</f>
        <v>184999</v>
      </c>
      <c r="CO54" s="93">
        <f t="shared" si="53"/>
        <v>2425000</v>
      </c>
      <c r="CP54" s="93">
        <f t="shared" si="54"/>
        <v>-530000</v>
      </c>
      <c r="CQ54" s="80" t="s">
        <v>317</v>
      </c>
      <c r="CR54" s="65">
        <f>2425000+870000+450000</f>
        <v>3745000</v>
      </c>
      <c r="CS54" s="93">
        <f t="shared" si="55"/>
        <v>1504999</v>
      </c>
      <c r="CT54" s="93">
        <f t="shared" si="56"/>
        <v>3745000</v>
      </c>
      <c r="CU54" s="93">
        <f t="shared" si="57"/>
        <v>790000</v>
      </c>
      <c r="CV54" s="93">
        <f t="shared" si="58"/>
        <v>1320000</v>
      </c>
      <c r="CW54" s="80" t="s">
        <v>340</v>
      </c>
      <c r="CX54" s="65">
        <v>3525000</v>
      </c>
      <c r="CY54" s="93">
        <f t="shared" si="99"/>
        <v>1284999</v>
      </c>
      <c r="CZ54" s="93">
        <f t="shared" si="110"/>
        <v>3525000</v>
      </c>
      <c r="DA54" s="93">
        <f t="shared" si="111"/>
        <v>570000</v>
      </c>
      <c r="DB54" s="93">
        <f t="shared" si="112"/>
        <v>-220000</v>
      </c>
      <c r="DC54" s="80" t="s">
        <v>368</v>
      </c>
      <c r="DD54" s="65">
        <v>2199154</v>
      </c>
      <c r="DE54" s="93">
        <f t="shared" si="113"/>
        <v>-40847</v>
      </c>
      <c r="DF54" s="93">
        <f t="shared" si="114"/>
        <v>2199154</v>
      </c>
      <c r="DG54" s="93">
        <f t="shared" si="59"/>
        <v>-1325846</v>
      </c>
      <c r="DH54" s="80" t="s">
        <v>379</v>
      </c>
      <c r="DI54" s="65">
        <v>3525000</v>
      </c>
      <c r="DJ54" s="128" t="s">
        <v>368</v>
      </c>
      <c r="DK54" s="130"/>
      <c r="DL54" s="93">
        <f t="shared" ref="DL54:DL65" si="129">DI54</f>
        <v>3525000</v>
      </c>
      <c r="DM54" s="127">
        <f t="shared" ref="DM54:DM65" si="130">DL54-BZ54</f>
        <v>1284999</v>
      </c>
      <c r="DN54" s="148">
        <v>1977163</v>
      </c>
      <c r="DO54" s="22">
        <f t="shared" si="60"/>
        <v>-1547837</v>
      </c>
      <c r="DP54" s="80" t="s">
        <v>404</v>
      </c>
      <c r="DQ54" s="145">
        <v>2376923</v>
      </c>
      <c r="DR54" s="145">
        <v>645000</v>
      </c>
      <c r="DS54" s="148">
        <f t="shared" si="92"/>
        <v>3021923</v>
      </c>
      <c r="DT54" s="24">
        <f t="shared" si="61"/>
        <v>-1148077</v>
      </c>
      <c r="DU54" s="22">
        <f t="shared" si="62"/>
        <v>399760</v>
      </c>
      <c r="DV54" s="22">
        <f t="shared" si="63"/>
        <v>-503077</v>
      </c>
      <c r="DW54" s="22">
        <f t="shared" si="64"/>
        <v>1044760</v>
      </c>
      <c r="DX54" s="80" t="s">
        <v>433</v>
      </c>
      <c r="DY54" s="159" t="s">
        <v>501</v>
      </c>
      <c r="DZ54" s="148">
        <v>2858009</v>
      </c>
      <c r="EA54" s="24" t="e">
        <f t="shared" si="93"/>
        <v>#VALUE!</v>
      </c>
      <c r="EB54" s="22" t="e">
        <f t="shared" si="94"/>
        <v>#VALUE!</v>
      </c>
      <c r="EC54" s="22">
        <f t="shared" si="67"/>
        <v>-666991</v>
      </c>
      <c r="ED54" s="22">
        <f t="shared" si="116"/>
        <v>880846</v>
      </c>
      <c r="EE54" s="22">
        <f t="shared" si="117"/>
        <v>-163914</v>
      </c>
      <c r="EF54" s="159" t="s">
        <v>527</v>
      </c>
      <c r="EG54" s="65">
        <f>20000+50000+50000+25000+40000+500000+80000+15000+10000</f>
        <v>790000</v>
      </c>
      <c r="EH54" s="148">
        <f t="shared" si="70"/>
        <v>3648009</v>
      </c>
      <c r="EI54" s="24">
        <f t="shared" si="95"/>
        <v>-3021923</v>
      </c>
      <c r="EJ54" s="22" t="e">
        <f t="shared" si="96"/>
        <v>#VALUE!</v>
      </c>
      <c r="EK54" s="22">
        <f t="shared" si="73"/>
        <v>123009</v>
      </c>
      <c r="EL54" s="22">
        <f t="shared" si="74"/>
        <v>1670846</v>
      </c>
      <c r="EM54" s="22">
        <f t="shared" si="75"/>
        <v>626086</v>
      </c>
      <c r="EN54" s="22">
        <f t="shared" si="76"/>
        <v>790000</v>
      </c>
      <c r="EO54" s="159" t="s">
        <v>602</v>
      </c>
      <c r="EP54" s="145">
        <v>4286923</v>
      </c>
      <c r="EQ54" s="148">
        <v>4286923</v>
      </c>
      <c r="ER54" s="148"/>
      <c r="ES54" s="148">
        <f t="shared" si="77"/>
        <v>4286923</v>
      </c>
      <c r="ET54" s="22">
        <f t="shared" si="78"/>
        <v>2309760</v>
      </c>
      <c r="EU54" s="22">
        <f t="shared" si="79"/>
        <v>761923</v>
      </c>
      <c r="EV54" s="159" t="s">
        <v>634</v>
      </c>
      <c r="EW54" s="201" t="s">
        <v>634</v>
      </c>
      <c r="EX54" s="148">
        <v>2576923</v>
      </c>
      <c r="EY54" s="5">
        <f t="shared" si="80"/>
        <v>-1710000</v>
      </c>
      <c r="EZ54" s="80" t="s">
        <v>689</v>
      </c>
      <c r="FA54" s="145">
        <v>3576923</v>
      </c>
      <c r="FB54" s="5">
        <f t="shared" si="103"/>
        <v>-710000</v>
      </c>
      <c r="FC54" s="5">
        <f t="shared" si="1"/>
        <v>1000000</v>
      </c>
      <c r="FD54" s="80" t="s">
        <v>742</v>
      </c>
    </row>
    <row r="55" spans="1:160" ht="48" x14ac:dyDescent="0.2">
      <c r="A55" s="21" t="s">
        <v>80</v>
      </c>
      <c r="B55" s="9"/>
      <c r="C55" s="26" t="s">
        <v>87</v>
      </c>
      <c r="D55" s="20">
        <v>0</v>
      </c>
      <c r="E55" s="20">
        <v>0</v>
      </c>
      <c r="F55" s="5">
        <f t="shared" si="17"/>
        <v>0</v>
      </c>
      <c r="G55" s="22">
        <v>200000</v>
      </c>
      <c r="H55" s="5">
        <f t="shared" si="18"/>
        <v>200000</v>
      </c>
      <c r="I55" s="5">
        <f t="shared" si="118"/>
        <v>200000</v>
      </c>
      <c r="J55" s="31"/>
      <c r="K55" s="19">
        <v>300000</v>
      </c>
      <c r="L55" s="11">
        <f t="shared" si="19"/>
        <v>300000</v>
      </c>
      <c r="M55" s="11">
        <f t="shared" si="119"/>
        <v>300000</v>
      </c>
      <c r="N55" s="11">
        <f t="shared" si="20"/>
        <v>100000</v>
      </c>
      <c r="O55" s="19">
        <v>0</v>
      </c>
      <c r="P55" s="11">
        <f t="shared" si="21"/>
        <v>0</v>
      </c>
      <c r="Q55" s="11">
        <f t="shared" si="120"/>
        <v>0</v>
      </c>
      <c r="R55" s="11">
        <f t="shared" si="22"/>
        <v>-300000</v>
      </c>
      <c r="S55" s="19">
        <v>500000</v>
      </c>
      <c r="T55" s="11">
        <f t="shared" si="23"/>
        <v>500000</v>
      </c>
      <c r="U55" s="11">
        <f t="shared" si="121"/>
        <v>500000</v>
      </c>
      <c r="V55" s="11">
        <f t="shared" si="81"/>
        <v>200000</v>
      </c>
      <c r="W55" s="11">
        <f t="shared" si="24"/>
        <v>500000</v>
      </c>
      <c r="X55" s="19">
        <v>500000</v>
      </c>
      <c r="Y55" s="11">
        <f t="shared" si="122"/>
        <v>500000</v>
      </c>
      <c r="Z55" s="11">
        <f t="shared" si="123"/>
        <v>500000</v>
      </c>
      <c r="AA55" s="11">
        <f t="shared" si="25"/>
        <v>200000</v>
      </c>
      <c r="AB55" s="11">
        <f t="shared" si="26"/>
        <v>0</v>
      </c>
      <c r="AC55" s="19">
        <v>500000</v>
      </c>
      <c r="AD55" s="11">
        <f t="shared" si="124"/>
        <v>500000</v>
      </c>
      <c r="AE55" s="11">
        <f t="shared" si="27"/>
        <v>0</v>
      </c>
      <c r="AF55" s="11">
        <f t="shared" si="127"/>
        <v>0</v>
      </c>
      <c r="AG55" s="19">
        <v>500000</v>
      </c>
      <c r="AH55" s="11">
        <f t="shared" si="125"/>
        <v>500000</v>
      </c>
      <c r="AI55" s="11"/>
      <c r="AJ55" s="11">
        <f t="shared" si="28"/>
        <v>500000</v>
      </c>
      <c r="AK55" s="11"/>
      <c r="AL55" s="11"/>
      <c r="AM55" s="11">
        <f t="shared" si="29"/>
        <v>500000</v>
      </c>
      <c r="AN55" s="19">
        <v>500000</v>
      </c>
      <c r="AO55" s="11">
        <f t="shared" si="30"/>
        <v>0</v>
      </c>
      <c r="AP55" s="11"/>
      <c r="AQ55" s="19">
        <v>200000</v>
      </c>
      <c r="AR55" s="19">
        <f t="shared" si="31"/>
        <v>-300000</v>
      </c>
      <c r="AS55" s="19">
        <f t="shared" si="32"/>
        <v>-300000</v>
      </c>
      <c r="AT55" s="19">
        <v>400000</v>
      </c>
      <c r="AU55" s="19">
        <f t="shared" si="33"/>
        <v>-100000</v>
      </c>
      <c r="AV55" s="19">
        <f t="shared" si="34"/>
        <v>-100000</v>
      </c>
      <c r="AW55" s="19">
        <f t="shared" si="35"/>
        <v>200000</v>
      </c>
      <c r="AX55" s="19" t="s">
        <v>177</v>
      </c>
      <c r="AY55" s="19">
        <v>500000</v>
      </c>
      <c r="AZ55" s="19">
        <f t="shared" si="36"/>
        <v>0</v>
      </c>
      <c r="BA55" s="19">
        <f t="shared" si="37"/>
        <v>0</v>
      </c>
      <c r="BB55" s="19">
        <f t="shared" si="38"/>
        <v>100000</v>
      </c>
      <c r="BC55" s="66" t="s">
        <v>188</v>
      </c>
      <c r="BD55" s="19">
        <v>500000</v>
      </c>
      <c r="BE55" s="19">
        <f t="shared" si="39"/>
        <v>0</v>
      </c>
      <c r="BF55" s="19">
        <f t="shared" si="40"/>
        <v>0</v>
      </c>
      <c r="BG55" s="19">
        <f t="shared" si="41"/>
        <v>100000</v>
      </c>
      <c r="BH55" s="19">
        <f t="shared" si="42"/>
        <v>0</v>
      </c>
      <c r="BI55" s="67" t="s">
        <v>188</v>
      </c>
      <c r="BJ55" s="19">
        <v>400000</v>
      </c>
      <c r="BK55" s="12"/>
      <c r="BL55" s="19">
        <f t="shared" si="43"/>
        <v>400000</v>
      </c>
      <c r="BM55" s="20"/>
      <c r="BN55" s="19">
        <f t="shared" si="44"/>
        <v>400000</v>
      </c>
      <c r="BO55" s="12">
        <f t="shared" si="105"/>
        <v>-100000</v>
      </c>
      <c r="BP55" s="19">
        <f t="shared" si="106"/>
        <v>-100000</v>
      </c>
      <c r="BQ55" s="19">
        <f t="shared" si="107"/>
        <v>0</v>
      </c>
      <c r="BR55" s="19">
        <f t="shared" si="108"/>
        <v>-100000</v>
      </c>
      <c r="BS55" s="19">
        <f t="shared" si="109"/>
        <v>0</v>
      </c>
      <c r="BT55" s="67"/>
      <c r="BU55" s="67"/>
      <c r="BV55" s="78">
        <f t="shared" si="45"/>
        <v>400000</v>
      </c>
      <c r="BW55" s="78">
        <v>-1400</v>
      </c>
      <c r="BX55" s="78">
        <f t="shared" si="46"/>
        <v>398600</v>
      </c>
      <c r="BY55" s="78"/>
      <c r="BZ55" s="93">
        <v>398600</v>
      </c>
      <c r="CA55" s="93">
        <v>400000</v>
      </c>
      <c r="CB55" s="88">
        <f t="shared" si="128"/>
        <v>1400</v>
      </c>
      <c r="CC55" s="67" t="s">
        <v>246</v>
      </c>
      <c r="CD55" s="65">
        <v>200000</v>
      </c>
      <c r="CE55" s="93">
        <f t="shared" si="48"/>
        <v>-198600</v>
      </c>
      <c r="CF55" s="93">
        <f t="shared" si="49"/>
        <v>-200000</v>
      </c>
      <c r="CG55" s="96" t="s">
        <v>259</v>
      </c>
      <c r="CH55" s="65">
        <f>200000+100000+200000</f>
        <v>500000</v>
      </c>
      <c r="CI55" s="93">
        <f t="shared" si="50"/>
        <v>101400</v>
      </c>
      <c r="CJ55" s="93">
        <f t="shared" si="51"/>
        <v>100000</v>
      </c>
      <c r="CK55" s="93">
        <f t="shared" si="52"/>
        <v>300000</v>
      </c>
      <c r="CL55" s="96" t="s">
        <v>276</v>
      </c>
      <c r="CM55" s="65">
        <v>500000</v>
      </c>
      <c r="CN55" s="93">
        <f t="shared" si="82"/>
        <v>101400</v>
      </c>
      <c r="CO55" s="93">
        <f t="shared" si="53"/>
        <v>100000</v>
      </c>
      <c r="CP55" s="93">
        <f t="shared" si="54"/>
        <v>0</v>
      </c>
      <c r="CQ55" s="96"/>
      <c r="CR55" s="65">
        <v>500000</v>
      </c>
      <c r="CS55" s="93">
        <f t="shared" si="55"/>
        <v>101400</v>
      </c>
      <c r="CT55" s="93">
        <f t="shared" si="56"/>
        <v>100000</v>
      </c>
      <c r="CU55" s="93">
        <f t="shared" si="57"/>
        <v>0</v>
      </c>
      <c r="CV55" s="93">
        <f t="shared" si="58"/>
        <v>0</v>
      </c>
      <c r="CW55" s="96"/>
      <c r="CX55" s="65">
        <v>500000</v>
      </c>
      <c r="CY55" s="93">
        <f t="shared" si="99"/>
        <v>101400</v>
      </c>
      <c r="CZ55" s="93">
        <f t="shared" si="110"/>
        <v>100000</v>
      </c>
      <c r="DA55" s="93">
        <f t="shared" si="111"/>
        <v>0</v>
      </c>
      <c r="DB55" s="93">
        <f t="shared" si="112"/>
        <v>0</v>
      </c>
      <c r="DC55" s="96"/>
      <c r="DD55" s="65">
        <v>400000</v>
      </c>
      <c r="DE55" s="93">
        <f t="shared" si="113"/>
        <v>1400</v>
      </c>
      <c r="DF55" s="93">
        <f t="shared" si="114"/>
        <v>0</v>
      </c>
      <c r="DG55" s="93">
        <f t="shared" si="59"/>
        <v>-100000</v>
      </c>
      <c r="DH55" s="96"/>
      <c r="DI55" s="65">
        <v>500000</v>
      </c>
      <c r="DJ55" s="130"/>
      <c r="DK55" s="130"/>
      <c r="DL55" s="93">
        <f t="shared" si="129"/>
        <v>500000</v>
      </c>
      <c r="DM55" s="127">
        <f t="shared" si="130"/>
        <v>101400</v>
      </c>
      <c r="DN55" s="148">
        <v>400000</v>
      </c>
      <c r="DO55" s="22">
        <f t="shared" si="60"/>
        <v>-100000</v>
      </c>
      <c r="DP55" s="96"/>
      <c r="DQ55" s="145">
        <v>600000</v>
      </c>
      <c r="DR55" s="145"/>
      <c r="DS55" s="148">
        <f t="shared" si="92"/>
        <v>600000</v>
      </c>
      <c r="DT55" s="24">
        <f t="shared" si="61"/>
        <v>100000</v>
      </c>
      <c r="DU55" s="22">
        <f t="shared" si="62"/>
        <v>200000</v>
      </c>
      <c r="DV55" s="22">
        <f t="shared" si="63"/>
        <v>100000</v>
      </c>
      <c r="DW55" s="22">
        <f t="shared" si="64"/>
        <v>200000</v>
      </c>
      <c r="DX55" s="96" t="s">
        <v>432</v>
      </c>
      <c r="DY55" s="96" t="s">
        <v>432</v>
      </c>
      <c r="DZ55" s="148">
        <v>500000</v>
      </c>
      <c r="EA55" s="24" t="e">
        <f t="shared" si="93"/>
        <v>#VALUE!</v>
      </c>
      <c r="EB55" s="22" t="e">
        <f t="shared" si="94"/>
        <v>#VALUE!</v>
      </c>
      <c r="EC55" s="22">
        <f t="shared" si="67"/>
        <v>0</v>
      </c>
      <c r="ED55" s="22">
        <f t="shared" si="116"/>
        <v>100000</v>
      </c>
      <c r="EE55" s="22">
        <f t="shared" si="117"/>
        <v>-100000</v>
      </c>
      <c r="EF55" s="31"/>
      <c r="EG55" s="172">
        <v>100000</v>
      </c>
      <c r="EH55" s="148">
        <f t="shared" si="70"/>
        <v>600000</v>
      </c>
      <c r="EI55" s="24">
        <f t="shared" si="95"/>
        <v>-600000</v>
      </c>
      <c r="EJ55" s="22" t="e">
        <f t="shared" si="96"/>
        <v>#VALUE!</v>
      </c>
      <c r="EK55" s="22">
        <f t="shared" si="73"/>
        <v>100000</v>
      </c>
      <c r="EL55" s="22">
        <f t="shared" si="74"/>
        <v>200000</v>
      </c>
      <c r="EM55" s="22">
        <f t="shared" si="75"/>
        <v>0</v>
      </c>
      <c r="EN55" s="22">
        <f t="shared" si="76"/>
        <v>100000</v>
      </c>
      <c r="EO55" s="29" t="s">
        <v>577</v>
      </c>
      <c r="EP55" s="145">
        <v>700000</v>
      </c>
      <c r="EQ55" s="148">
        <v>700000</v>
      </c>
      <c r="ER55" s="148"/>
      <c r="ES55" s="148">
        <f t="shared" si="77"/>
        <v>700000</v>
      </c>
      <c r="ET55" s="22">
        <f t="shared" si="78"/>
        <v>300000</v>
      </c>
      <c r="EU55" s="22">
        <f t="shared" si="79"/>
        <v>200000</v>
      </c>
      <c r="EV55" s="29" t="s">
        <v>624</v>
      </c>
      <c r="EW55" s="80" t="s">
        <v>647</v>
      </c>
      <c r="EX55" s="148">
        <v>508128</v>
      </c>
      <c r="EY55" s="5">
        <f t="shared" si="80"/>
        <v>-191872</v>
      </c>
      <c r="EZ55" s="80" t="s">
        <v>689</v>
      </c>
      <c r="FA55" s="145">
        <v>400000</v>
      </c>
      <c r="FB55" s="5">
        <f t="shared" si="103"/>
        <v>-300000</v>
      </c>
      <c r="FC55" s="5">
        <f t="shared" si="1"/>
        <v>-108128</v>
      </c>
      <c r="FD55" s="80" t="s">
        <v>743</v>
      </c>
    </row>
    <row r="56" spans="1:160" ht="12.75" hidden="1" x14ac:dyDescent="0.2">
      <c r="A56" s="8" t="s">
        <v>28</v>
      </c>
      <c r="B56" s="9"/>
      <c r="C56" s="27" t="s">
        <v>40</v>
      </c>
      <c r="D56" s="20">
        <v>242448</v>
      </c>
      <c r="E56" s="20">
        <v>0</v>
      </c>
      <c r="F56" s="5">
        <f t="shared" si="17"/>
        <v>-242448</v>
      </c>
      <c r="G56" s="22">
        <v>0</v>
      </c>
      <c r="H56" s="5">
        <f t="shared" si="18"/>
        <v>-242448</v>
      </c>
      <c r="I56" s="5">
        <f t="shared" si="118"/>
        <v>0</v>
      </c>
      <c r="J56" s="29" t="s">
        <v>116</v>
      </c>
      <c r="K56" s="19">
        <v>250000</v>
      </c>
      <c r="L56" s="11">
        <f t="shared" si="19"/>
        <v>7552</v>
      </c>
      <c r="M56" s="11">
        <f t="shared" si="119"/>
        <v>250000</v>
      </c>
      <c r="N56" s="11">
        <f t="shared" si="20"/>
        <v>250000</v>
      </c>
      <c r="O56" s="19">
        <v>246140</v>
      </c>
      <c r="P56" s="11">
        <f t="shared" si="21"/>
        <v>3692</v>
      </c>
      <c r="Q56" s="11">
        <f t="shared" si="120"/>
        <v>246140</v>
      </c>
      <c r="R56" s="11">
        <f t="shared" si="22"/>
        <v>-3860</v>
      </c>
      <c r="S56" s="19">
        <v>246140</v>
      </c>
      <c r="T56" s="11">
        <f t="shared" si="23"/>
        <v>3692</v>
      </c>
      <c r="U56" s="11">
        <f t="shared" si="121"/>
        <v>246140</v>
      </c>
      <c r="V56" s="11">
        <f t="shared" si="81"/>
        <v>-3860</v>
      </c>
      <c r="W56" s="11">
        <f t="shared" si="24"/>
        <v>0</v>
      </c>
      <c r="X56" s="19">
        <v>250000</v>
      </c>
      <c r="Y56" s="11">
        <f t="shared" si="122"/>
        <v>7552</v>
      </c>
      <c r="Z56" s="11">
        <f t="shared" si="123"/>
        <v>250000</v>
      </c>
      <c r="AA56" s="11">
        <f t="shared" si="25"/>
        <v>0</v>
      </c>
      <c r="AB56" s="11">
        <f t="shared" si="26"/>
        <v>3860</v>
      </c>
      <c r="AC56" s="19">
        <v>250000</v>
      </c>
      <c r="AD56" s="11">
        <f t="shared" si="124"/>
        <v>7552</v>
      </c>
      <c r="AE56" s="11">
        <f t="shared" si="27"/>
        <v>0</v>
      </c>
      <c r="AF56" s="11">
        <f t="shared" si="127"/>
        <v>0</v>
      </c>
      <c r="AG56" s="19">
        <v>250000</v>
      </c>
      <c r="AH56" s="11">
        <f t="shared" si="125"/>
        <v>7552</v>
      </c>
      <c r="AI56" s="11"/>
      <c r="AJ56" s="11">
        <f t="shared" si="28"/>
        <v>250000</v>
      </c>
      <c r="AK56" s="11"/>
      <c r="AL56" s="11"/>
      <c r="AM56" s="11">
        <f t="shared" si="29"/>
        <v>250000</v>
      </c>
      <c r="AN56" s="19">
        <v>0</v>
      </c>
      <c r="AO56" s="11">
        <f t="shared" si="30"/>
        <v>-250000</v>
      </c>
      <c r="AP56" s="11"/>
      <c r="AQ56" s="19">
        <v>0</v>
      </c>
      <c r="AR56" s="19">
        <f t="shared" si="31"/>
        <v>-250000</v>
      </c>
      <c r="AS56" s="19">
        <f t="shared" si="32"/>
        <v>0</v>
      </c>
      <c r="AT56" s="19">
        <v>0</v>
      </c>
      <c r="AU56" s="19">
        <f t="shared" si="33"/>
        <v>-250000</v>
      </c>
      <c r="AV56" s="19">
        <f t="shared" si="34"/>
        <v>0</v>
      </c>
      <c r="AW56" s="19">
        <f t="shared" si="35"/>
        <v>0</v>
      </c>
      <c r="AX56" s="19"/>
      <c r="AY56" s="19">
        <v>250000</v>
      </c>
      <c r="AZ56" s="19">
        <f t="shared" si="36"/>
        <v>0</v>
      </c>
      <c r="BA56" s="19">
        <f t="shared" si="37"/>
        <v>250000</v>
      </c>
      <c r="BB56" s="19">
        <f t="shared" si="38"/>
        <v>250000</v>
      </c>
      <c r="BC56" s="66"/>
      <c r="BD56" s="19">
        <v>250000</v>
      </c>
      <c r="BE56" s="19">
        <f t="shared" si="39"/>
        <v>0</v>
      </c>
      <c r="BF56" s="19">
        <f t="shared" si="40"/>
        <v>250000</v>
      </c>
      <c r="BG56" s="19">
        <f t="shared" si="41"/>
        <v>250000</v>
      </c>
      <c r="BH56" s="19">
        <f t="shared" si="42"/>
        <v>0</v>
      </c>
      <c r="BI56" s="73"/>
      <c r="BJ56" s="19">
        <v>0</v>
      </c>
      <c r="BK56" s="12"/>
      <c r="BL56" s="19">
        <f t="shared" si="43"/>
        <v>0</v>
      </c>
      <c r="BM56" s="20"/>
      <c r="BN56" s="19">
        <f t="shared" si="44"/>
        <v>0</v>
      </c>
      <c r="BO56" s="12">
        <f t="shared" si="105"/>
        <v>-250000</v>
      </c>
      <c r="BP56" s="19">
        <f t="shared" si="106"/>
        <v>0</v>
      </c>
      <c r="BQ56" s="19">
        <f t="shared" si="107"/>
        <v>0</v>
      </c>
      <c r="BR56" s="19">
        <f t="shared" si="108"/>
        <v>-250000</v>
      </c>
      <c r="BS56" s="19">
        <f t="shared" si="109"/>
        <v>0</v>
      </c>
      <c r="BT56" s="73"/>
      <c r="BU56" s="80"/>
      <c r="BV56" s="78">
        <f t="shared" si="45"/>
        <v>0</v>
      </c>
      <c r="BW56" s="78"/>
      <c r="BX56" s="78">
        <f t="shared" si="46"/>
        <v>0</v>
      </c>
      <c r="BY56" s="78"/>
      <c r="BZ56" s="93">
        <v>0</v>
      </c>
      <c r="CA56" s="93">
        <v>0</v>
      </c>
      <c r="CB56" s="88">
        <f t="shared" si="128"/>
        <v>0</v>
      </c>
      <c r="CC56" s="80"/>
      <c r="CD56" s="65">
        <v>0</v>
      </c>
      <c r="CE56" s="93">
        <f t="shared" si="48"/>
        <v>0</v>
      </c>
      <c r="CF56" s="93">
        <f t="shared" si="49"/>
        <v>0</v>
      </c>
      <c r="CG56" s="80"/>
      <c r="CH56" s="65">
        <v>0</v>
      </c>
      <c r="CI56" s="93">
        <f t="shared" si="50"/>
        <v>0</v>
      </c>
      <c r="CJ56" s="93">
        <f t="shared" si="51"/>
        <v>0</v>
      </c>
      <c r="CK56" s="93">
        <f t="shared" si="52"/>
        <v>0</v>
      </c>
      <c r="CL56" s="80"/>
      <c r="CM56" s="65"/>
      <c r="CN56" s="93">
        <f t="shared" si="82"/>
        <v>0</v>
      </c>
      <c r="CO56" s="93">
        <f t="shared" si="53"/>
        <v>0</v>
      </c>
      <c r="CP56" s="93">
        <f t="shared" si="54"/>
        <v>0</v>
      </c>
      <c r="CQ56" s="80"/>
      <c r="CR56" s="65"/>
      <c r="CS56" s="93">
        <f t="shared" si="55"/>
        <v>0</v>
      </c>
      <c r="CT56" s="93">
        <f t="shared" si="56"/>
        <v>0</v>
      </c>
      <c r="CU56" s="93">
        <f t="shared" si="57"/>
        <v>0</v>
      </c>
      <c r="CV56" s="93">
        <f t="shared" si="58"/>
        <v>0</v>
      </c>
      <c r="CW56" s="80"/>
      <c r="CX56" s="65"/>
      <c r="CY56" s="93">
        <f t="shared" si="99"/>
        <v>0</v>
      </c>
      <c r="CZ56" s="93">
        <f t="shared" si="110"/>
        <v>0</v>
      </c>
      <c r="DA56" s="93">
        <f t="shared" si="111"/>
        <v>0</v>
      </c>
      <c r="DB56" s="93">
        <f t="shared" si="112"/>
        <v>0</v>
      </c>
      <c r="DC56" s="80"/>
      <c r="DD56" s="65"/>
      <c r="DE56" s="93">
        <f t="shared" si="113"/>
        <v>0</v>
      </c>
      <c r="DF56" s="93">
        <f t="shared" si="114"/>
        <v>0</v>
      </c>
      <c r="DG56" s="93">
        <f t="shared" si="59"/>
        <v>0</v>
      </c>
      <c r="DH56" s="80"/>
      <c r="DI56" s="65"/>
      <c r="DJ56" s="80"/>
      <c r="DK56" s="96"/>
      <c r="DL56" s="93">
        <f t="shared" si="129"/>
        <v>0</v>
      </c>
      <c r="DM56" s="127">
        <f t="shared" si="130"/>
        <v>0</v>
      </c>
      <c r="DN56" s="148">
        <v>0</v>
      </c>
      <c r="DO56" s="22">
        <f t="shared" si="60"/>
        <v>0</v>
      </c>
      <c r="DP56" s="80"/>
      <c r="DQ56" s="145"/>
      <c r="DR56" s="145"/>
      <c r="DS56" s="148">
        <f t="shared" si="92"/>
        <v>0</v>
      </c>
      <c r="DT56" s="24">
        <f t="shared" si="61"/>
        <v>0</v>
      </c>
      <c r="DU56" s="22">
        <f t="shared" si="62"/>
        <v>0</v>
      </c>
      <c r="DV56" s="22">
        <f t="shared" si="63"/>
        <v>0</v>
      </c>
      <c r="DW56" s="22">
        <f t="shared" si="64"/>
        <v>0</v>
      </c>
      <c r="DX56" s="80"/>
      <c r="DY56" s="157"/>
      <c r="DZ56" s="148"/>
      <c r="EA56" s="24">
        <f t="shared" si="93"/>
        <v>0</v>
      </c>
      <c r="EB56" s="22">
        <f t="shared" si="94"/>
        <v>0</v>
      </c>
      <c r="EC56" s="22">
        <f t="shared" si="67"/>
        <v>0</v>
      </c>
      <c r="ED56" s="22">
        <f t="shared" si="116"/>
        <v>0</v>
      </c>
      <c r="EE56" s="22">
        <f t="shared" si="117"/>
        <v>0</v>
      </c>
      <c r="EF56" s="164"/>
      <c r="EG56" s="172"/>
      <c r="EH56" s="148">
        <f t="shared" si="70"/>
        <v>0</v>
      </c>
      <c r="EI56" s="24">
        <f t="shared" si="95"/>
        <v>0</v>
      </c>
      <c r="EJ56" s="22">
        <f t="shared" si="96"/>
        <v>0</v>
      </c>
      <c r="EK56" s="22">
        <f t="shared" si="73"/>
        <v>0</v>
      </c>
      <c r="EL56" s="22">
        <f t="shared" si="74"/>
        <v>0</v>
      </c>
      <c r="EM56" s="22">
        <f t="shared" si="75"/>
        <v>0</v>
      </c>
      <c r="EN56" s="22">
        <f t="shared" si="76"/>
        <v>0</v>
      </c>
      <c r="EO56" s="164"/>
      <c r="EP56" s="145"/>
      <c r="EQ56" s="148"/>
      <c r="ER56" s="148"/>
      <c r="ES56" s="148">
        <f t="shared" si="77"/>
        <v>0</v>
      </c>
      <c r="ET56" s="22">
        <f t="shared" si="78"/>
        <v>0</v>
      </c>
      <c r="EU56" s="22">
        <f t="shared" si="79"/>
        <v>0</v>
      </c>
      <c r="EV56" s="159"/>
      <c r="EW56" s="201"/>
      <c r="EX56" s="148">
        <v>0</v>
      </c>
      <c r="EY56" s="5">
        <f t="shared" si="80"/>
        <v>0</v>
      </c>
      <c r="EZ56" s="80"/>
      <c r="FA56" s="145"/>
      <c r="FB56" s="5">
        <f t="shared" si="103"/>
        <v>0</v>
      </c>
      <c r="FC56" s="5">
        <f t="shared" si="1"/>
        <v>0</v>
      </c>
      <c r="FD56" s="80"/>
    </row>
    <row r="57" spans="1:160" ht="12.75" x14ac:dyDescent="0.2">
      <c r="A57" s="8" t="s">
        <v>11</v>
      </c>
      <c r="B57" s="9"/>
      <c r="C57" s="27" t="s">
        <v>12</v>
      </c>
      <c r="D57" s="20">
        <v>5.5</v>
      </c>
      <c r="E57" s="20">
        <v>6</v>
      </c>
      <c r="F57" s="5">
        <f t="shared" si="17"/>
        <v>0.5</v>
      </c>
      <c r="G57" s="22">
        <v>1</v>
      </c>
      <c r="H57" s="5">
        <f t="shared" si="18"/>
        <v>-4.5</v>
      </c>
      <c r="I57" s="5">
        <f t="shared" si="118"/>
        <v>-5</v>
      </c>
      <c r="J57" s="31"/>
      <c r="K57" s="19">
        <v>1</v>
      </c>
      <c r="L57" s="11">
        <f t="shared" si="19"/>
        <v>-4.5</v>
      </c>
      <c r="M57" s="11">
        <f t="shared" si="119"/>
        <v>-5</v>
      </c>
      <c r="N57" s="11">
        <f t="shared" si="20"/>
        <v>0</v>
      </c>
      <c r="O57" s="19">
        <v>3</v>
      </c>
      <c r="P57" s="11">
        <f t="shared" si="21"/>
        <v>-2.5</v>
      </c>
      <c r="Q57" s="11">
        <f t="shared" si="120"/>
        <v>-3</v>
      </c>
      <c r="R57" s="11">
        <f t="shared" si="22"/>
        <v>2</v>
      </c>
      <c r="S57" s="19">
        <v>3</v>
      </c>
      <c r="T57" s="11">
        <f t="shared" si="23"/>
        <v>-2.5</v>
      </c>
      <c r="U57" s="11">
        <f t="shared" si="121"/>
        <v>-3</v>
      </c>
      <c r="V57" s="11">
        <f t="shared" si="81"/>
        <v>2</v>
      </c>
      <c r="W57" s="11">
        <f t="shared" si="24"/>
        <v>0</v>
      </c>
      <c r="X57" s="19">
        <v>1</v>
      </c>
      <c r="Y57" s="11">
        <f t="shared" si="122"/>
        <v>-4.5</v>
      </c>
      <c r="Z57" s="11">
        <f t="shared" si="123"/>
        <v>-5</v>
      </c>
      <c r="AA57" s="11">
        <f t="shared" si="25"/>
        <v>0</v>
      </c>
      <c r="AB57" s="11">
        <f t="shared" si="26"/>
        <v>-2</v>
      </c>
      <c r="AC57" s="19">
        <v>1</v>
      </c>
      <c r="AD57" s="11">
        <f t="shared" si="124"/>
        <v>-4.5</v>
      </c>
      <c r="AE57" s="11">
        <f t="shared" si="27"/>
        <v>0</v>
      </c>
      <c r="AF57" s="11">
        <f t="shared" si="127"/>
        <v>0</v>
      </c>
      <c r="AG57" s="19">
        <v>1</v>
      </c>
      <c r="AH57" s="11">
        <f t="shared" si="125"/>
        <v>-4.5</v>
      </c>
      <c r="AI57" s="11"/>
      <c r="AJ57" s="11">
        <f t="shared" si="28"/>
        <v>1</v>
      </c>
      <c r="AK57" s="11"/>
      <c r="AL57" s="11"/>
      <c r="AM57" s="11">
        <f t="shared" si="29"/>
        <v>1</v>
      </c>
      <c r="AN57" s="19">
        <v>1</v>
      </c>
      <c r="AO57" s="11">
        <f t="shared" si="30"/>
        <v>0</v>
      </c>
      <c r="AP57" s="11"/>
      <c r="AQ57" s="19">
        <v>1</v>
      </c>
      <c r="AR57" s="19">
        <f t="shared" si="31"/>
        <v>0</v>
      </c>
      <c r="AS57" s="19">
        <f t="shared" si="32"/>
        <v>0</v>
      </c>
      <c r="AT57" s="19">
        <v>1</v>
      </c>
      <c r="AU57" s="19">
        <f t="shared" si="33"/>
        <v>0</v>
      </c>
      <c r="AV57" s="19">
        <f t="shared" si="34"/>
        <v>0</v>
      </c>
      <c r="AW57" s="19">
        <f t="shared" si="35"/>
        <v>0</v>
      </c>
      <c r="AX57" s="19"/>
      <c r="AY57" s="19">
        <v>1</v>
      </c>
      <c r="AZ57" s="19">
        <f t="shared" si="36"/>
        <v>0</v>
      </c>
      <c r="BA57" s="19">
        <f t="shared" si="37"/>
        <v>0</v>
      </c>
      <c r="BB57" s="19">
        <f t="shared" si="38"/>
        <v>0</v>
      </c>
      <c r="BC57" s="66"/>
      <c r="BD57" s="19">
        <v>1</v>
      </c>
      <c r="BE57" s="19">
        <f t="shared" si="39"/>
        <v>0</v>
      </c>
      <c r="BF57" s="19">
        <f t="shared" si="40"/>
        <v>0</v>
      </c>
      <c r="BG57" s="19">
        <f t="shared" si="41"/>
        <v>0</v>
      </c>
      <c r="BH57" s="19">
        <f t="shared" si="42"/>
        <v>0</v>
      </c>
      <c r="BI57" s="73"/>
      <c r="BJ57" s="19">
        <v>1</v>
      </c>
      <c r="BK57" s="12"/>
      <c r="BL57" s="19">
        <f t="shared" si="43"/>
        <v>1</v>
      </c>
      <c r="BM57" s="20"/>
      <c r="BN57" s="19">
        <f t="shared" si="44"/>
        <v>1</v>
      </c>
      <c r="BO57" s="12">
        <f t="shared" si="105"/>
        <v>0</v>
      </c>
      <c r="BP57" s="19">
        <f t="shared" si="106"/>
        <v>0</v>
      </c>
      <c r="BQ57" s="19">
        <f t="shared" si="107"/>
        <v>0</v>
      </c>
      <c r="BR57" s="19">
        <f t="shared" si="108"/>
        <v>0</v>
      </c>
      <c r="BS57" s="19">
        <f t="shared" si="109"/>
        <v>0</v>
      </c>
      <c r="BT57" s="73"/>
      <c r="BU57" s="80"/>
      <c r="BV57" s="78">
        <f t="shared" si="45"/>
        <v>1</v>
      </c>
      <c r="BW57" s="78"/>
      <c r="BX57" s="78">
        <f t="shared" si="46"/>
        <v>1</v>
      </c>
      <c r="BY57" s="78"/>
      <c r="BZ57" s="93">
        <v>1</v>
      </c>
      <c r="CA57" s="93">
        <v>1</v>
      </c>
      <c r="CB57" s="88">
        <f t="shared" si="128"/>
        <v>0</v>
      </c>
      <c r="CC57" s="80"/>
      <c r="CD57" s="65">
        <v>1</v>
      </c>
      <c r="CE57" s="93">
        <f t="shared" si="48"/>
        <v>0</v>
      </c>
      <c r="CF57" s="93">
        <f t="shared" si="49"/>
        <v>0</v>
      </c>
      <c r="CG57" s="80"/>
      <c r="CH57" s="65">
        <v>1</v>
      </c>
      <c r="CI57" s="93">
        <f t="shared" si="50"/>
        <v>0</v>
      </c>
      <c r="CJ57" s="93">
        <f t="shared" si="51"/>
        <v>0</v>
      </c>
      <c r="CK57" s="93">
        <f t="shared" si="52"/>
        <v>0</v>
      </c>
      <c r="CL57" s="80"/>
      <c r="CM57" s="65">
        <v>1</v>
      </c>
      <c r="CN57" s="93">
        <f t="shared" si="82"/>
        <v>0</v>
      </c>
      <c r="CO57" s="93">
        <f t="shared" si="53"/>
        <v>0</v>
      </c>
      <c r="CP57" s="93">
        <f t="shared" si="54"/>
        <v>0</v>
      </c>
      <c r="CQ57" s="80"/>
      <c r="CR57" s="65">
        <v>1</v>
      </c>
      <c r="CS57" s="93">
        <f t="shared" si="55"/>
        <v>0</v>
      </c>
      <c r="CT57" s="93">
        <f t="shared" si="56"/>
        <v>0</v>
      </c>
      <c r="CU57" s="93">
        <f t="shared" si="57"/>
        <v>0</v>
      </c>
      <c r="CV57" s="93">
        <f t="shared" si="58"/>
        <v>0</v>
      </c>
      <c r="CW57" s="80"/>
      <c r="CX57" s="65">
        <v>1</v>
      </c>
      <c r="CY57" s="93">
        <f t="shared" si="99"/>
        <v>0</v>
      </c>
      <c r="CZ57" s="93">
        <f t="shared" si="110"/>
        <v>0</v>
      </c>
      <c r="DA57" s="93">
        <f t="shared" si="111"/>
        <v>0</v>
      </c>
      <c r="DB57" s="93">
        <f t="shared" si="112"/>
        <v>0</v>
      </c>
      <c r="DC57" s="80"/>
      <c r="DD57" s="65">
        <v>1</v>
      </c>
      <c r="DE57" s="93">
        <f t="shared" si="113"/>
        <v>0</v>
      </c>
      <c r="DF57" s="93">
        <f t="shared" si="114"/>
        <v>0</v>
      </c>
      <c r="DG57" s="93">
        <f t="shared" si="59"/>
        <v>0</v>
      </c>
      <c r="DH57" s="80"/>
      <c r="DI57" s="65">
        <v>1</v>
      </c>
      <c r="DJ57" s="80"/>
      <c r="DK57" s="96"/>
      <c r="DL57" s="93">
        <f t="shared" si="129"/>
        <v>1</v>
      </c>
      <c r="DM57" s="127">
        <f t="shared" si="130"/>
        <v>0</v>
      </c>
      <c r="DN57" s="148">
        <v>1</v>
      </c>
      <c r="DO57" s="22">
        <f t="shared" si="60"/>
        <v>0</v>
      </c>
      <c r="DP57" s="80"/>
      <c r="DQ57" s="145">
        <v>1</v>
      </c>
      <c r="DR57" s="145"/>
      <c r="DS57" s="148">
        <f t="shared" si="92"/>
        <v>1</v>
      </c>
      <c r="DT57" s="24">
        <f t="shared" si="61"/>
        <v>0</v>
      </c>
      <c r="DU57" s="22">
        <f t="shared" si="62"/>
        <v>0</v>
      </c>
      <c r="DV57" s="22">
        <f t="shared" si="63"/>
        <v>0</v>
      </c>
      <c r="DW57" s="22">
        <f t="shared" si="64"/>
        <v>0</v>
      </c>
      <c r="DX57" s="80"/>
      <c r="DY57" s="157"/>
      <c r="DZ57" s="148">
        <v>1</v>
      </c>
      <c r="EA57" s="24">
        <f t="shared" si="93"/>
        <v>-1</v>
      </c>
      <c r="EB57" s="22">
        <f t="shared" si="94"/>
        <v>0</v>
      </c>
      <c r="EC57" s="22">
        <f t="shared" si="67"/>
        <v>0</v>
      </c>
      <c r="ED57" s="22">
        <f t="shared" si="116"/>
        <v>0</v>
      </c>
      <c r="EE57" s="22">
        <f t="shared" si="117"/>
        <v>0</v>
      </c>
      <c r="EF57" s="164"/>
      <c r="EG57" s="172"/>
      <c r="EH57" s="148">
        <f t="shared" si="70"/>
        <v>1</v>
      </c>
      <c r="EI57" s="24">
        <f t="shared" si="95"/>
        <v>-1</v>
      </c>
      <c r="EJ57" s="22">
        <f t="shared" si="96"/>
        <v>0</v>
      </c>
      <c r="EK57" s="22">
        <f t="shared" si="73"/>
        <v>0</v>
      </c>
      <c r="EL57" s="22">
        <f t="shared" si="74"/>
        <v>0</v>
      </c>
      <c r="EM57" s="22">
        <f t="shared" si="75"/>
        <v>0</v>
      </c>
      <c r="EN57" s="22">
        <f t="shared" si="76"/>
        <v>0</v>
      </c>
      <c r="EO57" s="164"/>
      <c r="EP57" s="145">
        <v>1</v>
      </c>
      <c r="EQ57" s="148">
        <v>1</v>
      </c>
      <c r="ER57" s="148"/>
      <c r="ES57" s="148">
        <f t="shared" si="77"/>
        <v>1</v>
      </c>
      <c r="ET57" s="22">
        <f t="shared" si="78"/>
        <v>0</v>
      </c>
      <c r="EU57" s="22">
        <f t="shared" si="79"/>
        <v>0</v>
      </c>
      <c r="EV57" s="159"/>
      <c r="EW57" s="201"/>
      <c r="EX57" s="148">
        <v>1</v>
      </c>
      <c r="EY57" s="5">
        <f t="shared" si="80"/>
        <v>0</v>
      </c>
      <c r="EZ57" s="80"/>
      <c r="FA57" s="145">
        <v>1</v>
      </c>
      <c r="FB57" s="5">
        <f t="shared" si="103"/>
        <v>0</v>
      </c>
      <c r="FC57" s="5">
        <f t="shared" si="1"/>
        <v>0</v>
      </c>
      <c r="FD57" s="80"/>
    </row>
    <row r="58" spans="1:160" ht="14.25" customHeight="1" x14ac:dyDescent="0.2">
      <c r="A58" s="21" t="s">
        <v>239</v>
      </c>
      <c r="B58" s="9"/>
      <c r="C58" s="26" t="s">
        <v>248</v>
      </c>
      <c r="D58" s="20">
        <v>0</v>
      </c>
      <c r="E58" s="19">
        <v>1379000</v>
      </c>
      <c r="F58" s="5">
        <f t="shared" si="17"/>
        <v>1379000</v>
      </c>
      <c r="G58" s="22"/>
      <c r="H58" s="5">
        <f t="shared" si="18"/>
        <v>0</v>
      </c>
      <c r="I58" s="5"/>
      <c r="J58" s="31"/>
      <c r="K58" s="19"/>
      <c r="L58" s="11">
        <f t="shared" si="19"/>
        <v>0</v>
      </c>
      <c r="M58" s="11"/>
      <c r="N58" s="11"/>
      <c r="O58" s="19"/>
      <c r="P58" s="11">
        <f t="shared" si="21"/>
        <v>0</v>
      </c>
      <c r="Q58" s="11"/>
      <c r="R58" s="11"/>
      <c r="S58" s="19"/>
      <c r="T58" s="11">
        <f t="shared" si="23"/>
        <v>0</v>
      </c>
      <c r="U58" s="11"/>
      <c r="V58" s="11"/>
      <c r="W58" s="11"/>
      <c r="X58" s="19"/>
      <c r="Y58" s="11"/>
      <c r="Z58" s="11"/>
      <c r="AA58" s="11"/>
      <c r="AB58" s="11"/>
      <c r="AC58" s="19"/>
      <c r="AD58" s="11"/>
      <c r="AE58" s="11"/>
      <c r="AF58" s="11"/>
      <c r="AG58" s="19"/>
      <c r="AH58" s="11"/>
      <c r="AI58" s="11"/>
      <c r="AJ58" s="11"/>
      <c r="AK58" s="11"/>
      <c r="AL58" s="11"/>
      <c r="AM58" s="11">
        <v>0</v>
      </c>
      <c r="AN58" s="19"/>
      <c r="AO58" s="11"/>
      <c r="AP58" s="11"/>
      <c r="AQ58" s="19"/>
      <c r="AR58" s="19"/>
      <c r="AS58" s="19"/>
      <c r="AT58" s="19"/>
      <c r="AU58" s="19"/>
      <c r="AV58" s="19"/>
      <c r="AW58" s="19"/>
      <c r="AX58" s="19"/>
      <c r="AY58" s="19"/>
      <c r="AZ58" s="19"/>
      <c r="BA58" s="19"/>
      <c r="BB58" s="19"/>
      <c r="BC58" s="66"/>
      <c r="BD58" s="19"/>
      <c r="BE58" s="19"/>
      <c r="BF58" s="19"/>
      <c r="BG58" s="19"/>
      <c r="BH58" s="19"/>
      <c r="BI58" s="80"/>
      <c r="BJ58" s="19"/>
      <c r="BK58" s="12"/>
      <c r="BL58" s="19"/>
      <c r="BM58" s="20"/>
      <c r="BN58" s="19"/>
      <c r="BO58" s="12"/>
      <c r="BP58" s="19"/>
      <c r="BQ58" s="19"/>
      <c r="BR58" s="19"/>
      <c r="BS58" s="19"/>
      <c r="BT58" s="80"/>
      <c r="BU58" s="80"/>
      <c r="BV58" s="78"/>
      <c r="BW58" s="78"/>
      <c r="BX58" s="78"/>
      <c r="BY58" s="78"/>
      <c r="BZ58" s="93">
        <v>0</v>
      </c>
      <c r="CA58" s="93">
        <v>1400000</v>
      </c>
      <c r="CB58" s="88">
        <f t="shared" si="128"/>
        <v>1400000</v>
      </c>
      <c r="CC58" s="80" t="s">
        <v>242</v>
      </c>
      <c r="CD58" s="65">
        <v>1400000</v>
      </c>
      <c r="CE58" s="93">
        <f t="shared" si="48"/>
        <v>1400000</v>
      </c>
      <c r="CF58" s="93">
        <f t="shared" si="49"/>
        <v>0</v>
      </c>
      <c r="CG58" s="80" t="s">
        <v>242</v>
      </c>
      <c r="CH58" s="65">
        <v>1400000</v>
      </c>
      <c r="CI58" s="93">
        <f t="shared" si="50"/>
        <v>1400000</v>
      </c>
      <c r="CJ58" s="93">
        <f t="shared" si="51"/>
        <v>0</v>
      </c>
      <c r="CK58" s="93">
        <f t="shared" si="52"/>
        <v>0</v>
      </c>
      <c r="CL58" s="80" t="s">
        <v>242</v>
      </c>
      <c r="CM58" s="65">
        <v>1400000</v>
      </c>
      <c r="CN58" s="93">
        <f t="shared" si="82"/>
        <v>1400000</v>
      </c>
      <c r="CO58" s="93">
        <f t="shared" si="53"/>
        <v>0</v>
      </c>
      <c r="CP58" s="93">
        <f t="shared" si="54"/>
        <v>0</v>
      </c>
      <c r="CQ58" s="80" t="s">
        <v>242</v>
      </c>
      <c r="CR58" s="65">
        <v>1400000</v>
      </c>
      <c r="CS58" s="93">
        <f t="shared" si="55"/>
        <v>1400000</v>
      </c>
      <c r="CT58" s="93">
        <f t="shared" si="56"/>
        <v>0</v>
      </c>
      <c r="CU58" s="93">
        <f t="shared" si="57"/>
        <v>0</v>
      </c>
      <c r="CV58" s="93">
        <f t="shared" si="58"/>
        <v>0</v>
      </c>
      <c r="CW58" s="80" t="s">
        <v>242</v>
      </c>
      <c r="CX58" s="65">
        <v>1400000</v>
      </c>
      <c r="CY58" s="93">
        <f t="shared" si="99"/>
        <v>1400000</v>
      </c>
      <c r="CZ58" s="93">
        <f t="shared" si="110"/>
        <v>0</v>
      </c>
      <c r="DA58" s="93">
        <f t="shared" si="111"/>
        <v>0</v>
      </c>
      <c r="DB58" s="93">
        <f t="shared" si="112"/>
        <v>0</v>
      </c>
      <c r="DC58" s="80"/>
      <c r="DD58" s="65">
        <v>1400000</v>
      </c>
      <c r="DE58" s="93">
        <f t="shared" si="113"/>
        <v>1400000</v>
      </c>
      <c r="DF58" s="93">
        <f t="shared" si="114"/>
        <v>0</v>
      </c>
      <c r="DG58" s="93">
        <f t="shared" si="59"/>
        <v>0</v>
      </c>
      <c r="DH58" s="80"/>
      <c r="DI58" s="65">
        <v>1400000</v>
      </c>
      <c r="DJ58" s="128"/>
      <c r="DK58" s="130"/>
      <c r="DL58" s="93">
        <f t="shared" si="129"/>
        <v>1400000</v>
      </c>
      <c r="DM58" s="127">
        <f t="shared" si="130"/>
        <v>1400000</v>
      </c>
      <c r="DN58" s="148">
        <v>1400000</v>
      </c>
      <c r="DO58" s="22">
        <f t="shared" si="60"/>
        <v>0</v>
      </c>
      <c r="DP58" s="80"/>
      <c r="DQ58" s="145">
        <v>1400000</v>
      </c>
      <c r="DR58" s="145"/>
      <c r="DS58" s="148">
        <f t="shared" si="92"/>
        <v>1400000</v>
      </c>
      <c r="DT58" s="24">
        <f t="shared" si="61"/>
        <v>0</v>
      </c>
      <c r="DU58" s="22">
        <f t="shared" si="62"/>
        <v>0</v>
      </c>
      <c r="DV58" s="22">
        <f t="shared" si="63"/>
        <v>0</v>
      </c>
      <c r="DW58" s="22">
        <f t="shared" si="64"/>
        <v>0</v>
      </c>
      <c r="DX58" s="80"/>
      <c r="DY58" s="157"/>
      <c r="DZ58" s="148">
        <v>1400000</v>
      </c>
      <c r="EA58" s="24">
        <f t="shared" si="93"/>
        <v>-1400000</v>
      </c>
      <c r="EB58" s="22">
        <f t="shared" si="94"/>
        <v>0</v>
      </c>
      <c r="EC58" s="22">
        <f t="shared" si="67"/>
        <v>0</v>
      </c>
      <c r="ED58" s="22">
        <f t="shared" si="116"/>
        <v>0</v>
      </c>
      <c r="EE58" s="22">
        <f t="shared" si="117"/>
        <v>0</v>
      </c>
      <c r="EF58" s="164"/>
      <c r="EG58" s="172">
        <v>100000</v>
      </c>
      <c r="EH58" s="148">
        <f t="shared" si="70"/>
        <v>1500000</v>
      </c>
      <c r="EI58" s="24">
        <f t="shared" si="95"/>
        <v>-1400000</v>
      </c>
      <c r="EJ58" s="22">
        <f t="shared" si="96"/>
        <v>0</v>
      </c>
      <c r="EK58" s="22">
        <f t="shared" si="73"/>
        <v>100000</v>
      </c>
      <c r="EL58" s="22">
        <f t="shared" si="74"/>
        <v>100000</v>
      </c>
      <c r="EM58" s="22">
        <f t="shared" si="75"/>
        <v>100000</v>
      </c>
      <c r="EN58" s="22">
        <f t="shared" si="76"/>
        <v>100000</v>
      </c>
      <c r="EO58" s="159" t="s">
        <v>581</v>
      </c>
      <c r="EP58" s="145">
        <v>1500000</v>
      </c>
      <c r="EQ58" s="148">
        <v>1500000</v>
      </c>
      <c r="ER58" s="148"/>
      <c r="ES58" s="148">
        <f t="shared" si="77"/>
        <v>1500000</v>
      </c>
      <c r="ET58" s="22">
        <f t="shared" si="78"/>
        <v>100000</v>
      </c>
      <c r="EU58" s="22">
        <f t="shared" si="79"/>
        <v>100000</v>
      </c>
      <c r="EV58" s="159"/>
      <c r="EW58" s="201"/>
      <c r="EX58" s="148">
        <v>1500000</v>
      </c>
      <c r="EY58" s="5">
        <f t="shared" si="80"/>
        <v>0</v>
      </c>
      <c r="EZ58" s="80"/>
      <c r="FA58" s="145">
        <v>1500000</v>
      </c>
      <c r="FB58" s="5">
        <f t="shared" si="103"/>
        <v>0</v>
      </c>
      <c r="FC58" s="5">
        <f t="shared" si="1"/>
        <v>0</v>
      </c>
      <c r="FD58" s="80"/>
    </row>
    <row r="59" spans="1:160" ht="12.75" x14ac:dyDescent="0.2">
      <c r="A59" s="8" t="s">
        <v>24</v>
      </c>
      <c r="B59" s="9"/>
      <c r="C59" s="27" t="s">
        <v>25</v>
      </c>
      <c r="D59" s="20">
        <v>1970000</v>
      </c>
      <c r="E59" s="20">
        <v>1970000</v>
      </c>
      <c r="F59" s="5">
        <f t="shared" si="17"/>
        <v>0</v>
      </c>
      <c r="G59" s="22">
        <v>2300000</v>
      </c>
      <c r="H59" s="5">
        <f t="shared" si="18"/>
        <v>330000</v>
      </c>
      <c r="I59" s="5">
        <f>G59-E59</f>
        <v>330000</v>
      </c>
      <c r="J59" s="31"/>
      <c r="K59" s="19">
        <v>2300000</v>
      </c>
      <c r="L59" s="11">
        <f t="shared" si="19"/>
        <v>330000</v>
      </c>
      <c r="M59" s="11">
        <f>K59-E59</f>
        <v>330000</v>
      </c>
      <c r="N59" s="11">
        <f t="shared" si="20"/>
        <v>0</v>
      </c>
      <c r="O59" s="19">
        <v>1970000</v>
      </c>
      <c r="P59" s="11">
        <f t="shared" si="21"/>
        <v>0</v>
      </c>
      <c r="Q59" s="11">
        <f>O59-E59</f>
        <v>0</v>
      </c>
      <c r="R59" s="11">
        <f t="shared" si="22"/>
        <v>-330000</v>
      </c>
      <c r="S59" s="19">
        <v>1970000</v>
      </c>
      <c r="T59" s="11">
        <f t="shared" si="23"/>
        <v>0</v>
      </c>
      <c r="U59" s="11">
        <f t="shared" ref="U59:U65" si="131">S59-E59</f>
        <v>0</v>
      </c>
      <c r="V59" s="11">
        <f t="shared" si="81"/>
        <v>-330000</v>
      </c>
      <c r="W59" s="11">
        <f t="shared" si="24"/>
        <v>0</v>
      </c>
      <c r="X59" s="19">
        <v>2000000</v>
      </c>
      <c r="Y59" s="11">
        <f t="shared" ref="Y59:Y65" si="132">X59-D59</f>
        <v>30000</v>
      </c>
      <c r="Z59" s="11">
        <f t="shared" ref="Z59:Z65" si="133">X59-E59</f>
        <v>30000</v>
      </c>
      <c r="AA59" s="11">
        <f t="shared" si="25"/>
        <v>-300000</v>
      </c>
      <c r="AB59" s="11">
        <f t="shared" si="26"/>
        <v>30000</v>
      </c>
      <c r="AC59" s="19">
        <v>2000000</v>
      </c>
      <c r="AD59" s="11">
        <f t="shared" ref="AD59:AD65" si="134">AC59-D59</f>
        <v>30000</v>
      </c>
      <c r="AE59" s="11">
        <f t="shared" si="27"/>
        <v>0</v>
      </c>
      <c r="AF59" s="11">
        <f t="shared" si="127"/>
        <v>0</v>
      </c>
      <c r="AG59" s="19">
        <v>2000000</v>
      </c>
      <c r="AH59" s="11">
        <f t="shared" ref="AH59:AH65" si="135">AG59-D59</f>
        <v>30000</v>
      </c>
      <c r="AI59" s="11"/>
      <c r="AJ59" s="11">
        <f t="shared" si="28"/>
        <v>2000000</v>
      </c>
      <c r="AK59" s="11"/>
      <c r="AL59" s="11"/>
      <c r="AM59" s="11">
        <f t="shared" si="29"/>
        <v>2000000</v>
      </c>
      <c r="AN59" s="19">
        <v>2000000</v>
      </c>
      <c r="AO59" s="11">
        <f t="shared" si="30"/>
        <v>0</v>
      </c>
      <c r="AP59" s="11"/>
      <c r="AQ59" s="19">
        <v>2000000</v>
      </c>
      <c r="AR59" s="19">
        <f t="shared" si="31"/>
        <v>0</v>
      </c>
      <c r="AS59" s="19">
        <f t="shared" si="32"/>
        <v>0</v>
      </c>
      <c r="AT59" s="19">
        <v>2200000</v>
      </c>
      <c r="AU59" s="19">
        <f t="shared" si="33"/>
        <v>200000</v>
      </c>
      <c r="AV59" s="19">
        <f t="shared" si="34"/>
        <v>200000</v>
      </c>
      <c r="AW59" s="19">
        <f t="shared" si="35"/>
        <v>200000</v>
      </c>
      <c r="AX59" s="19"/>
      <c r="AY59" s="19">
        <v>2000000</v>
      </c>
      <c r="AZ59" s="19">
        <f t="shared" si="36"/>
        <v>0</v>
      </c>
      <c r="BA59" s="19">
        <f t="shared" si="37"/>
        <v>0</v>
      </c>
      <c r="BB59" s="19">
        <f t="shared" si="38"/>
        <v>-200000</v>
      </c>
      <c r="BC59" s="66"/>
      <c r="BD59" s="19">
        <v>2000000</v>
      </c>
      <c r="BE59" s="19">
        <f t="shared" si="39"/>
        <v>0</v>
      </c>
      <c r="BF59" s="19">
        <f t="shared" si="40"/>
        <v>0</v>
      </c>
      <c r="BG59" s="19">
        <f t="shared" si="41"/>
        <v>-200000</v>
      </c>
      <c r="BH59" s="19">
        <f t="shared" si="42"/>
        <v>0</v>
      </c>
      <c r="BI59" s="73"/>
      <c r="BJ59" s="19">
        <v>2000000</v>
      </c>
      <c r="BK59" s="12"/>
      <c r="BL59" s="19">
        <f t="shared" si="43"/>
        <v>2000000</v>
      </c>
      <c r="BM59" s="20"/>
      <c r="BN59" s="19">
        <f t="shared" si="44"/>
        <v>2000000</v>
      </c>
      <c r="BO59" s="12">
        <f t="shared" si="105"/>
        <v>0</v>
      </c>
      <c r="BP59" s="19">
        <f t="shared" si="106"/>
        <v>0</v>
      </c>
      <c r="BQ59" s="19">
        <f t="shared" si="107"/>
        <v>-200000</v>
      </c>
      <c r="BR59" s="19">
        <f t="shared" si="108"/>
        <v>0</v>
      </c>
      <c r="BS59" s="19">
        <f t="shared" si="109"/>
        <v>0</v>
      </c>
      <c r="BT59" s="73"/>
      <c r="BU59" s="80"/>
      <c r="BV59" s="78">
        <f t="shared" si="45"/>
        <v>2000000</v>
      </c>
      <c r="BW59" s="78"/>
      <c r="BX59" s="78">
        <f t="shared" si="46"/>
        <v>2000000</v>
      </c>
      <c r="BY59" s="78"/>
      <c r="BZ59" s="93">
        <v>2000000</v>
      </c>
      <c r="CA59" s="93">
        <v>2000000</v>
      </c>
      <c r="CB59" s="88">
        <f t="shared" si="128"/>
        <v>0</v>
      </c>
      <c r="CC59" s="80"/>
      <c r="CD59" s="65">
        <v>2000000</v>
      </c>
      <c r="CE59" s="93">
        <f t="shared" ref="CE59:CE65" si="136">CD59-BZ59</f>
        <v>0</v>
      </c>
      <c r="CF59" s="93">
        <f t="shared" ref="CF59:CF65" si="137">CD59-CA59</f>
        <v>0</v>
      </c>
      <c r="CG59" s="80"/>
      <c r="CH59" s="65">
        <v>2000000</v>
      </c>
      <c r="CI59" s="93">
        <f t="shared" si="50"/>
        <v>0</v>
      </c>
      <c r="CJ59" s="93">
        <f t="shared" si="51"/>
        <v>0</v>
      </c>
      <c r="CK59" s="93">
        <f t="shared" si="52"/>
        <v>0</v>
      </c>
      <c r="CL59" s="80"/>
      <c r="CM59" s="65">
        <v>2000000</v>
      </c>
      <c r="CN59" s="93">
        <f t="shared" si="82"/>
        <v>0</v>
      </c>
      <c r="CO59" s="93">
        <f t="shared" si="53"/>
        <v>0</v>
      </c>
      <c r="CP59" s="93">
        <f t="shared" si="54"/>
        <v>0</v>
      </c>
      <c r="CQ59" s="80"/>
      <c r="CR59" s="65">
        <v>2000000</v>
      </c>
      <c r="CS59" s="93">
        <f t="shared" si="55"/>
        <v>0</v>
      </c>
      <c r="CT59" s="93">
        <f t="shared" si="56"/>
        <v>0</v>
      </c>
      <c r="CU59" s="93">
        <f t="shared" si="57"/>
        <v>0</v>
      </c>
      <c r="CV59" s="93">
        <f t="shared" si="58"/>
        <v>0</v>
      </c>
      <c r="CW59" s="80"/>
      <c r="CX59" s="65">
        <v>1750000</v>
      </c>
      <c r="CY59" s="93">
        <f t="shared" si="99"/>
        <v>-250000</v>
      </c>
      <c r="CZ59" s="93">
        <f t="shared" si="110"/>
        <v>-250000</v>
      </c>
      <c r="DA59" s="93">
        <f t="shared" si="111"/>
        <v>-250000</v>
      </c>
      <c r="DB59" s="93">
        <f t="shared" si="112"/>
        <v>-250000</v>
      </c>
      <c r="DC59" s="80"/>
      <c r="DD59" s="65">
        <v>1750000</v>
      </c>
      <c r="DE59" s="93">
        <f t="shared" si="113"/>
        <v>-250000</v>
      </c>
      <c r="DF59" s="93">
        <f t="shared" si="114"/>
        <v>-250000</v>
      </c>
      <c r="DG59" s="93">
        <f t="shared" si="59"/>
        <v>0</v>
      </c>
      <c r="DH59" s="80"/>
      <c r="DI59" s="65">
        <v>1750000</v>
      </c>
      <c r="DJ59" s="128"/>
      <c r="DK59" s="130"/>
      <c r="DL59" s="93">
        <f t="shared" si="129"/>
        <v>1750000</v>
      </c>
      <c r="DM59" s="127">
        <f t="shared" si="130"/>
        <v>-250000</v>
      </c>
      <c r="DN59" s="148">
        <v>1750000</v>
      </c>
      <c r="DO59" s="22">
        <f t="shared" si="60"/>
        <v>0</v>
      </c>
      <c r="DP59" s="80"/>
      <c r="DQ59" s="145">
        <v>1750000</v>
      </c>
      <c r="DR59" s="145">
        <v>250000</v>
      </c>
      <c r="DS59" s="148">
        <f t="shared" si="92"/>
        <v>2000000</v>
      </c>
      <c r="DT59" s="24">
        <f t="shared" si="61"/>
        <v>0</v>
      </c>
      <c r="DU59" s="22">
        <f t="shared" si="62"/>
        <v>0</v>
      </c>
      <c r="DV59" s="22">
        <f t="shared" si="63"/>
        <v>250000</v>
      </c>
      <c r="DW59" s="22">
        <f t="shared" si="64"/>
        <v>250000</v>
      </c>
      <c r="DX59" s="80"/>
      <c r="DY59" s="157"/>
      <c r="DZ59" s="148">
        <v>2400000</v>
      </c>
      <c r="EA59" s="24">
        <f t="shared" si="93"/>
        <v>-2000000</v>
      </c>
      <c r="EB59" s="22">
        <f t="shared" si="94"/>
        <v>0</v>
      </c>
      <c r="EC59" s="22">
        <f t="shared" si="67"/>
        <v>650000</v>
      </c>
      <c r="ED59" s="22">
        <f t="shared" si="116"/>
        <v>650000</v>
      </c>
      <c r="EE59" s="22">
        <f t="shared" si="117"/>
        <v>400000</v>
      </c>
      <c r="EF59" s="164"/>
      <c r="EG59" s="172"/>
      <c r="EH59" s="148">
        <f t="shared" si="70"/>
        <v>2400000</v>
      </c>
      <c r="EI59" s="24">
        <f t="shared" si="95"/>
        <v>-2000000</v>
      </c>
      <c r="EJ59" s="22">
        <f t="shared" si="96"/>
        <v>400000</v>
      </c>
      <c r="EK59" s="22">
        <f t="shared" si="73"/>
        <v>650000</v>
      </c>
      <c r="EL59" s="22">
        <f t="shared" si="74"/>
        <v>650000</v>
      </c>
      <c r="EM59" s="22">
        <f t="shared" si="75"/>
        <v>400000</v>
      </c>
      <c r="EN59" s="22">
        <f t="shared" si="76"/>
        <v>0</v>
      </c>
      <c r="EO59" s="164"/>
      <c r="EP59" s="145">
        <v>2400000</v>
      </c>
      <c r="EQ59" s="148">
        <v>2400000</v>
      </c>
      <c r="ER59" s="148"/>
      <c r="ES59" s="148">
        <f t="shared" si="77"/>
        <v>2400000</v>
      </c>
      <c r="ET59" s="22">
        <f t="shared" si="78"/>
        <v>650000</v>
      </c>
      <c r="EU59" s="22">
        <f t="shared" si="79"/>
        <v>650000</v>
      </c>
      <c r="EV59" s="159"/>
      <c r="EW59" s="201"/>
      <c r="EX59" s="148">
        <v>2400000</v>
      </c>
      <c r="EY59" s="5">
        <f t="shared" si="80"/>
        <v>0</v>
      </c>
      <c r="EZ59" s="80"/>
      <c r="FA59" s="145">
        <v>2400000</v>
      </c>
      <c r="FB59" s="5">
        <f t="shared" si="103"/>
        <v>0</v>
      </c>
      <c r="FC59" s="5">
        <f t="shared" si="1"/>
        <v>0</v>
      </c>
      <c r="FD59" s="80"/>
    </row>
    <row r="60" spans="1:160" ht="12.75" x14ac:dyDescent="0.2">
      <c r="A60" s="8" t="s">
        <v>13</v>
      </c>
      <c r="B60" s="9"/>
      <c r="C60" s="26" t="s">
        <v>90</v>
      </c>
      <c r="D60" s="20">
        <v>394000</v>
      </c>
      <c r="E60" s="20">
        <v>394000</v>
      </c>
      <c r="F60" s="5">
        <f t="shared" si="17"/>
        <v>0</v>
      </c>
      <c r="G60" s="22">
        <v>400000</v>
      </c>
      <c r="H60" s="5">
        <f t="shared" si="18"/>
        <v>6000</v>
      </c>
      <c r="I60" s="5">
        <f>G60-E60</f>
        <v>6000</v>
      </c>
      <c r="J60" s="31"/>
      <c r="K60" s="19">
        <v>500000</v>
      </c>
      <c r="L60" s="11">
        <f t="shared" si="19"/>
        <v>106000</v>
      </c>
      <c r="M60" s="11">
        <f>K60-E60</f>
        <v>106000</v>
      </c>
      <c r="N60" s="11">
        <f t="shared" si="20"/>
        <v>100000</v>
      </c>
      <c r="O60" s="19">
        <v>500000</v>
      </c>
      <c r="P60" s="11">
        <f t="shared" si="21"/>
        <v>106000</v>
      </c>
      <c r="Q60" s="11">
        <f>O60-E60</f>
        <v>106000</v>
      </c>
      <c r="R60" s="11">
        <f t="shared" si="22"/>
        <v>0</v>
      </c>
      <c r="S60" s="19">
        <v>500000</v>
      </c>
      <c r="T60" s="11">
        <f t="shared" si="23"/>
        <v>106000</v>
      </c>
      <c r="U60" s="11">
        <f t="shared" si="131"/>
        <v>106000</v>
      </c>
      <c r="V60" s="11">
        <f t="shared" si="81"/>
        <v>0</v>
      </c>
      <c r="W60" s="11">
        <f t="shared" si="24"/>
        <v>0</v>
      </c>
      <c r="X60" s="19">
        <v>500000</v>
      </c>
      <c r="Y60" s="11">
        <f t="shared" si="132"/>
        <v>106000</v>
      </c>
      <c r="Z60" s="11">
        <f t="shared" si="133"/>
        <v>106000</v>
      </c>
      <c r="AA60" s="11">
        <f t="shared" si="25"/>
        <v>0</v>
      </c>
      <c r="AB60" s="11">
        <f t="shared" si="26"/>
        <v>0</v>
      </c>
      <c r="AC60" s="19">
        <v>500000</v>
      </c>
      <c r="AD60" s="11">
        <f t="shared" si="134"/>
        <v>106000</v>
      </c>
      <c r="AE60" s="11">
        <f t="shared" si="27"/>
        <v>0</v>
      </c>
      <c r="AF60" s="11">
        <f t="shared" si="127"/>
        <v>0</v>
      </c>
      <c r="AG60" s="19">
        <v>500000</v>
      </c>
      <c r="AH60" s="11">
        <f t="shared" si="135"/>
        <v>106000</v>
      </c>
      <c r="AI60" s="11"/>
      <c r="AJ60" s="11">
        <f t="shared" si="28"/>
        <v>500000</v>
      </c>
      <c r="AK60" s="11"/>
      <c r="AL60" s="11"/>
      <c r="AM60" s="11">
        <f t="shared" si="29"/>
        <v>500000</v>
      </c>
      <c r="AN60" s="19">
        <v>500000</v>
      </c>
      <c r="AO60" s="11">
        <f t="shared" si="30"/>
        <v>0</v>
      </c>
      <c r="AP60" s="11"/>
      <c r="AQ60" s="19">
        <v>400000</v>
      </c>
      <c r="AR60" s="19">
        <f t="shared" si="31"/>
        <v>-100000</v>
      </c>
      <c r="AS60" s="19">
        <f t="shared" si="32"/>
        <v>-100000</v>
      </c>
      <c r="AT60" s="19">
        <v>500000</v>
      </c>
      <c r="AU60" s="19">
        <f t="shared" si="33"/>
        <v>0</v>
      </c>
      <c r="AV60" s="19">
        <f t="shared" si="34"/>
        <v>0</v>
      </c>
      <c r="AW60" s="19">
        <f t="shared" si="35"/>
        <v>100000</v>
      </c>
      <c r="AX60" s="19"/>
      <c r="AY60" s="19">
        <v>750000</v>
      </c>
      <c r="AZ60" s="19">
        <f t="shared" si="36"/>
        <v>250000</v>
      </c>
      <c r="BA60" s="19">
        <f t="shared" si="37"/>
        <v>250000</v>
      </c>
      <c r="BB60" s="19">
        <f t="shared" si="38"/>
        <v>250000</v>
      </c>
      <c r="BC60" s="66"/>
      <c r="BD60" s="19">
        <v>750000</v>
      </c>
      <c r="BE60" s="19">
        <f t="shared" si="39"/>
        <v>250000</v>
      </c>
      <c r="BF60" s="19">
        <f t="shared" si="40"/>
        <v>250000</v>
      </c>
      <c r="BG60" s="19">
        <f t="shared" si="41"/>
        <v>250000</v>
      </c>
      <c r="BH60" s="19">
        <f t="shared" si="42"/>
        <v>0</v>
      </c>
      <c r="BI60" s="73"/>
      <c r="BJ60" s="19">
        <v>500000</v>
      </c>
      <c r="BK60" s="12"/>
      <c r="BL60" s="19">
        <f t="shared" si="43"/>
        <v>500000</v>
      </c>
      <c r="BM60" s="20"/>
      <c r="BN60" s="19">
        <f t="shared" si="44"/>
        <v>500000</v>
      </c>
      <c r="BO60" s="12">
        <f t="shared" si="105"/>
        <v>0</v>
      </c>
      <c r="BP60" s="19">
        <f t="shared" si="106"/>
        <v>0</v>
      </c>
      <c r="BQ60" s="19">
        <f t="shared" si="107"/>
        <v>0</v>
      </c>
      <c r="BR60" s="19">
        <f t="shared" si="108"/>
        <v>-250000</v>
      </c>
      <c r="BS60" s="19">
        <f t="shared" si="109"/>
        <v>0</v>
      </c>
      <c r="BT60" s="73"/>
      <c r="BU60" s="80"/>
      <c r="BV60" s="78">
        <f t="shared" si="45"/>
        <v>500000</v>
      </c>
      <c r="BW60" s="78"/>
      <c r="BX60" s="78">
        <f t="shared" si="46"/>
        <v>500000</v>
      </c>
      <c r="BY60" s="78"/>
      <c r="BZ60" s="93">
        <v>500000</v>
      </c>
      <c r="CA60" s="93">
        <v>500000</v>
      </c>
      <c r="CB60" s="88">
        <f t="shared" si="128"/>
        <v>0</v>
      </c>
      <c r="CC60" s="80"/>
      <c r="CD60" s="65">
        <v>400000</v>
      </c>
      <c r="CE60" s="93">
        <f t="shared" si="136"/>
        <v>-100000</v>
      </c>
      <c r="CF60" s="93">
        <f t="shared" si="137"/>
        <v>-100000</v>
      </c>
      <c r="CG60" s="80"/>
      <c r="CH60" s="65">
        <f>400000+100000</f>
        <v>500000</v>
      </c>
      <c r="CI60" s="93">
        <f t="shared" si="50"/>
        <v>0</v>
      </c>
      <c r="CJ60" s="93">
        <f t="shared" si="51"/>
        <v>0</v>
      </c>
      <c r="CK60" s="93">
        <f t="shared" si="52"/>
        <v>100000</v>
      </c>
      <c r="CL60" s="80"/>
      <c r="CM60" s="65">
        <v>600000</v>
      </c>
      <c r="CN60" s="93">
        <f t="shared" si="82"/>
        <v>100000</v>
      </c>
      <c r="CO60" s="93">
        <f t="shared" si="53"/>
        <v>100000</v>
      </c>
      <c r="CP60" s="93">
        <f t="shared" si="54"/>
        <v>100000</v>
      </c>
      <c r="CQ60" s="80"/>
      <c r="CR60" s="65">
        <v>600000</v>
      </c>
      <c r="CS60" s="93">
        <f t="shared" si="55"/>
        <v>100000</v>
      </c>
      <c r="CT60" s="93">
        <f t="shared" si="56"/>
        <v>100000</v>
      </c>
      <c r="CU60" s="93">
        <f t="shared" si="57"/>
        <v>100000</v>
      </c>
      <c r="CV60" s="93">
        <f t="shared" si="58"/>
        <v>0</v>
      </c>
      <c r="CW60" s="80"/>
      <c r="CX60" s="65">
        <v>475000</v>
      </c>
      <c r="CY60" s="93">
        <f t="shared" si="99"/>
        <v>-25000</v>
      </c>
      <c r="CZ60" s="93">
        <f t="shared" si="110"/>
        <v>-25000</v>
      </c>
      <c r="DA60" s="93">
        <f t="shared" si="111"/>
        <v>-25000</v>
      </c>
      <c r="DB60" s="93">
        <f t="shared" si="112"/>
        <v>-125000</v>
      </c>
      <c r="DC60" s="80"/>
      <c r="DD60" s="65">
        <v>475000</v>
      </c>
      <c r="DE60" s="93">
        <f t="shared" si="113"/>
        <v>-25000</v>
      </c>
      <c r="DF60" s="93">
        <f t="shared" si="114"/>
        <v>-25000</v>
      </c>
      <c r="DG60" s="93">
        <f t="shared" si="59"/>
        <v>0</v>
      </c>
      <c r="DH60" s="80"/>
      <c r="DI60" s="65">
        <v>475000</v>
      </c>
      <c r="DJ60" s="128"/>
      <c r="DK60" s="130"/>
      <c r="DL60" s="93">
        <f t="shared" si="129"/>
        <v>475000</v>
      </c>
      <c r="DM60" s="127">
        <f t="shared" si="130"/>
        <v>-25000</v>
      </c>
      <c r="DN60" s="148">
        <v>475000</v>
      </c>
      <c r="DO60" s="22">
        <f t="shared" si="60"/>
        <v>0</v>
      </c>
      <c r="DP60" s="80"/>
      <c r="DQ60" s="145">
        <v>750000</v>
      </c>
      <c r="DR60" s="145"/>
      <c r="DS60" s="148">
        <f t="shared" si="92"/>
        <v>750000</v>
      </c>
      <c r="DT60" s="24">
        <f t="shared" si="61"/>
        <v>275000</v>
      </c>
      <c r="DU60" s="22">
        <f t="shared" si="62"/>
        <v>275000</v>
      </c>
      <c r="DV60" s="22">
        <f t="shared" si="63"/>
        <v>275000</v>
      </c>
      <c r="DW60" s="22">
        <f t="shared" si="64"/>
        <v>275000</v>
      </c>
      <c r="DX60" s="80"/>
      <c r="DY60" s="157"/>
      <c r="DZ60" s="148">
        <v>475000</v>
      </c>
      <c r="EA60" s="24">
        <f t="shared" si="93"/>
        <v>-750000</v>
      </c>
      <c r="EB60" s="22">
        <f t="shared" si="94"/>
        <v>-275000</v>
      </c>
      <c r="EC60" s="22">
        <f t="shared" si="67"/>
        <v>0</v>
      </c>
      <c r="ED60" s="22">
        <f t="shared" si="116"/>
        <v>0</v>
      </c>
      <c r="EE60" s="22">
        <f t="shared" si="117"/>
        <v>-275000</v>
      </c>
      <c r="EF60" s="164"/>
      <c r="EG60" s="172">
        <f>750000-475000</f>
        <v>275000</v>
      </c>
      <c r="EH60" s="148">
        <f t="shared" si="70"/>
        <v>750000</v>
      </c>
      <c r="EI60" s="24">
        <f t="shared" si="95"/>
        <v>-750000</v>
      </c>
      <c r="EJ60" s="22">
        <f t="shared" si="96"/>
        <v>0</v>
      </c>
      <c r="EK60" s="22">
        <f t="shared" si="73"/>
        <v>275000</v>
      </c>
      <c r="EL60" s="22">
        <f t="shared" si="74"/>
        <v>275000</v>
      </c>
      <c r="EM60" s="22">
        <f t="shared" si="75"/>
        <v>0</v>
      </c>
      <c r="EN60" s="22">
        <f t="shared" si="76"/>
        <v>275000</v>
      </c>
      <c r="EO60" s="159" t="s">
        <v>581</v>
      </c>
      <c r="EP60" s="145">
        <v>750000</v>
      </c>
      <c r="EQ60" s="148">
        <v>750000</v>
      </c>
      <c r="ER60" s="148"/>
      <c r="ES60" s="148">
        <f t="shared" si="77"/>
        <v>750000</v>
      </c>
      <c r="ET60" s="22">
        <f t="shared" si="78"/>
        <v>275000</v>
      </c>
      <c r="EU60" s="22">
        <f t="shared" si="79"/>
        <v>275000</v>
      </c>
      <c r="EV60" s="159"/>
      <c r="EW60" s="201"/>
      <c r="EX60" s="148">
        <v>750000</v>
      </c>
      <c r="EY60" s="5">
        <f t="shared" si="80"/>
        <v>0</v>
      </c>
      <c r="EZ60" s="80"/>
      <c r="FA60" s="145">
        <v>1000000</v>
      </c>
      <c r="FB60" s="5">
        <f t="shared" si="103"/>
        <v>250000</v>
      </c>
      <c r="FC60" s="5">
        <f t="shared" si="1"/>
        <v>250000</v>
      </c>
      <c r="FD60" s="80"/>
    </row>
    <row r="61" spans="1:160" ht="12.75" hidden="1" x14ac:dyDescent="0.2">
      <c r="A61" s="8" t="s">
        <v>33</v>
      </c>
      <c r="B61" s="9"/>
      <c r="C61" s="27" t="s">
        <v>58</v>
      </c>
      <c r="D61" s="20">
        <v>12000</v>
      </c>
      <c r="E61" s="20">
        <v>0</v>
      </c>
      <c r="F61" s="5">
        <f t="shared" si="17"/>
        <v>-12000</v>
      </c>
      <c r="G61" s="22">
        <v>0</v>
      </c>
      <c r="H61" s="5">
        <f t="shared" si="18"/>
        <v>-12000</v>
      </c>
      <c r="I61" s="5">
        <f>G61-E61</f>
        <v>0</v>
      </c>
      <c r="J61" s="31"/>
      <c r="K61" s="19">
        <v>0</v>
      </c>
      <c r="L61" s="11">
        <f t="shared" si="19"/>
        <v>-12000</v>
      </c>
      <c r="M61" s="11">
        <f>K61-E61</f>
        <v>0</v>
      </c>
      <c r="N61" s="11">
        <f t="shared" si="20"/>
        <v>0</v>
      </c>
      <c r="O61" s="19">
        <v>200000</v>
      </c>
      <c r="P61" s="11">
        <f t="shared" si="21"/>
        <v>188000</v>
      </c>
      <c r="Q61" s="11">
        <f>O61-E61</f>
        <v>200000</v>
      </c>
      <c r="R61" s="11">
        <f t="shared" si="22"/>
        <v>200000</v>
      </c>
      <c r="S61" s="19">
        <v>200000</v>
      </c>
      <c r="T61" s="11">
        <f t="shared" si="23"/>
        <v>188000</v>
      </c>
      <c r="U61" s="11">
        <f t="shared" si="131"/>
        <v>200000</v>
      </c>
      <c r="V61" s="11">
        <f t="shared" si="81"/>
        <v>200000</v>
      </c>
      <c r="W61" s="11">
        <f t="shared" si="24"/>
        <v>0</v>
      </c>
      <c r="X61" s="19">
        <v>200000</v>
      </c>
      <c r="Y61" s="11">
        <f t="shared" si="132"/>
        <v>188000</v>
      </c>
      <c r="Z61" s="11">
        <f t="shared" si="133"/>
        <v>200000</v>
      </c>
      <c r="AA61" s="11">
        <f t="shared" si="25"/>
        <v>200000</v>
      </c>
      <c r="AB61" s="11">
        <f t="shared" si="26"/>
        <v>0</v>
      </c>
      <c r="AC61" s="19">
        <v>200000</v>
      </c>
      <c r="AD61" s="11">
        <f t="shared" si="134"/>
        <v>188000</v>
      </c>
      <c r="AE61" s="11">
        <f t="shared" si="27"/>
        <v>0</v>
      </c>
      <c r="AF61" s="11">
        <f t="shared" si="127"/>
        <v>0</v>
      </c>
      <c r="AG61" s="19">
        <v>200000</v>
      </c>
      <c r="AH61" s="11">
        <f t="shared" si="135"/>
        <v>188000</v>
      </c>
      <c r="AI61" s="11"/>
      <c r="AJ61" s="11">
        <f t="shared" si="28"/>
        <v>200000</v>
      </c>
      <c r="AK61" s="11"/>
      <c r="AL61" s="11"/>
      <c r="AM61" s="11">
        <f t="shared" si="29"/>
        <v>200000</v>
      </c>
      <c r="AN61" s="19">
        <v>0</v>
      </c>
      <c r="AO61" s="11">
        <f t="shared" si="30"/>
        <v>-200000</v>
      </c>
      <c r="AP61" s="11"/>
      <c r="AQ61" s="19">
        <v>0</v>
      </c>
      <c r="AR61" s="19">
        <f t="shared" si="31"/>
        <v>-200000</v>
      </c>
      <c r="AS61" s="19">
        <f t="shared" si="32"/>
        <v>0</v>
      </c>
      <c r="AT61" s="19">
        <v>0</v>
      </c>
      <c r="AU61" s="19">
        <f t="shared" si="33"/>
        <v>-200000</v>
      </c>
      <c r="AV61" s="19">
        <f t="shared" si="34"/>
        <v>0</v>
      </c>
      <c r="AW61" s="19">
        <f t="shared" si="35"/>
        <v>0</v>
      </c>
      <c r="AX61" s="19"/>
      <c r="AY61" s="19">
        <v>0</v>
      </c>
      <c r="AZ61" s="19">
        <f t="shared" si="36"/>
        <v>-200000</v>
      </c>
      <c r="BA61" s="19">
        <f t="shared" si="37"/>
        <v>0</v>
      </c>
      <c r="BB61" s="19">
        <f t="shared" si="38"/>
        <v>0</v>
      </c>
      <c r="BC61" s="66"/>
      <c r="BD61" s="19">
        <v>0</v>
      </c>
      <c r="BE61" s="19">
        <f t="shared" si="39"/>
        <v>-200000</v>
      </c>
      <c r="BF61" s="19">
        <f t="shared" si="40"/>
        <v>0</v>
      </c>
      <c r="BG61" s="19">
        <f t="shared" si="41"/>
        <v>0</v>
      </c>
      <c r="BH61" s="19">
        <f t="shared" si="42"/>
        <v>0</v>
      </c>
      <c r="BI61" s="73"/>
      <c r="BJ61" s="19">
        <v>0</v>
      </c>
      <c r="BK61" s="12"/>
      <c r="BL61" s="19">
        <f t="shared" si="43"/>
        <v>0</v>
      </c>
      <c r="BM61" s="20"/>
      <c r="BN61" s="19">
        <f t="shared" si="44"/>
        <v>0</v>
      </c>
      <c r="BO61" s="12">
        <f t="shared" si="105"/>
        <v>-200000</v>
      </c>
      <c r="BP61" s="19">
        <f t="shared" si="106"/>
        <v>0</v>
      </c>
      <c r="BQ61" s="19">
        <f t="shared" si="107"/>
        <v>0</v>
      </c>
      <c r="BR61" s="19">
        <f t="shared" si="108"/>
        <v>0</v>
      </c>
      <c r="BS61" s="19">
        <f t="shared" si="109"/>
        <v>0</v>
      </c>
      <c r="BT61" s="73"/>
      <c r="BU61" s="80"/>
      <c r="BV61" s="78">
        <f t="shared" si="45"/>
        <v>0</v>
      </c>
      <c r="BW61" s="78"/>
      <c r="BX61" s="78">
        <f t="shared" si="46"/>
        <v>0</v>
      </c>
      <c r="BY61" s="78"/>
      <c r="CA61" s="93">
        <v>0</v>
      </c>
      <c r="CB61" s="88">
        <f>CA61-BZ64</f>
        <v>-110000</v>
      </c>
      <c r="CC61" s="80"/>
      <c r="CD61" s="65">
        <v>0</v>
      </c>
      <c r="CE61" s="93">
        <f t="shared" si="136"/>
        <v>0</v>
      </c>
      <c r="CF61" s="93">
        <f t="shared" si="137"/>
        <v>0</v>
      </c>
      <c r="CG61" s="80"/>
      <c r="CH61" s="65">
        <v>0</v>
      </c>
      <c r="CI61" s="93">
        <f t="shared" si="50"/>
        <v>0</v>
      </c>
      <c r="CJ61" s="93">
        <f t="shared" si="51"/>
        <v>0</v>
      </c>
      <c r="CK61" s="93">
        <f t="shared" si="52"/>
        <v>0</v>
      </c>
      <c r="CL61" s="80"/>
      <c r="CM61" s="65"/>
      <c r="CN61" s="93">
        <f t="shared" si="82"/>
        <v>0</v>
      </c>
      <c r="CO61" s="93">
        <f t="shared" si="53"/>
        <v>0</v>
      </c>
      <c r="CP61" s="93">
        <f t="shared" si="54"/>
        <v>0</v>
      </c>
      <c r="CQ61" s="80"/>
      <c r="CR61" s="65"/>
      <c r="CS61" s="93">
        <f t="shared" si="55"/>
        <v>0</v>
      </c>
      <c r="CT61" s="93">
        <f t="shared" si="56"/>
        <v>0</v>
      </c>
      <c r="CU61" s="93">
        <f t="shared" si="57"/>
        <v>0</v>
      </c>
      <c r="CV61" s="93">
        <f t="shared" si="58"/>
        <v>0</v>
      </c>
      <c r="CW61" s="80"/>
      <c r="CX61" s="65"/>
      <c r="CY61" s="93">
        <f t="shared" si="99"/>
        <v>0</v>
      </c>
      <c r="CZ61" s="93">
        <f t="shared" si="110"/>
        <v>0</v>
      </c>
      <c r="DA61" s="93">
        <f t="shared" si="111"/>
        <v>0</v>
      </c>
      <c r="DB61" s="93">
        <f t="shared" si="112"/>
        <v>0</v>
      </c>
      <c r="DC61" s="80"/>
      <c r="DD61" s="65"/>
      <c r="DE61" s="93">
        <f t="shared" si="113"/>
        <v>0</v>
      </c>
      <c r="DF61" s="93">
        <f t="shared" si="114"/>
        <v>0</v>
      </c>
      <c r="DG61" s="93">
        <f t="shared" si="59"/>
        <v>0</v>
      </c>
      <c r="DH61" s="80"/>
      <c r="DI61" s="65"/>
      <c r="DJ61" s="80"/>
      <c r="DK61" s="96"/>
      <c r="DL61" s="93">
        <f t="shared" si="129"/>
        <v>0</v>
      </c>
      <c r="DM61" s="127">
        <f t="shared" si="130"/>
        <v>0</v>
      </c>
      <c r="DN61" s="148">
        <v>0</v>
      </c>
      <c r="DO61" s="22">
        <f t="shared" si="60"/>
        <v>0</v>
      </c>
      <c r="DP61" s="80"/>
      <c r="DQ61" s="145"/>
      <c r="DR61" s="145"/>
      <c r="DS61" s="148">
        <f t="shared" si="92"/>
        <v>0</v>
      </c>
      <c r="DT61" s="24">
        <f t="shared" si="61"/>
        <v>0</v>
      </c>
      <c r="DU61" s="22">
        <f t="shared" si="62"/>
        <v>0</v>
      </c>
      <c r="DV61" s="22">
        <f t="shared" si="63"/>
        <v>0</v>
      </c>
      <c r="DW61" s="22">
        <f t="shared" si="64"/>
        <v>0</v>
      </c>
      <c r="DX61" s="80"/>
      <c r="DY61" s="157"/>
      <c r="DZ61" s="148"/>
      <c r="EA61" s="24">
        <f t="shared" si="93"/>
        <v>0</v>
      </c>
      <c r="EB61" s="22">
        <f t="shared" si="94"/>
        <v>0</v>
      </c>
      <c r="EC61" s="22">
        <f t="shared" si="67"/>
        <v>0</v>
      </c>
      <c r="ED61" s="22">
        <f t="shared" si="116"/>
        <v>0</v>
      </c>
      <c r="EE61" s="22">
        <f t="shared" si="117"/>
        <v>0</v>
      </c>
      <c r="EF61" s="164"/>
      <c r="EG61" s="172"/>
      <c r="EH61" s="148">
        <f t="shared" si="70"/>
        <v>0</v>
      </c>
      <c r="EI61" s="24">
        <f t="shared" si="95"/>
        <v>0</v>
      </c>
      <c r="EJ61" s="22">
        <f t="shared" si="96"/>
        <v>0</v>
      </c>
      <c r="EK61" s="22">
        <f t="shared" si="73"/>
        <v>0</v>
      </c>
      <c r="EL61" s="22">
        <f t="shared" si="74"/>
        <v>0</v>
      </c>
      <c r="EM61" s="22">
        <f t="shared" si="75"/>
        <v>0</v>
      </c>
      <c r="EN61" s="22">
        <f t="shared" si="76"/>
        <v>0</v>
      </c>
      <c r="EO61" s="164"/>
      <c r="EP61" s="145"/>
      <c r="EQ61" s="148"/>
      <c r="ER61" s="148"/>
      <c r="ES61" s="148">
        <f t="shared" si="77"/>
        <v>0</v>
      </c>
      <c r="ET61" s="22">
        <f t="shared" si="78"/>
        <v>0</v>
      </c>
      <c r="EU61" s="22">
        <f t="shared" si="79"/>
        <v>0</v>
      </c>
      <c r="EV61" s="159"/>
      <c r="EW61" s="201"/>
      <c r="EX61" s="148">
        <v>0</v>
      </c>
      <c r="EY61" s="5">
        <f t="shared" si="80"/>
        <v>0</v>
      </c>
      <c r="EZ61" s="80"/>
      <c r="FA61" s="145"/>
      <c r="FB61" s="5">
        <f t="shared" si="103"/>
        <v>0</v>
      </c>
      <c r="FC61" s="5">
        <f t="shared" si="1"/>
        <v>0</v>
      </c>
      <c r="FD61" s="80"/>
    </row>
    <row r="62" spans="1:160" ht="12.75" x14ac:dyDescent="0.2">
      <c r="A62" s="21" t="s">
        <v>745</v>
      </c>
      <c r="B62" s="9"/>
      <c r="C62" s="26" t="s">
        <v>714</v>
      </c>
      <c r="D62" s="104"/>
      <c r="E62" s="104"/>
      <c r="F62" s="5"/>
      <c r="G62" s="22"/>
      <c r="H62" s="5"/>
      <c r="I62" s="5"/>
      <c r="J62" s="31"/>
      <c r="K62" s="102"/>
      <c r="L62" s="11"/>
      <c r="M62" s="11"/>
      <c r="N62" s="11"/>
      <c r="O62" s="102"/>
      <c r="P62" s="11"/>
      <c r="Q62" s="11"/>
      <c r="R62" s="11"/>
      <c r="S62" s="102"/>
      <c r="T62" s="11"/>
      <c r="U62" s="11"/>
      <c r="V62" s="11"/>
      <c r="W62" s="11"/>
      <c r="X62" s="102"/>
      <c r="Y62" s="11"/>
      <c r="Z62" s="11"/>
      <c r="AA62" s="11"/>
      <c r="AB62" s="11"/>
      <c r="AC62" s="102"/>
      <c r="AD62" s="11"/>
      <c r="AE62" s="11"/>
      <c r="AF62" s="11"/>
      <c r="AG62" s="102"/>
      <c r="AH62" s="11"/>
      <c r="AI62" s="11"/>
      <c r="AJ62" s="11"/>
      <c r="AK62" s="11"/>
      <c r="AL62" s="11"/>
      <c r="AM62" s="11"/>
      <c r="AN62" s="102"/>
      <c r="AO62" s="11"/>
      <c r="AP62" s="11"/>
      <c r="AQ62" s="102"/>
      <c r="AR62" s="102"/>
      <c r="AS62" s="102"/>
      <c r="AT62" s="102"/>
      <c r="AU62" s="102"/>
      <c r="AV62" s="102"/>
      <c r="AW62" s="102"/>
      <c r="AX62" s="102"/>
      <c r="AY62" s="102"/>
      <c r="AZ62" s="102"/>
      <c r="BA62" s="102"/>
      <c r="BB62" s="102"/>
      <c r="BC62" s="66"/>
      <c r="BD62" s="102"/>
      <c r="BE62" s="102"/>
      <c r="BF62" s="102"/>
      <c r="BG62" s="102"/>
      <c r="BH62" s="102"/>
      <c r="BI62" s="80"/>
      <c r="BJ62" s="102"/>
      <c r="BK62" s="103"/>
      <c r="BL62" s="102"/>
      <c r="BM62" s="104"/>
      <c r="BN62" s="102"/>
      <c r="BO62" s="103"/>
      <c r="BP62" s="102"/>
      <c r="BQ62" s="102"/>
      <c r="BR62" s="102"/>
      <c r="BS62" s="102"/>
      <c r="BT62" s="80"/>
      <c r="BU62" s="80"/>
      <c r="BV62" s="78"/>
      <c r="BW62" s="78"/>
      <c r="BX62" s="78"/>
      <c r="BY62" s="78"/>
      <c r="CA62" s="93"/>
      <c r="CB62" s="88"/>
      <c r="CC62" s="80"/>
      <c r="CD62" s="65"/>
      <c r="CE62" s="93"/>
      <c r="CF62" s="93"/>
      <c r="CG62" s="80"/>
      <c r="CH62" s="65"/>
      <c r="CI62" s="93"/>
      <c r="CJ62" s="93"/>
      <c r="CK62" s="93"/>
      <c r="CL62" s="80"/>
      <c r="CM62" s="65"/>
      <c r="CN62" s="93"/>
      <c r="CO62" s="93"/>
      <c r="CP62" s="93"/>
      <c r="CQ62" s="80"/>
      <c r="CR62" s="65"/>
      <c r="CS62" s="93"/>
      <c r="CT62" s="93"/>
      <c r="CU62" s="93"/>
      <c r="CV62" s="93"/>
      <c r="CW62" s="80"/>
      <c r="CX62" s="65"/>
      <c r="CY62" s="93"/>
      <c r="CZ62" s="93"/>
      <c r="DA62" s="93"/>
      <c r="DB62" s="93"/>
      <c r="DC62" s="80"/>
      <c r="DD62" s="65"/>
      <c r="DE62" s="93"/>
      <c r="DF62" s="93"/>
      <c r="DG62" s="93"/>
      <c r="DH62" s="80"/>
      <c r="DI62" s="65"/>
      <c r="DJ62" s="128"/>
      <c r="DK62" s="130"/>
      <c r="DL62" s="93"/>
      <c r="DM62" s="127"/>
      <c r="DN62" s="148"/>
      <c r="DO62" s="22"/>
      <c r="DP62" s="80"/>
      <c r="DQ62" s="145"/>
      <c r="DR62" s="145"/>
      <c r="DS62" s="148"/>
      <c r="DT62" s="24"/>
      <c r="DU62" s="22"/>
      <c r="DV62" s="22"/>
      <c r="DW62" s="22"/>
      <c r="DX62" s="80"/>
      <c r="DY62" s="157"/>
      <c r="DZ62" s="148"/>
      <c r="EA62" s="24"/>
      <c r="EB62" s="22"/>
      <c r="EC62" s="22"/>
      <c r="ED62" s="22"/>
      <c r="EE62" s="22"/>
      <c r="EF62" s="164"/>
      <c r="EG62" s="172"/>
      <c r="EH62" s="148"/>
      <c r="EI62" s="24"/>
      <c r="EJ62" s="22"/>
      <c r="EK62" s="22"/>
      <c r="EL62" s="22"/>
      <c r="EM62" s="22"/>
      <c r="EN62" s="22"/>
      <c r="EO62" s="164"/>
      <c r="EP62" s="145"/>
      <c r="EQ62" s="148"/>
      <c r="ER62" s="148"/>
      <c r="ES62" s="148"/>
      <c r="ET62" s="22"/>
      <c r="EU62" s="22"/>
      <c r="EV62" s="159"/>
      <c r="EW62" s="201"/>
      <c r="EX62" s="148"/>
      <c r="EY62" s="5"/>
      <c r="EZ62" s="80"/>
      <c r="FA62" s="145">
        <v>2000000</v>
      </c>
      <c r="FB62" s="5">
        <f t="shared" si="103"/>
        <v>2000000</v>
      </c>
      <c r="FC62" s="5">
        <f t="shared" si="1"/>
        <v>2000000</v>
      </c>
      <c r="FD62" s="80" t="s">
        <v>744</v>
      </c>
    </row>
    <row r="63" spans="1:160" ht="12.75" x14ac:dyDescent="0.2">
      <c r="A63" s="21" t="s">
        <v>715</v>
      </c>
      <c r="B63" s="9"/>
      <c r="C63" s="26" t="s">
        <v>716</v>
      </c>
      <c r="D63" s="104"/>
      <c r="E63" s="104"/>
      <c r="F63" s="5"/>
      <c r="G63" s="22"/>
      <c r="H63" s="5"/>
      <c r="I63" s="5"/>
      <c r="J63" s="31"/>
      <c r="K63" s="102"/>
      <c r="L63" s="11"/>
      <c r="M63" s="11"/>
      <c r="N63" s="11"/>
      <c r="O63" s="102"/>
      <c r="P63" s="11"/>
      <c r="Q63" s="11"/>
      <c r="R63" s="11"/>
      <c r="S63" s="102"/>
      <c r="T63" s="11"/>
      <c r="U63" s="11"/>
      <c r="V63" s="11"/>
      <c r="W63" s="11"/>
      <c r="X63" s="102"/>
      <c r="Y63" s="11"/>
      <c r="Z63" s="11"/>
      <c r="AA63" s="11"/>
      <c r="AB63" s="11"/>
      <c r="AC63" s="102"/>
      <c r="AD63" s="11"/>
      <c r="AE63" s="11"/>
      <c r="AF63" s="11"/>
      <c r="AG63" s="102"/>
      <c r="AH63" s="11"/>
      <c r="AI63" s="11"/>
      <c r="AJ63" s="11"/>
      <c r="AK63" s="11"/>
      <c r="AL63" s="11"/>
      <c r="AM63" s="11"/>
      <c r="AN63" s="102"/>
      <c r="AO63" s="11"/>
      <c r="AP63" s="11"/>
      <c r="AQ63" s="102"/>
      <c r="AR63" s="102"/>
      <c r="AS63" s="102"/>
      <c r="AT63" s="102"/>
      <c r="AU63" s="102"/>
      <c r="AV63" s="102"/>
      <c r="AW63" s="102"/>
      <c r="AX63" s="102"/>
      <c r="AY63" s="102"/>
      <c r="AZ63" s="102"/>
      <c r="BA63" s="102"/>
      <c r="BB63" s="102"/>
      <c r="BC63" s="66"/>
      <c r="BD63" s="102"/>
      <c r="BE63" s="102"/>
      <c r="BF63" s="102"/>
      <c r="BG63" s="102"/>
      <c r="BH63" s="102"/>
      <c r="BI63" s="80"/>
      <c r="BJ63" s="102"/>
      <c r="BK63" s="103"/>
      <c r="BL63" s="102"/>
      <c r="BM63" s="104"/>
      <c r="BN63" s="102"/>
      <c r="BO63" s="103"/>
      <c r="BP63" s="102"/>
      <c r="BQ63" s="102"/>
      <c r="BR63" s="102"/>
      <c r="BS63" s="102"/>
      <c r="BT63" s="80"/>
      <c r="BU63" s="80"/>
      <c r="BV63" s="78"/>
      <c r="BW63" s="78"/>
      <c r="BX63" s="78"/>
      <c r="BY63" s="78"/>
      <c r="CA63" s="93"/>
      <c r="CB63" s="88"/>
      <c r="CC63" s="80"/>
      <c r="CD63" s="65"/>
      <c r="CE63" s="93"/>
      <c r="CF63" s="93"/>
      <c r="CG63" s="80"/>
      <c r="CH63" s="65"/>
      <c r="CI63" s="93"/>
      <c r="CJ63" s="93"/>
      <c r="CK63" s="93"/>
      <c r="CL63" s="80"/>
      <c r="CM63" s="65"/>
      <c r="CN63" s="93"/>
      <c r="CO63" s="93"/>
      <c r="CP63" s="93"/>
      <c r="CQ63" s="80"/>
      <c r="CR63" s="65"/>
      <c r="CS63" s="93"/>
      <c r="CT63" s="93"/>
      <c r="CU63" s="93"/>
      <c r="CV63" s="93"/>
      <c r="CW63" s="80"/>
      <c r="CX63" s="65"/>
      <c r="CY63" s="93"/>
      <c r="CZ63" s="93"/>
      <c r="DA63" s="93"/>
      <c r="DB63" s="93"/>
      <c r="DC63" s="80"/>
      <c r="DD63" s="65"/>
      <c r="DE63" s="93"/>
      <c r="DF63" s="93"/>
      <c r="DG63" s="93"/>
      <c r="DH63" s="80"/>
      <c r="DI63" s="65"/>
      <c r="DJ63" s="128"/>
      <c r="DK63" s="130"/>
      <c r="DL63" s="93"/>
      <c r="DM63" s="127"/>
      <c r="DN63" s="148"/>
      <c r="DO63" s="22"/>
      <c r="DP63" s="80"/>
      <c r="DQ63" s="145"/>
      <c r="DR63" s="145"/>
      <c r="DS63" s="148"/>
      <c r="DT63" s="24"/>
      <c r="DU63" s="22"/>
      <c r="DV63" s="22"/>
      <c r="DW63" s="22"/>
      <c r="DX63" s="80"/>
      <c r="DY63" s="157"/>
      <c r="DZ63" s="148"/>
      <c r="EA63" s="24"/>
      <c r="EB63" s="22"/>
      <c r="EC63" s="22"/>
      <c r="ED63" s="22"/>
      <c r="EE63" s="22"/>
      <c r="EF63" s="164"/>
      <c r="EG63" s="172"/>
      <c r="EH63" s="148"/>
      <c r="EI63" s="24"/>
      <c r="EJ63" s="22"/>
      <c r="EK63" s="22"/>
      <c r="EL63" s="22"/>
      <c r="EM63" s="22"/>
      <c r="EN63" s="22"/>
      <c r="EO63" s="164"/>
      <c r="EP63" s="145"/>
      <c r="EQ63" s="148"/>
      <c r="ER63" s="148"/>
      <c r="ES63" s="148"/>
      <c r="ET63" s="22"/>
      <c r="EU63" s="22"/>
      <c r="EV63" s="159"/>
      <c r="EW63" s="201"/>
      <c r="EX63" s="148"/>
      <c r="EY63" s="5"/>
      <c r="EZ63" s="80"/>
      <c r="FA63" s="145">
        <v>500000</v>
      </c>
      <c r="FB63" s="5">
        <f t="shared" si="103"/>
        <v>500000</v>
      </c>
      <c r="FC63" s="5">
        <f t="shared" si="1"/>
        <v>500000</v>
      </c>
      <c r="FD63" s="80"/>
    </row>
    <row r="64" spans="1:160" ht="24" x14ac:dyDescent="0.2">
      <c r="A64" s="8" t="s">
        <v>53</v>
      </c>
      <c r="B64" s="9"/>
      <c r="C64" s="27" t="s">
        <v>59</v>
      </c>
      <c r="D64" s="20">
        <v>275800</v>
      </c>
      <c r="E64" s="20">
        <v>0</v>
      </c>
      <c r="F64" s="5">
        <f t="shared" si="17"/>
        <v>-275800</v>
      </c>
      <c r="G64" s="22">
        <v>0</v>
      </c>
      <c r="H64" s="5">
        <f t="shared" si="18"/>
        <v>-275800</v>
      </c>
      <c r="I64" s="5">
        <f>G64-E64</f>
        <v>0</v>
      </c>
      <c r="J64" s="31"/>
      <c r="K64" s="19">
        <v>100000</v>
      </c>
      <c r="L64" s="11">
        <f t="shared" si="19"/>
        <v>-175800</v>
      </c>
      <c r="M64" s="11">
        <f>K64-E64</f>
        <v>100000</v>
      </c>
      <c r="N64" s="11">
        <f t="shared" si="20"/>
        <v>100000</v>
      </c>
      <c r="O64" s="19">
        <v>275800</v>
      </c>
      <c r="P64" s="11">
        <f t="shared" si="21"/>
        <v>0</v>
      </c>
      <c r="Q64" s="11">
        <f>O64-E64</f>
        <v>275800</v>
      </c>
      <c r="R64" s="11">
        <f t="shared" si="22"/>
        <v>175800</v>
      </c>
      <c r="S64" s="19">
        <v>275800</v>
      </c>
      <c r="T64" s="11">
        <f t="shared" si="23"/>
        <v>0</v>
      </c>
      <c r="U64" s="11">
        <f t="shared" si="131"/>
        <v>275800</v>
      </c>
      <c r="V64" s="11">
        <f t="shared" si="81"/>
        <v>175800</v>
      </c>
      <c r="W64" s="11">
        <f t="shared" si="24"/>
        <v>0</v>
      </c>
      <c r="X64" s="19">
        <v>275800</v>
      </c>
      <c r="Y64" s="11">
        <f t="shared" si="132"/>
        <v>0</v>
      </c>
      <c r="Z64" s="11">
        <f t="shared" si="133"/>
        <v>275800</v>
      </c>
      <c r="AA64" s="11">
        <f t="shared" si="25"/>
        <v>175800</v>
      </c>
      <c r="AB64" s="11">
        <f t="shared" si="26"/>
        <v>0</v>
      </c>
      <c r="AC64" s="19">
        <v>275800</v>
      </c>
      <c r="AD64" s="11">
        <f t="shared" si="134"/>
        <v>0</v>
      </c>
      <c r="AE64" s="11">
        <f t="shared" si="27"/>
        <v>0</v>
      </c>
      <c r="AF64" s="11">
        <f t="shared" si="127"/>
        <v>0</v>
      </c>
      <c r="AG64" s="19">
        <v>275800</v>
      </c>
      <c r="AH64" s="11">
        <f t="shared" si="135"/>
        <v>0</v>
      </c>
      <c r="AI64" s="11"/>
      <c r="AJ64" s="11">
        <f t="shared" si="28"/>
        <v>275800</v>
      </c>
      <c r="AK64" s="11"/>
      <c r="AL64" s="11"/>
      <c r="AM64" s="11">
        <f t="shared" si="29"/>
        <v>275800</v>
      </c>
      <c r="AN64" s="19">
        <v>110000</v>
      </c>
      <c r="AO64" s="11">
        <f t="shared" si="30"/>
        <v>-165800</v>
      </c>
      <c r="AP64" s="11"/>
      <c r="AQ64" s="19">
        <v>0</v>
      </c>
      <c r="AR64" s="19">
        <f t="shared" si="31"/>
        <v>-275800</v>
      </c>
      <c r="AS64" s="19">
        <f t="shared" si="32"/>
        <v>-110000</v>
      </c>
      <c r="AT64" s="19">
        <v>110000</v>
      </c>
      <c r="AU64" s="19">
        <f t="shared" si="33"/>
        <v>-165800</v>
      </c>
      <c r="AV64" s="19">
        <f t="shared" si="34"/>
        <v>0</v>
      </c>
      <c r="AW64" s="19">
        <f t="shared" si="35"/>
        <v>110000</v>
      </c>
      <c r="AX64" s="19"/>
      <c r="AY64" s="19">
        <v>110000</v>
      </c>
      <c r="AZ64" s="19">
        <f t="shared" si="36"/>
        <v>-165800</v>
      </c>
      <c r="BA64" s="19">
        <f t="shared" si="37"/>
        <v>0</v>
      </c>
      <c r="BB64" s="19">
        <f t="shared" si="38"/>
        <v>0</v>
      </c>
      <c r="BC64" s="66"/>
      <c r="BD64" s="19">
        <v>110000</v>
      </c>
      <c r="BE64" s="19">
        <f t="shared" si="39"/>
        <v>-165800</v>
      </c>
      <c r="BF64" s="19">
        <f t="shared" si="40"/>
        <v>0</v>
      </c>
      <c r="BG64" s="19">
        <f t="shared" si="41"/>
        <v>0</v>
      </c>
      <c r="BH64" s="19">
        <f t="shared" si="42"/>
        <v>0</v>
      </c>
      <c r="BI64" s="73"/>
      <c r="BJ64" s="19">
        <v>110000</v>
      </c>
      <c r="BK64" s="12"/>
      <c r="BL64" s="19">
        <f t="shared" si="43"/>
        <v>110000</v>
      </c>
      <c r="BM64" s="20"/>
      <c r="BN64" s="19">
        <f t="shared" si="44"/>
        <v>110000</v>
      </c>
      <c r="BO64" s="12">
        <f t="shared" si="105"/>
        <v>-165800</v>
      </c>
      <c r="BP64" s="19">
        <f t="shared" si="106"/>
        <v>0</v>
      </c>
      <c r="BQ64" s="19">
        <f t="shared" si="107"/>
        <v>0</v>
      </c>
      <c r="BR64" s="19">
        <f t="shared" si="108"/>
        <v>0</v>
      </c>
      <c r="BS64" s="19">
        <f t="shared" si="109"/>
        <v>0</v>
      </c>
      <c r="BT64" s="73"/>
      <c r="BU64" s="80"/>
      <c r="BV64" s="78">
        <f t="shared" si="45"/>
        <v>110000</v>
      </c>
      <c r="BW64" s="78"/>
      <c r="BX64" s="78">
        <f t="shared" si="46"/>
        <v>110000</v>
      </c>
      <c r="BY64" s="78"/>
      <c r="BZ64" s="93">
        <v>110000</v>
      </c>
      <c r="CA64" s="93">
        <v>65000</v>
      </c>
      <c r="CB64" s="88" t="e">
        <f>CA64-#REF!</f>
        <v>#REF!</v>
      </c>
      <c r="CC64" s="80" t="s">
        <v>247</v>
      </c>
      <c r="CD64" s="65">
        <v>0</v>
      </c>
      <c r="CE64" s="93">
        <f t="shared" si="136"/>
        <v>-110000</v>
      </c>
      <c r="CF64" s="93">
        <f t="shared" si="137"/>
        <v>-65000</v>
      </c>
      <c r="CG64" s="80" t="s">
        <v>260</v>
      </c>
      <c r="CH64" s="65">
        <v>56920</v>
      </c>
      <c r="CI64" s="93">
        <f t="shared" si="50"/>
        <v>-53080</v>
      </c>
      <c r="CJ64" s="93">
        <f t="shared" si="51"/>
        <v>-8080</v>
      </c>
      <c r="CK64" s="93">
        <f t="shared" si="52"/>
        <v>56920</v>
      </c>
      <c r="CL64" s="80"/>
      <c r="CM64" s="65">
        <v>65000</v>
      </c>
      <c r="CN64" s="93">
        <f t="shared" si="82"/>
        <v>-45000</v>
      </c>
      <c r="CO64" s="93">
        <f t="shared" si="53"/>
        <v>0</v>
      </c>
      <c r="CP64" s="93">
        <f t="shared" si="54"/>
        <v>8080</v>
      </c>
      <c r="CQ64" s="80"/>
      <c r="CR64" s="65">
        <v>65000</v>
      </c>
      <c r="CS64" s="93">
        <f t="shared" si="55"/>
        <v>-45000</v>
      </c>
      <c r="CT64" s="93">
        <f t="shared" si="56"/>
        <v>0</v>
      </c>
      <c r="CU64" s="93">
        <f t="shared" si="57"/>
        <v>8080</v>
      </c>
      <c r="CV64" s="93">
        <f t="shared" si="58"/>
        <v>0</v>
      </c>
      <c r="CW64" s="80"/>
      <c r="CX64" s="65">
        <v>56920</v>
      </c>
      <c r="CY64" s="93">
        <f t="shared" si="99"/>
        <v>-53080</v>
      </c>
      <c r="CZ64" s="93">
        <f t="shared" si="110"/>
        <v>-8080</v>
      </c>
      <c r="DA64" s="93">
        <f t="shared" si="111"/>
        <v>0</v>
      </c>
      <c r="DB64" s="93">
        <f t="shared" si="112"/>
        <v>-8080</v>
      </c>
      <c r="DC64" s="80"/>
      <c r="DD64" s="65">
        <v>56920</v>
      </c>
      <c r="DE64" s="93">
        <f t="shared" si="113"/>
        <v>-53080</v>
      </c>
      <c r="DF64" s="93">
        <f t="shared" si="114"/>
        <v>-8080</v>
      </c>
      <c r="DG64" s="93">
        <f t="shared" si="59"/>
        <v>0</v>
      </c>
      <c r="DH64" s="80"/>
      <c r="DI64" s="65">
        <v>56920</v>
      </c>
      <c r="DJ64" s="128"/>
      <c r="DK64" s="130"/>
      <c r="DL64" s="93">
        <f t="shared" si="129"/>
        <v>56920</v>
      </c>
      <c r="DM64" s="127">
        <f t="shared" si="130"/>
        <v>-53080</v>
      </c>
      <c r="DN64" s="148">
        <v>56920</v>
      </c>
      <c r="DO64" s="22">
        <f t="shared" si="60"/>
        <v>0</v>
      </c>
      <c r="DP64" s="80"/>
      <c r="DQ64" s="145">
        <v>0</v>
      </c>
      <c r="DR64" s="145"/>
      <c r="DS64" s="148">
        <f t="shared" si="92"/>
        <v>0</v>
      </c>
      <c r="DT64" s="24">
        <f t="shared" si="61"/>
        <v>-56920</v>
      </c>
      <c r="DU64" s="22">
        <f t="shared" si="62"/>
        <v>-56920</v>
      </c>
      <c r="DV64" s="22">
        <f t="shared" si="63"/>
        <v>-56920</v>
      </c>
      <c r="DW64" s="22">
        <f t="shared" si="64"/>
        <v>-56920</v>
      </c>
      <c r="DX64" s="80"/>
      <c r="DY64" s="157"/>
      <c r="DZ64" s="148">
        <v>56920</v>
      </c>
      <c r="EA64" s="24">
        <f t="shared" si="93"/>
        <v>0</v>
      </c>
      <c r="EB64" s="22">
        <f t="shared" si="94"/>
        <v>56920</v>
      </c>
      <c r="EC64" s="22">
        <f t="shared" si="67"/>
        <v>0</v>
      </c>
      <c r="ED64" s="22">
        <f t="shared" si="116"/>
        <v>0</v>
      </c>
      <c r="EE64" s="22">
        <f t="shared" si="117"/>
        <v>56920</v>
      </c>
      <c r="EF64" s="164"/>
      <c r="EG64" s="172"/>
      <c r="EH64" s="148">
        <f t="shared" si="70"/>
        <v>56920</v>
      </c>
      <c r="EI64" s="24">
        <f t="shared" si="95"/>
        <v>0</v>
      </c>
      <c r="EJ64" s="22">
        <f t="shared" si="96"/>
        <v>0</v>
      </c>
      <c r="EK64" s="22">
        <f t="shared" si="73"/>
        <v>0</v>
      </c>
      <c r="EL64" s="22">
        <f t="shared" si="74"/>
        <v>0</v>
      </c>
      <c r="EM64" s="22">
        <f t="shared" si="75"/>
        <v>56920</v>
      </c>
      <c r="EN64" s="22">
        <f t="shared" si="76"/>
        <v>0</v>
      </c>
      <c r="EO64" s="164"/>
      <c r="EP64" s="145">
        <v>56920</v>
      </c>
      <c r="EQ64" s="148">
        <v>56920</v>
      </c>
      <c r="ER64" s="148"/>
      <c r="ES64" s="148">
        <f t="shared" si="77"/>
        <v>56920</v>
      </c>
      <c r="ET64" s="22">
        <f t="shared" si="78"/>
        <v>0</v>
      </c>
      <c r="EU64" s="22">
        <f t="shared" si="79"/>
        <v>0</v>
      </c>
      <c r="EV64" s="159"/>
      <c r="EW64" s="201"/>
      <c r="EX64" s="148">
        <v>0</v>
      </c>
      <c r="EY64" s="5">
        <f t="shared" si="80"/>
        <v>-56920</v>
      </c>
      <c r="EZ64" s="80" t="s">
        <v>699</v>
      </c>
      <c r="FA64" s="208">
        <v>0</v>
      </c>
      <c r="FB64" s="5">
        <f t="shared" si="103"/>
        <v>-56920</v>
      </c>
      <c r="FC64" s="5">
        <f t="shared" si="1"/>
        <v>0</v>
      </c>
      <c r="FD64" s="80"/>
    </row>
    <row r="65" spans="1:160" ht="12.75" hidden="1" x14ac:dyDescent="0.2">
      <c r="A65" s="21" t="s">
        <v>83</v>
      </c>
      <c r="B65" s="9"/>
      <c r="C65" s="26" t="s">
        <v>137</v>
      </c>
      <c r="D65" s="20">
        <v>200000</v>
      </c>
      <c r="E65" s="20">
        <v>0</v>
      </c>
      <c r="F65" s="5">
        <f t="shared" si="17"/>
        <v>-200000</v>
      </c>
      <c r="G65" s="22">
        <v>0</v>
      </c>
      <c r="H65" s="5">
        <f t="shared" si="18"/>
        <v>-200000</v>
      </c>
      <c r="I65" s="5">
        <f>G65-E65</f>
        <v>0</v>
      </c>
      <c r="J65" s="31"/>
      <c r="K65" s="19">
        <v>0</v>
      </c>
      <c r="L65" s="11">
        <f t="shared" si="19"/>
        <v>-200000</v>
      </c>
      <c r="M65" s="11">
        <f>K65-E65</f>
        <v>0</v>
      </c>
      <c r="N65" s="11">
        <f t="shared" si="20"/>
        <v>0</v>
      </c>
      <c r="O65" s="19">
        <v>200000</v>
      </c>
      <c r="P65" s="11">
        <f t="shared" si="21"/>
        <v>0</v>
      </c>
      <c r="Q65" s="11">
        <f>O65-E65</f>
        <v>200000</v>
      </c>
      <c r="R65" s="11">
        <f t="shared" si="22"/>
        <v>200000</v>
      </c>
      <c r="S65" s="19">
        <v>200000</v>
      </c>
      <c r="T65" s="11">
        <f t="shared" si="23"/>
        <v>0</v>
      </c>
      <c r="U65" s="11">
        <f t="shared" si="131"/>
        <v>200000</v>
      </c>
      <c r="V65" s="11">
        <f t="shared" si="81"/>
        <v>200000</v>
      </c>
      <c r="W65" s="11">
        <f t="shared" si="24"/>
        <v>0</v>
      </c>
      <c r="X65" s="19">
        <v>200000</v>
      </c>
      <c r="Y65" s="11">
        <f t="shared" si="132"/>
        <v>0</v>
      </c>
      <c r="Z65" s="11">
        <f t="shared" si="133"/>
        <v>200000</v>
      </c>
      <c r="AA65" s="11">
        <f t="shared" si="25"/>
        <v>200000</v>
      </c>
      <c r="AB65" s="11">
        <f t="shared" si="26"/>
        <v>0</v>
      </c>
      <c r="AC65" s="19">
        <f>200000-200000</f>
        <v>0</v>
      </c>
      <c r="AD65" s="11">
        <f t="shared" si="134"/>
        <v>-200000</v>
      </c>
      <c r="AE65" s="11">
        <f t="shared" si="27"/>
        <v>-200000</v>
      </c>
      <c r="AF65" s="11">
        <f t="shared" si="127"/>
        <v>200000</v>
      </c>
      <c r="AG65" s="19">
        <f>200000</f>
        <v>200000</v>
      </c>
      <c r="AH65" s="11">
        <f t="shared" si="135"/>
        <v>0</v>
      </c>
      <c r="AI65" s="11"/>
      <c r="AJ65" s="11">
        <f t="shared" si="28"/>
        <v>200000</v>
      </c>
      <c r="AK65" s="11"/>
      <c r="AL65" s="11"/>
      <c r="AM65" s="11">
        <f t="shared" si="29"/>
        <v>200000</v>
      </c>
      <c r="AN65" s="19">
        <v>0</v>
      </c>
      <c r="AO65" s="11">
        <f t="shared" si="30"/>
        <v>-200000</v>
      </c>
      <c r="AP65" s="11"/>
      <c r="AQ65" s="19">
        <v>0</v>
      </c>
      <c r="AR65" s="19">
        <f t="shared" si="31"/>
        <v>-200000</v>
      </c>
      <c r="AS65" s="19">
        <f t="shared" si="32"/>
        <v>0</v>
      </c>
      <c r="AT65" s="19">
        <v>0</v>
      </c>
      <c r="AU65" s="19">
        <f t="shared" si="33"/>
        <v>-200000</v>
      </c>
      <c r="AV65" s="19">
        <f t="shared" si="34"/>
        <v>0</v>
      </c>
      <c r="AW65" s="19">
        <f t="shared" si="35"/>
        <v>0</v>
      </c>
      <c r="AX65" s="19"/>
      <c r="AY65" s="19">
        <v>200000</v>
      </c>
      <c r="AZ65" s="19">
        <f t="shared" si="36"/>
        <v>0</v>
      </c>
      <c r="BA65" s="19">
        <f t="shared" si="37"/>
        <v>200000</v>
      </c>
      <c r="BB65" s="19">
        <f t="shared" si="38"/>
        <v>200000</v>
      </c>
      <c r="BC65" s="66"/>
      <c r="BD65" s="19">
        <v>200000</v>
      </c>
      <c r="BE65" s="19">
        <f t="shared" si="39"/>
        <v>0</v>
      </c>
      <c r="BF65" s="19">
        <f t="shared" si="40"/>
        <v>200000</v>
      </c>
      <c r="BG65" s="19">
        <f t="shared" si="41"/>
        <v>200000</v>
      </c>
      <c r="BH65" s="19">
        <f t="shared" si="42"/>
        <v>0</v>
      </c>
      <c r="BI65" s="73"/>
      <c r="BJ65" s="19">
        <v>0</v>
      </c>
      <c r="BK65" s="12"/>
      <c r="BL65" s="19">
        <f t="shared" si="43"/>
        <v>0</v>
      </c>
      <c r="BM65" s="20"/>
      <c r="BN65" s="19">
        <f t="shared" si="44"/>
        <v>0</v>
      </c>
      <c r="BO65" s="12">
        <f t="shared" si="105"/>
        <v>-200000</v>
      </c>
      <c r="BP65" s="19">
        <f t="shared" si="106"/>
        <v>0</v>
      </c>
      <c r="BQ65" s="19">
        <f t="shared" si="107"/>
        <v>0</v>
      </c>
      <c r="BR65" s="19">
        <f t="shared" si="108"/>
        <v>-200000</v>
      </c>
      <c r="BS65" s="19">
        <f t="shared" si="109"/>
        <v>0</v>
      </c>
      <c r="BT65" s="73"/>
      <c r="BU65" s="80"/>
      <c r="BV65" s="78">
        <f t="shared" si="45"/>
        <v>0</v>
      </c>
      <c r="BW65" s="78"/>
      <c r="BX65" s="78">
        <f t="shared" si="46"/>
        <v>0</v>
      </c>
      <c r="BY65" s="78"/>
      <c r="BZ65" s="93">
        <v>0</v>
      </c>
      <c r="CA65" s="93">
        <v>0</v>
      </c>
      <c r="CB65" s="88">
        <f t="shared" si="128"/>
        <v>0</v>
      </c>
      <c r="CC65" s="80"/>
      <c r="CD65" s="65">
        <v>0</v>
      </c>
      <c r="CE65" s="93">
        <f t="shared" si="136"/>
        <v>0</v>
      </c>
      <c r="CF65" s="93">
        <f t="shared" si="137"/>
        <v>0</v>
      </c>
      <c r="CG65" s="80"/>
      <c r="CH65" s="65">
        <v>0</v>
      </c>
      <c r="CI65" s="93">
        <f t="shared" si="50"/>
        <v>0</v>
      </c>
      <c r="CJ65" s="93">
        <f t="shared" si="51"/>
        <v>0</v>
      </c>
      <c r="CK65" s="93">
        <f t="shared" si="52"/>
        <v>0</v>
      </c>
      <c r="CL65" s="80"/>
      <c r="CM65" s="65"/>
      <c r="CN65" s="93">
        <f t="shared" si="82"/>
        <v>0</v>
      </c>
      <c r="CO65" s="93">
        <f t="shared" si="53"/>
        <v>0</v>
      </c>
      <c r="CP65" s="93">
        <f t="shared" si="54"/>
        <v>0</v>
      </c>
      <c r="CQ65" s="80"/>
      <c r="CR65" s="65"/>
      <c r="CS65" s="93">
        <f t="shared" si="55"/>
        <v>0</v>
      </c>
      <c r="CT65" s="93">
        <f t="shared" si="56"/>
        <v>0</v>
      </c>
      <c r="CU65" s="93">
        <f t="shared" si="57"/>
        <v>0</v>
      </c>
      <c r="CV65" s="93">
        <f t="shared" si="58"/>
        <v>0</v>
      </c>
      <c r="CW65" s="80"/>
      <c r="CX65" s="65"/>
      <c r="CY65" s="93">
        <f t="shared" si="99"/>
        <v>0</v>
      </c>
      <c r="CZ65" s="93">
        <f t="shared" si="110"/>
        <v>0</v>
      </c>
      <c r="DA65" s="93">
        <f t="shared" si="111"/>
        <v>0</v>
      </c>
      <c r="DB65" s="93">
        <f t="shared" si="112"/>
        <v>0</v>
      </c>
      <c r="DC65" s="80"/>
      <c r="DD65" s="65"/>
      <c r="DE65" s="93">
        <f t="shared" si="113"/>
        <v>0</v>
      </c>
      <c r="DF65" s="93">
        <f t="shared" si="114"/>
        <v>0</v>
      </c>
      <c r="DG65" s="93">
        <f t="shared" si="59"/>
        <v>0</v>
      </c>
      <c r="DH65" s="80"/>
      <c r="DI65" s="65"/>
      <c r="DJ65" s="80"/>
      <c r="DK65" s="96"/>
      <c r="DL65" s="93">
        <f t="shared" si="129"/>
        <v>0</v>
      </c>
      <c r="DM65" s="127">
        <f t="shared" si="130"/>
        <v>0</v>
      </c>
      <c r="DN65" s="148">
        <v>0</v>
      </c>
      <c r="DO65" s="22">
        <f t="shared" si="60"/>
        <v>0</v>
      </c>
      <c r="DP65" s="80"/>
      <c r="DQ65" s="145"/>
      <c r="DR65" s="145"/>
      <c r="DS65" s="148">
        <f t="shared" si="92"/>
        <v>0</v>
      </c>
      <c r="DT65" s="24">
        <f t="shared" si="61"/>
        <v>0</v>
      </c>
      <c r="DU65" s="22">
        <f t="shared" si="62"/>
        <v>0</v>
      </c>
      <c r="DV65" s="22">
        <f t="shared" si="63"/>
        <v>0</v>
      </c>
      <c r="DW65" s="22">
        <f t="shared" si="64"/>
        <v>0</v>
      </c>
      <c r="DX65" s="80"/>
      <c r="DY65" s="157"/>
      <c r="DZ65" s="148"/>
      <c r="EA65" s="24">
        <f t="shared" si="93"/>
        <v>0</v>
      </c>
      <c r="EB65" s="22">
        <f t="shared" si="94"/>
        <v>0</v>
      </c>
      <c r="EC65" s="22">
        <f t="shared" si="67"/>
        <v>0</v>
      </c>
      <c r="ED65" s="22">
        <f t="shared" si="116"/>
        <v>0</v>
      </c>
      <c r="EE65" s="22">
        <f t="shared" si="117"/>
        <v>0</v>
      </c>
      <c r="EF65" s="164"/>
      <c r="EG65" s="172"/>
      <c r="EH65" s="148">
        <f t="shared" si="70"/>
        <v>0</v>
      </c>
      <c r="EI65" s="24">
        <f t="shared" si="95"/>
        <v>0</v>
      </c>
      <c r="EJ65" s="22">
        <f t="shared" si="96"/>
        <v>0</v>
      </c>
      <c r="EK65" s="22">
        <f t="shared" si="73"/>
        <v>0</v>
      </c>
      <c r="EL65" s="22">
        <f t="shared" si="74"/>
        <v>0</v>
      </c>
      <c r="EM65" s="22">
        <f t="shared" si="75"/>
        <v>0</v>
      </c>
      <c r="EN65" s="22">
        <f t="shared" si="76"/>
        <v>0</v>
      </c>
      <c r="EO65" s="164"/>
      <c r="EP65" s="145"/>
      <c r="EQ65" s="148"/>
      <c r="ER65" s="148"/>
      <c r="ES65" s="148">
        <f t="shared" si="77"/>
        <v>0</v>
      </c>
      <c r="ET65" s="22">
        <f t="shared" si="78"/>
        <v>0</v>
      </c>
      <c r="EU65" s="22">
        <f t="shared" si="79"/>
        <v>0</v>
      </c>
      <c r="EV65" s="159"/>
      <c r="EW65" s="201"/>
      <c r="EX65" s="148">
        <v>0</v>
      </c>
      <c r="EY65" s="5">
        <f t="shared" si="80"/>
        <v>0</v>
      </c>
      <c r="EZ65" s="80"/>
      <c r="FA65" s="145"/>
      <c r="FB65" s="5">
        <f t="shared" si="103"/>
        <v>0</v>
      </c>
      <c r="FC65" s="5">
        <f t="shared" si="1"/>
        <v>0</v>
      </c>
      <c r="FD65" s="80"/>
    </row>
    <row r="66" spans="1:160" ht="25.5" x14ac:dyDescent="0.2">
      <c r="A66" s="21" t="s">
        <v>134</v>
      </c>
      <c r="B66" s="9"/>
      <c r="C66" s="26" t="s">
        <v>125</v>
      </c>
      <c r="D66" s="20"/>
      <c r="E66" s="20"/>
      <c r="F66" s="5">
        <f>E66-D66</f>
        <v>0</v>
      </c>
      <c r="G66" s="22"/>
      <c r="H66" s="5">
        <f>G66-D66</f>
        <v>0</v>
      </c>
      <c r="I66" s="5"/>
      <c r="J66" s="31"/>
      <c r="K66" s="19"/>
      <c r="L66" s="11">
        <f>K66-D66</f>
        <v>0</v>
      </c>
      <c r="M66" s="11"/>
      <c r="N66" s="11"/>
      <c r="O66" s="19"/>
      <c r="P66" s="11">
        <f>O66-D66</f>
        <v>0</v>
      </c>
      <c r="Q66" s="11"/>
      <c r="R66" s="11"/>
      <c r="S66" s="19">
        <v>150000</v>
      </c>
      <c r="T66" s="11">
        <f>S66-D66</f>
        <v>150000</v>
      </c>
      <c r="U66" s="11">
        <f>S66-E66</f>
        <v>150000</v>
      </c>
      <c r="V66" s="11">
        <f>S66-K66</f>
        <v>150000</v>
      </c>
      <c r="W66" s="11">
        <f>S66-O66</f>
        <v>150000</v>
      </c>
      <c r="X66" s="19">
        <v>150000</v>
      </c>
      <c r="Y66" s="11">
        <f>X66-D66</f>
        <v>150000</v>
      </c>
      <c r="Z66" s="11">
        <f>X66-E66</f>
        <v>150000</v>
      </c>
      <c r="AA66" s="11">
        <f>X66-K66</f>
        <v>150000</v>
      </c>
      <c r="AB66" s="11">
        <f>X66-S66</f>
        <v>0</v>
      </c>
      <c r="AC66" s="19">
        <v>150000</v>
      </c>
      <c r="AD66" s="11">
        <f>AC66-D66</f>
        <v>150000</v>
      </c>
      <c r="AE66" s="11">
        <f>AC66-X66</f>
        <v>0</v>
      </c>
      <c r="AF66" s="11">
        <f>AG66-AC66</f>
        <v>0</v>
      </c>
      <c r="AG66" s="19">
        <v>150000</v>
      </c>
      <c r="AH66" s="11">
        <f>AG66-D66</f>
        <v>150000</v>
      </c>
      <c r="AI66" s="11"/>
      <c r="AJ66" s="11">
        <f>AG66+AI66</f>
        <v>150000</v>
      </c>
      <c r="AK66" s="11"/>
      <c r="AL66" s="11"/>
      <c r="AM66" s="11">
        <f>AJ66+AL66+AK66</f>
        <v>150000</v>
      </c>
      <c r="AN66" s="19">
        <v>150000</v>
      </c>
      <c r="AO66" s="11">
        <f>AN66-AM66</f>
        <v>0</v>
      </c>
      <c r="AP66" s="11"/>
      <c r="AQ66" s="19">
        <v>0</v>
      </c>
      <c r="AR66" s="19">
        <f>AQ66-AM66</f>
        <v>-150000</v>
      </c>
      <c r="AS66" s="19">
        <f>AQ66-AN66</f>
        <v>-150000</v>
      </c>
      <c r="AT66" s="19">
        <v>0</v>
      </c>
      <c r="AU66" s="19">
        <f>AT66-AM66</f>
        <v>-150000</v>
      </c>
      <c r="AV66" s="19">
        <f>AT66-AN66</f>
        <v>-150000</v>
      </c>
      <c r="AW66" s="19">
        <f>AT66-AQ66</f>
        <v>0</v>
      </c>
      <c r="AX66" s="19"/>
      <c r="AY66" s="19">
        <v>150000</v>
      </c>
      <c r="AZ66" s="19">
        <f>AY66-AM66</f>
        <v>0</v>
      </c>
      <c r="BA66" s="19">
        <f>AY66-AN66</f>
        <v>0</v>
      </c>
      <c r="BB66" s="19">
        <f>AY66-AT66</f>
        <v>150000</v>
      </c>
      <c r="BC66" s="66"/>
      <c r="BD66" s="19">
        <v>150000</v>
      </c>
      <c r="BE66" s="19">
        <f>BD66-AM66</f>
        <v>0</v>
      </c>
      <c r="BF66" s="19">
        <f>BD66-AN66</f>
        <v>0</v>
      </c>
      <c r="BG66" s="19">
        <f>BD66-AT66</f>
        <v>150000</v>
      </c>
      <c r="BH66" s="19">
        <f>BD66-AY66</f>
        <v>0</v>
      </c>
      <c r="BI66" s="73"/>
      <c r="BJ66" s="19">
        <v>150000</v>
      </c>
      <c r="BK66" s="12"/>
      <c r="BL66" s="19">
        <f>+BJ66+BK66</f>
        <v>150000</v>
      </c>
      <c r="BM66" s="20"/>
      <c r="BN66" s="19">
        <f>+BL66+BM66</f>
        <v>150000</v>
      </c>
      <c r="BO66" s="12">
        <f>+BN66-AM66</f>
        <v>0</v>
      </c>
      <c r="BP66" s="19">
        <f>+BN66-AN66</f>
        <v>0</v>
      </c>
      <c r="BQ66" s="19">
        <f>+BN66-AT66</f>
        <v>150000</v>
      </c>
      <c r="BR66" s="19">
        <f>+BN66-BD66</f>
        <v>0</v>
      </c>
      <c r="BS66" s="19">
        <f>+BN66-BJ66</f>
        <v>0</v>
      </c>
      <c r="BT66" s="73"/>
      <c r="BU66" s="80"/>
      <c r="BV66" s="78">
        <f>BN66+BU66</f>
        <v>150000</v>
      </c>
      <c r="BW66" s="78">
        <v>-1500</v>
      </c>
      <c r="BX66" s="78">
        <f>BV66+BW66</f>
        <v>148500</v>
      </c>
      <c r="BY66" s="78"/>
      <c r="BZ66" s="93">
        <f t="shared" ref="BZ66" si="138">BX66+BY66</f>
        <v>148500</v>
      </c>
      <c r="CA66" s="93">
        <v>150000</v>
      </c>
      <c r="CB66" s="88">
        <f>CA66-BZ66</f>
        <v>1500</v>
      </c>
      <c r="CC66" s="80" t="s">
        <v>246</v>
      </c>
      <c r="CD66" s="65"/>
      <c r="CE66" s="93">
        <f>CD66-BZ66</f>
        <v>-148500</v>
      </c>
      <c r="CF66" s="93">
        <f>CD66-CA66</f>
        <v>-150000</v>
      </c>
      <c r="CG66" s="80" t="s">
        <v>260</v>
      </c>
      <c r="CH66" s="65">
        <v>0</v>
      </c>
      <c r="CI66" s="93">
        <f>CH66-BZ66</f>
        <v>-148500</v>
      </c>
      <c r="CJ66" s="93">
        <f>CH66-CA66</f>
        <v>-150000</v>
      </c>
      <c r="CK66" s="93">
        <f>CH66-CD66</f>
        <v>0</v>
      </c>
      <c r="CL66" s="80" t="s">
        <v>260</v>
      </c>
      <c r="CM66" s="65">
        <v>150000</v>
      </c>
      <c r="CN66" s="93">
        <f>CM66-BZ66</f>
        <v>1500</v>
      </c>
      <c r="CO66" s="93">
        <f>CM66-CA66</f>
        <v>0</v>
      </c>
      <c r="CP66" s="93">
        <f>CM66-CH66</f>
        <v>150000</v>
      </c>
      <c r="CQ66" s="80"/>
      <c r="CR66" s="65">
        <v>150000</v>
      </c>
      <c r="CS66" s="93">
        <f>CR66-BZ66</f>
        <v>1500</v>
      </c>
      <c r="CT66" s="93">
        <f>CR66-CA66</f>
        <v>0</v>
      </c>
      <c r="CU66" s="93">
        <f>CR66-CH66</f>
        <v>150000</v>
      </c>
      <c r="CV66" s="93">
        <f>CR66-CM66</f>
        <v>0</v>
      </c>
      <c r="CW66" s="80"/>
      <c r="CX66" s="65">
        <v>150000</v>
      </c>
      <c r="CY66" s="93">
        <f>CX66-BZ66</f>
        <v>1500</v>
      </c>
      <c r="CZ66" s="93">
        <f>CX66-CA66</f>
        <v>0</v>
      </c>
      <c r="DA66" s="93">
        <f>CX66-CH66</f>
        <v>150000</v>
      </c>
      <c r="DB66" s="93">
        <f>CX66-CR66</f>
        <v>0</v>
      </c>
      <c r="DC66" s="80"/>
      <c r="DD66" s="65">
        <v>150000</v>
      </c>
      <c r="DE66" s="93">
        <f>DD66-BZ66</f>
        <v>1500</v>
      </c>
      <c r="DF66" s="93">
        <f>DD66-CA66</f>
        <v>0</v>
      </c>
      <c r="DG66" s="93">
        <f>DD66-CX66</f>
        <v>0</v>
      </c>
      <c r="DH66" s="80"/>
      <c r="DI66" s="65">
        <v>150000</v>
      </c>
      <c r="DJ66" s="128"/>
      <c r="DK66" s="130"/>
      <c r="DL66" s="93">
        <f>DI66</f>
        <v>150000</v>
      </c>
      <c r="DM66" s="127">
        <f>DL66-BZ66</f>
        <v>1500</v>
      </c>
      <c r="DN66" s="148">
        <v>150000</v>
      </c>
      <c r="DO66" s="22">
        <f>DN66-DL66</f>
        <v>0</v>
      </c>
      <c r="DP66" s="80"/>
      <c r="DQ66" s="145">
        <v>150000</v>
      </c>
      <c r="DR66" s="145"/>
      <c r="DS66" s="148">
        <f>SUM(DQ66:DR66)</f>
        <v>150000</v>
      </c>
      <c r="DT66" s="24">
        <f>DQ66-DL66</f>
        <v>0</v>
      </c>
      <c r="DU66" s="22">
        <f>DQ66-DN66</f>
        <v>0</v>
      </c>
      <c r="DV66" s="22">
        <f>+DS66-DL66</f>
        <v>0</v>
      </c>
      <c r="DW66" s="22">
        <f>+DS66-DN66</f>
        <v>0</v>
      </c>
      <c r="DX66" s="80"/>
      <c r="DY66" s="157"/>
      <c r="DZ66" s="148">
        <v>400000</v>
      </c>
      <c r="EA66" s="24">
        <f>DX66-DS66</f>
        <v>-150000</v>
      </c>
      <c r="EB66" s="22">
        <f>DX66-DU66</f>
        <v>0</v>
      </c>
      <c r="EC66" s="22">
        <f>DZ66-DL66</f>
        <v>250000</v>
      </c>
      <c r="ED66" s="22">
        <f>DZ66-DN66</f>
        <v>250000</v>
      </c>
      <c r="EE66" s="22">
        <f>DZ66-DS66</f>
        <v>250000</v>
      </c>
      <c r="EF66" s="159" t="s">
        <v>524</v>
      </c>
      <c r="EG66" s="65"/>
      <c r="EH66" s="148">
        <f>DZ66+EG66</f>
        <v>400000</v>
      </c>
      <c r="EI66" s="24">
        <f>EE66-DZ66</f>
        <v>-150000</v>
      </c>
      <c r="EJ66" s="22">
        <f>EE66-EB66</f>
        <v>250000</v>
      </c>
      <c r="EK66" s="22">
        <f t="shared" si="73"/>
        <v>250000</v>
      </c>
      <c r="EL66" s="22">
        <f>EH66-DN66</f>
        <v>250000</v>
      </c>
      <c r="EM66" s="22">
        <f>EH66-DS66</f>
        <v>250000</v>
      </c>
      <c r="EN66" s="22">
        <f t="shared" si="76"/>
        <v>0</v>
      </c>
      <c r="EO66" s="159" t="s">
        <v>599</v>
      </c>
      <c r="EP66" s="145">
        <v>400000</v>
      </c>
      <c r="EQ66" s="148">
        <v>400000</v>
      </c>
      <c r="ER66" s="148"/>
      <c r="ES66" s="148">
        <f t="shared" si="77"/>
        <v>400000</v>
      </c>
      <c r="ET66" s="22">
        <f t="shared" si="78"/>
        <v>250000</v>
      </c>
      <c r="EU66" s="22">
        <f t="shared" si="79"/>
        <v>250000</v>
      </c>
      <c r="EV66" s="159" t="s">
        <v>635</v>
      </c>
      <c r="EW66" s="201" t="s">
        <v>635</v>
      </c>
      <c r="EX66" s="148">
        <v>400000</v>
      </c>
      <c r="EY66" s="5">
        <f t="shared" si="80"/>
        <v>0</v>
      </c>
      <c r="EZ66" s="80"/>
      <c r="FA66" s="145">
        <v>150000</v>
      </c>
      <c r="FB66" s="5">
        <f t="shared" si="103"/>
        <v>-250000</v>
      </c>
      <c r="FC66" s="5">
        <f t="shared" si="1"/>
        <v>-250000</v>
      </c>
      <c r="FD66" s="80"/>
    </row>
    <row r="67" spans="1:160" ht="24" x14ac:dyDescent="0.2">
      <c r="A67" s="21" t="s">
        <v>594</v>
      </c>
      <c r="B67" s="9"/>
      <c r="C67" s="26" t="s">
        <v>570</v>
      </c>
      <c r="D67" s="104"/>
      <c r="E67" s="104"/>
      <c r="F67" s="5"/>
      <c r="G67" s="22"/>
      <c r="H67" s="5"/>
      <c r="I67" s="5"/>
      <c r="J67" s="31"/>
      <c r="K67" s="102"/>
      <c r="L67" s="11"/>
      <c r="M67" s="11"/>
      <c r="N67" s="11"/>
      <c r="O67" s="102"/>
      <c r="P67" s="11"/>
      <c r="Q67" s="11"/>
      <c r="R67" s="11"/>
      <c r="S67" s="102"/>
      <c r="T67" s="11"/>
      <c r="U67" s="11"/>
      <c r="V67" s="11"/>
      <c r="W67" s="11"/>
      <c r="X67" s="102"/>
      <c r="Y67" s="11"/>
      <c r="Z67" s="11"/>
      <c r="AA67" s="11"/>
      <c r="AB67" s="11"/>
      <c r="AC67" s="102"/>
      <c r="AD67" s="11"/>
      <c r="AE67" s="11"/>
      <c r="AF67" s="11"/>
      <c r="AG67" s="102"/>
      <c r="AH67" s="11"/>
      <c r="AI67" s="11"/>
      <c r="AJ67" s="11"/>
      <c r="AK67" s="11"/>
      <c r="AL67" s="11"/>
      <c r="AM67" s="11"/>
      <c r="AN67" s="102"/>
      <c r="AO67" s="11"/>
      <c r="AP67" s="11"/>
      <c r="AQ67" s="102"/>
      <c r="AR67" s="102"/>
      <c r="AS67" s="102"/>
      <c r="AT67" s="102"/>
      <c r="AU67" s="102"/>
      <c r="AV67" s="102"/>
      <c r="AW67" s="102"/>
      <c r="AX67" s="102"/>
      <c r="AY67" s="102"/>
      <c r="AZ67" s="102"/>
      <c r="BA67" s="102"/>
      <c r="BB67" s="102"/>
      <c r="BC67" s="66"/>
      <c r="BD67" s="102"/>
      <c r="BE67" s="102"/>
      <c r="BF67" s="102"/>
      <c r="BG67" s="102"/>
      <c r="BH67" s="102"/>
      <c r="BI67" s="80"/>
      <c r="BJ67" s="102"/>
      <c r="BK67" s="103"/>
      <c r="BL67" s="102"/>
      <c r="BM67" s="104"/>
      <c r="BN67" s="102"/>
      <c r="BO67" s="103"/>
      <c r="BP67" s="102"/>
      <c r="BQ67" s="102"/>
      <c r="BR67" s="102"/>
      <c r="BS67" s="102"/>
      <c r="BT67" s="80"/>
      <c r="BU67" s="80"/>
      <c r="BV67" s="78"/>
      <c r="BW67" s="78"/>
      <c r="BX67" s="78"/>
      <c r="BY67" s="78"/>
      <c r="BZ67" s="93"/>
      <c r="CA67" s="93"/>
      <c r="CB67" s="88"/>
      <c r="CC67" s="80"/>
      <c r="CD67" s="65"/>
      <c r="CE67" s="93"/>
      <c r="CF67" s="93"/>
      <c r="CG67" s="80"/>
      <c r="CH67" s="65"/>
      <c r="CI67" s="93"/>
      <c r="CJ67" s="93"/>
      <c r="CK67" s="93"/>
      <c r="CL67" s="80"/>
      <c r="CM67" s="65"/>
      <c r="CN67" s="93"/>
      <c r="CO67" s="93"/>
      <c r="CP67" s="93"/>
      <c r="CQ67" s="80"/>
      <c r="CR67" s="65"/>
      <c r="CS67" s="93"/>
      <c r="CT67" s="93"/>
      <c r="CU67" s="93"/>
      <c r="CV67" s="93"/>
      <c r="CW67" s="80"/>
      <c r="CX67" s="65"/>
      <c r="CY67" s="93"/>
      <c r="CZ67" s="93"/>
      <c r="DA67" s="93"/>
      <c r="DB67" s="93"/>
      <c r="DC67" s="80"/>
      <c r="DD67" s="65"/>
      <c r="DE67" s="93"/>
      <c r="DF67" s="93"/>
      <c r="DG67" s="93"/>
      <c r="DH67" s="80"/>
      <c r="DI67" s="65"/>
      <c r="DJ67" s="128"/>
      <c r="DK67" s="130"/>
      <c r="DL67" s="93"/>
      <c r="DM67" s="127"/>
      <c r="DN67" s="148"/>
      <c r="DO67" s="22"/>
      <c r="DP67" s="80"/>
      <c r="DQ67" s="145"/>
      <c r="DR67" s="145"/>
      <c r="DS67" s="148"/>
      <c r="DT67" s="24"/>
      <c r="DU67" s="22"/>
      <c r="DV67" s="22"/>
      <c r="DW67" s="22"/>
      <c r="DX67" s="80"/>
      <c r="DY67" s="157"/>
      <c r="DZ67" s="148"/>
      <c r="EA67" s="24"/>
      <c r="EB67" s="22"/>
      <c r="EC67" s="22"/>
      <c r="ED67" s="22"/>
      <c r="EE67" s="22"/>
      <c r="EF67" s="164"/>
      <c r="EG67" s="172">
        <v>1500000</v>
      </c>
      <c r="EH67" s="148">
        <v>1500000</v>
      </c>
      <c r="EI67" s="24"/>
      <c r="EJ67" s="22"/>
      <c r="EK67" s="22">
        <f>EH67-DL67</f>
        <v>1500000</v>
      </c>
      <c r="EL67" s="22">
        <f>EH67-DN67</f>
        <v>1500000</v>
      </c>
      <c r="EM67" s="22">
        <f>EH67-DS67</f>
        <v>1500000</v>
      </c>
      <c r="EN67" s="22">
        <f>EH67-DZ67</f>
        <v>1500000</v>
      </c>
      <c r="EO67" s="164"/>
      <c r="EP67" s="145">
        <v>1500000</v>
      </c>
      <c r="EQ67" s="148">
        <v>1500000</v>
      </c>
      <c r="ER67" s="148"/>
      <c r="ES67" s="148">
        <f t="shared" si="77"/>
        <v>1500000</v>
      </c>
      <c r="ET67" s="22">
        <f t="shared" si="78"/>
        <v>1500000</v>
      </c>
      <c r="EU67" s="22">
        <f t="shared" si="79"/>
        <v>1500000</v>
      </c>
      <c r="EV67" s="159"/>
      <c r="EW67" s="201"/>
      <c r="EX67" s="148"/>
      <c r="EY67" s="5">
        <f t="shared" si="80"/>
        <v>-1500000</v>
      </c>
      <c r="EZ67" s="80" t="s">
        <v>698</v>
      </c>
      <c r="FA67" s="208">
        <v>0</v>
      </c>
      <c r="FB67" s="5">
        <f t="shared" si="103"/>
        <v>-1500000</v>
      </c>
      <c r="FC67" s="5">
        <f t="shared" si="1"/>
        <v>0</v>
      </c>
      <c r="FD67" s="80"/>
    </row>
    <row r="68" spans="1:160" ht="12.75" x14ac:dyDescent="0.2">
      <c r="A68" s="21" t="s">
        <v>595</v>
      </c>
      <c r="B68" s="9"/>
      <c r="C68" s="26" t="s">
        <v>537</v>
      </c>
      <c r="D68" s="104"/>
      <c r="E68" s="104"/>
      <c r="F68" s="5"/>
      <c r="G68" s="22"/>
      <c r="H68" s="5"/>
      <c r="I68" s="5"/>
      <c r="J68" s="31"/>
      <c r="K68" s="102"/>
      <c r="L68" s="11"/>
      <c r="M68" s="11"/>
      <c r="N68" s="11"/>
      <c r="O68" s="102"/>
      <c r="P68" s="11"/>
      <c r="Q68" s="11"/>
      <c r="R68" s="11"/>
      <c r="S68" s="102"/>
      <c r="T68" s="11"/>
      <c r="U68" s="11"/>
      <c r="V68" s="11"/>
      <c r="W68" s="11"/>
      <c r="X68" s="102"/>
      <c r="Y68" s="11"/>
      <c r="Z68" s="11"/>
      <c r="AA68" s="11"/>
      <c r="AB68" s="11"/>
      <c r="AC68" s="102"/>
      <c r="AD68" s="11"/>
      <c r="AE68" s="11"/>
      <c r="AF68" s="11"/>
      <c r="AG68" s="102"/>
      <c r="AH68" s="11"/>
      <c r="AI68" s="11"/>
      <c r="AJ68" s="11"/>
      <c r="AK68" s="11"/>
      <c r="AL68" s="11"/>
      <c r="AM68" s="11"/>
      <c r="AN68" s="102"/>
      <c r="AO68" s="11"/>
      <c r="AP68" s="11"/>
      <c r="AQ68" s="102"/>
      <c r="AR68" s="102"/>
      <c r="AS68" s="102"/>
      <c r="AT68" s="102"/>
      <c r="AU68" s="102"/>
      <c r="AV68" s="102"/>
      <c r="AW68" s="102"/>
      <c r="AX68" s="102"/>
      <c r="AY68" s="102"/>
      <c r="AZ68" s="102"/>
      <c r="BA68" s="102"/>
      <c r="BB68" s="102"/>
      <c r="BC68" s="66"/>
      <c r="BD68" s="102"/>
      <c r="BE68" s="102"/>
      <c r="BF68" s="102"/>
      <c r="BG68" s="102"/>
      <c r="BH68" s="102"/>
      <c r="BI68" s="80"/>
      <c r="BJ68" s="102"/>
      <c r="BK68" s="103"/>
      <c r="BL68" s="102"/>
      <c r="BM68" s="104"/>
      <c r="BN68" s="102"/>
      <c r="BO68" s="103"/>
      <c r="BP68" s="102"/>
      <c r="BQ68" s="102"/>
      <c r="BR68" s="102"/>
      <c r="BS68" s="102"/>
      <c r="BT68" s="80"/>
      <c r="BU68" s="80"/>
      <c r="BV68" s="78"/>
      <c r="BW68" s="78"/>
      <c r="BX68" s="78"/>
      <c r="BY68" s="78"/>
      <c r="BZ68" s="93"/>
      <c r="CA68" s="93"/>
      <c r="CB68" s="88"/>
      <c r="CC68" s="80"/>
      <c r="CD68" s="65"/>
      <c r="CE68" s="93"/>
      <c r="CF68" s="93"/>
      <c r="CG68" s="80"/>
      <c r="CH68" s="65"/>
      <c r="CI68" s="93"/>
      <c r="CJ68" s="93"/>
      <c r="CK68" s="93"/>
      <c r="CL68" s="80"/>
      <c r="CM68" s="65"/>
      <c r="CN68" s="93"/>
      <c r="CO68" s="93"/>
      <c r="CP68" s="93"/>
      <c r="CQ68" s="80"/>
      <c r="CR68" s="65"/>
      <c r="CS68" s="93"/>
      <c r="CT68" s="93"/>
      <c r="CU68" s="93"/>
      <c r="CV68" s="93"/>
      <c r="CW68" s="80"/>
      <c r="CX68" s="65"/>
      <c r="CY68" s="93"/>
      <c r="CZ68" s="93"/>
      <c r="DA68" s="93"/>
      <c r="DB68" s="93"/>
      <c r="DC68" s="80"/>
      <c r="DD68" s="65"/>
      <c r="DE68" s="93"/>
      <c r="DF68" s="93"/>
      <c r="DG68" s="93"/>
      <c r="DH68" s="80"/>
      <c r="DI68" s="65"/>
      <c r="DJ68" s="128"/>
      <c r="DK68" s="130"/>
      <c r="DL68" s="93"/>
      <c r="DM68" s="127"/>
      <c r="DN68" s="148"/>
      <c r="DO68" s="22"/>
      <c r="DP68" s="80"/>
      <c r="DQ68" s="145"/>
      <c r="DR68" s="145"/>
      <c r="DS68" s="148"/>
      <c r="DT68" s="24"/>
      <c r="DU68" s="22"/>
      <c r="DV68" s="22"/>
      <c r="DW68" s="22"/>
      <c r="DX68" s="80"/>
      <c r="DY68" s="157"/>
      <c r="DZ68" s="148"/>
      <c r="EA68" s="24"/>
      <c r="EB68" s="22"/>
      <c r="EC68" s="22"/>
      <c r="ED68" s="22"/>
      <c r="EE68" s="22"/>
      <c r="EF68" s="164"/>
      <c r="EG68" s="172">
        <v>500000</v>
      </c>
      <c r="EH68" s="148">
        <v>500000</v>
      </c>
      <c r="EI68" s="24"/>
      <c r="EJ68" s="22"/>
      <c r="EK68" s="22">
        <f t="shared" si="73"/>
        <v>500000</v>
      </c>
      <c r="EL68" s="22">
        <f t="shared" ref="EL68" si="139">EH68-DN68</f>
        <v>500000</v>
      </c>
      <c r="EM68" s="22">
        <f t="shared" ref="EM68" si="140">EH68-DS68</f>
        <v>500000</v>
      </c>
      <c r="EN68" s="22">
        <f t="shared" si="76"/>
        <v>500000</v>
      </c>
      <c r="EO68" s="164"/>
      <c r="EP68" s="145">
        <v>500000</v>
      </c>
      <c r="EQ68" s="93">
        <v>500000</v>
      </c>
      <c r="ER68" s="93"/>
      <c r="ES68" s="93">
        <f t="shared" si="77"/>
        <v>500000</v>
      </c>
      <c r="ET68" s="22">
        <f t="shared" si="78"/>
        <v>500000</v>
      </c>
      <c r="EU68" s="22">
        <f t="shared" si="79"/>
        <v>500000</v>
      </c>
      <c r="EV68" s="159"/>
      <c r="EW68" s="201"/>
      <c r="EX68" s="93">
        <v>0</v>
      </c>
      <c r="EY68" s="5">
        <f t="shared" si="80"/>
        <v>-500000</v>
      </c>
      <c r="EZ68" s="80" t="s">
        <v>690</v>
      </c>
      <c r="FA68" s="127">
        <v>500000</v>
      </c>
      <c r="FB68" s="5">
        <f t="shared" si="103"/>
        <v>0</v>
      </c>
      <c r="FC68" s="5">
        <f t="shared" si="1"/>
        <v>500000</v>
      </c>
      <c r="FD68" s="80"/>
    </row>
    <row r="69" spans="1:160" ht="12.75" x14ac:dyDescent="0.2">
      <c r="A69" s="17" t="s">
        <v>704</v>
      </c>
      <c r="B69" s="10"/>
      <c r="C69" s="38"/>
      <c r="D69" s="106">
        <f>SUM(D9:D65)</f>
        <v>4968158632.5</v>
      </c>
      <c r="E69" s="106">
        <f t="shared" ref="E69:AO69" si="141">SUM(E9:E68)</f>
        <v>5054911587</v>
      </c>
      <c r="F69" s="106">
        <f t="shared" si="141"/>
        <v>86752954.5</v>
      </c>
      <c r="G69" s="106">
        <f t="shared" si="141"/>
        <v>5076886234</v>
      </c>
      <c r="H69" s="106">
        <f t="shared" si="141"/>
        <v>108727601.5</v>
      </c>
      <c r="I69" s="106">
        <f t="shared" si="141"/>
        <v>23353647</v>
      </c>
      <c r="J69" s="106">
        <f t="shared" si="141"/>
        <v>0</v>
      </c>
      <c r="K69" s="106">
        <f t="shared" si="141"/>
        <v>5084671681</v>
      </c>
      <c r="L69" s="106">
        <f t="shared" si="141"/>
        <v>116513048.5</v>
      </c>
      <c r="M69" s="106">
        <f t="shared" si="141"/>
        <v>31139094</v>
      </c>
      <c r="N69" s="106">
        <f t="shared" si="141"/>
        <v>7785447</v>
      </c>
      <c r="O69" s="106">
        <f t="shared" si="141"/>
        <v>5089443856</v>
      </c>
      <c r="P69" s="106">
        <f t="shared" si="141"/>
        <v>121285223.5</v>
      </c>
      <c r="Q69" s="106">
        <f t="shared" si="141"/>
        <v>35911269</v>
      </c>
      <c r="R69" s="106">
        <f t="shared" si="141"/>
        <v>4772175</v>
      </c>
      <c r="S69" s="106">
        <f t="shared" si="141"/>
        <v>5102908856</v>
      </c>
      <c r="T69" s="106">
        <f t="shared" si="141"/>
        <v>134750223.5</v>
      </c>
      <c r="U69" s="106">
        <f t="shared" si="141"/>
        <v>49376269</v>
      </c>
      <c r="V69" s="106">
        <f t="shared" si="141"/>
        <v>18237175</v>
      </c>
      <c r="W69" s="106">
        <f t="shared" si="141"/>
        <v>13465000</v>
      </c>
      <c r="X69" s="106">
        <f t="shared" si="141"/>
        <v>5113644536</v>
      </c>
      <c r="Y69" s="106">
        <f t="shared" si="141"/>
        <v>145485903.5</v>
      </c>
      <c r="Z69" s="106">
        <f t="shared" si="141"/>
        <v>60111949</v>
      </c>
      <c r="AA69" s="106">
        <f t="shared" si="141"/>
        <v>28972855</v>
      </c>
      <c r="AB69" s="106">
        <f t="shared" si="141"/>
        <v>10735680</v>
      </c>
      <c r="AC69" s="106">
        <f t="shared" si="141"/>
        <v>5093981823</v>
      </c>
      <c r="AD69" s="106">
        <f t="shared" si="141"/>
        <v>125823190.5</v>
      </c>
      <c r="AE69" s="106">
        <f t="shared" si="141"/>
        <v>-19662713</v>
      </c>
      <c r="AF69" s="106">
        <f t="shared" si="141"/>
        <v>19662713</v>
      </c>
      <c r="AG69" s="106">
        <f t="shared" si="141"/>
        <v>5113644536</v>
      </c>
      <c r="AH69" s="106">
        <f t="shared" si="141"/>
        <v>145485903.5</v>
      </c>
      <c r="AI69" s="106">
        <f t="shared" si="141"/>
        <v>6338715</v>
      </c>
      <c r="AJ69" s="106">
        <f t="shared" si="141"/>
        <v>5119983251</v>
      </c>
      <c r="AK69" s="106">
        <f t="shared" si="141"/>
        <v>-1854731</v>
      </c>
      <c r="AL69" s="106">
        <f t="shared" si="141"/>
        <v>-1015000</v>
      </c>
      <c r="AM69" s="106">
        <f t="shared" si="141"/>
        <v>5117113520</v>
      </c>
      <c r="AN69" s="106">
        <f t="shared" si="141"/>
        <v>5200384426</v>
      </c>
      <c r="AO69" s="106">
        <f t="shared" si="141"/>
        <v>83270906</v>
      </c>
      <c r="AP69" s="106"/>
      <c r="AQ69" s="106">
        <f t="shared" ref="AQ69:AW69" si="142">SUM(AQ9:AQ68)</f>
        <v>5209678824</v>
      </c>
      <c r="AR69" s="106">
        <f t="shared" si="142"/>
        <v>92565304</v>
      </c>
      <c r="AS69" s="106">
        <f t="shared" si="142"/>
        <v>9294398</v>
      </c>
      <c r="AT69" s="106">
        <f t="shared" si="142"/>
        <v>5215895574</v>
      </c>
      <c r="AU69" s="106">
        <f t="shared" si="142"/>
        <v>98782054</v>
      </c>
      <c r="AV69" s="106">
        <f t="shared" si="142"/>
        <v>15511148</v>
      </c>
      <c r="AW69" s="106">
        <f t="shared" si="142"/>
        <v>6216750</v>
      </c>
      <c r="AX69" s="106"/>
      <c r="AY69" s="106">
        <f>SUM(AY9:AY68)</f>
        <v>5218122173</v>
      </c>
      <c r="AZ69" s="106">
        <f>SUM(AZ9:AZ68)</f>
        <v>101008653</v>
      </c>
      <c r="BA69" s="106">
        <f>SUM(BA9:BA68)</f>
        <v>17737747</v>
      </c>
      <c r="BB69" s="106">
        <f>SUM(BB9:BB68)</f>
        <v>2226599</v>
      </c>
      <c r="BC69" s="70"/>
      <c r="BD69" s="106">
        <f>SUM(BD9:BD68)</f>
        <v>5226487467</v>
      </c>
      <c r="BE69" s="106">
        <f>SUM(BE9:BE68)</f>
        <v>109373947</v>
      </c>
      <c r="BF69" s="106">
        <f>SUM(BF9:BF68)</f>
        <v>26103041</v>
      </c>
      <c r="BG69" s="106">
        <f>SUM(BG9:BG68)</f>
        <v>10591893</v>
      </c>
      <c r="BH69" s="106">
        <f>SUM(BH9:BH68)</f>
        <v>8365294</v>
      </c>
      <c r="BI69" s="31"/>
      <c r="BJ69" s="106">
        <f t="shared" ref="BJ69:BS69" si="143">SUM(BJ9:BJ68)</f>
        <v>5208454716</v>
      </c>
      <c r="BK69" s="106">
        <f t="shared" si="143"/>
        <v>-10143474</v>
      </c>
      <c r="BL69" s="106">
        <f t="shared" si="143"/>
        <v>5198311242</v>
      </c>
      <c r="BM69" s="82">
        <f t="shared" si="143"/>
        <v>10143474</v>
      </c>
      <c r="BN69" s="106">
        <f t="shared" si="143"/>
        <v>5208454716</v>
      </c>
      <c r="BO69" s="106">
        <f t="shared" si="143"/>
        <v>91341196</v>
      </c>
      <c r="BP69" s="106">
        <f t="shared" si="143"/>
        <v>8070290</v>
      </c>
      <c r="BQ69" s="106">
        <f t="shared" si="143"/>
        <v>-7440858</v>
      </c>
      <c r="BR69" s="106">
        <f t="shared" si="143"/>
        <v>-18032751</v>
      </c>
      <c r="BS69" s="106">
        <f t="shared" si="143"/>
        <v>0</v>
      </c>
      <c r="BT69" s="31"/>
      <c r="BU69" s="106">
        <f t="shared" ref="BU69:CZ69" si="144">SUM(BU9:BU68)</f>
        <v>8751555</v>
      </c>
      <c r="BV69" s="106">
        <f t="shared" si="144"/>
        <v>5217206271</v>
      </c>
      <c r="BW69" s="106">
        <f t="shared" si="144"/>
        <v>-251667</v>
      </c>
      <c r="BX69" s="106">
        <f t="shared" si="144"/>
        <v>5216954604</v>
      </c>
      <c r="BY69" s="106">
        <f t="shared" si="144"/>
        <v>-6301620</v>
      </c>
      <c r="BZ69" s="106">
        <f t="shared" si="144"/>
        <v>5210652984</v>
      </c>
      <c r="CA69" s="106">
        <f t="shared" si="144"/>
        <v>5299759151</v>
      </c>
      <c r="CB69" s="106" t="e">
        <f t="shared" si="144"/>
        <v>#REF!</v>
      </c>
      <c r="CC69" s="106">
        <f t="shared" si="144"/>
        <v>0</v>
      </c>
      <c r="CD69" s="106">
        <f t="shared" si="144"/>
        <v>5327168126</v>
      </c>
      <c r="CE69" s="106">
        <f t="shared" si="144"/>
        <v>116515142</v>
      </c>
      <c r="CF69" s="106">
        <f t="shared" si="144"/>
        <v>27408975</v>
      </c>
      <c r="CG69" s="106">
        <f t="shared" si="144"/>
        <v>0</v>
      </c>
      <c r="CH69" s="106">
        <f t="shared" si="144"/>
        <v>5334070892</v>
      </c>
      <c r="CI69" s="106">
        <f t="shared" si="144"/>
        <v>123417908</v>
      </c>
      <c r="CJ69" s="106">
        <f t="shared" si="144"/>
        <v>34311741</v>
      </c>
      <c r="CK69" s="106">
        <f t="shared" si="144"/>
        <v>6902766</v>
      </c>
      <c r="CL69" s="106">
        <f t="shared" si="144"/>
        <v>0</v>
      </c>
      <c r="CM69" s="106">
        <f t="shared" si="144"/>
        <v>5351455015</v>
      </c>
      <c r="CN69" s="106">
        <f t="shared" si="144"/>
        <v>140802031</v>
      </c>
      <c r="CO69" s="106">
        <f t="shared" si="144"/>
        <v>51695864</v>
      </c>
      <c r="CP69" s="106">
        <f t="shared" si="144"/>
        <v>17384123</v>
      </c>
      <c r="CQ69" s="106">
        <f t="shared" si="144"/>
        <v>0</v>
      </c>
      <c r="CR69" s="106">
        <f t="shared" si="144"/>
        <v>5355410015</v>
      </c>
      <c r="CS69" s="106">
        <f t="shared" si="144"/>
        <v>144757031</v>
      </c>
      <c r="CT69" s="106">
        <f t="shared" si="144"/>
        <v>55650864</v>
      </c>
      <c r="CU69" s="106">
        <f t="shared" si="144"/>
        <v>21339123</v>
      </c>
      <c r="CV69" s="106">
        <f t="shared" si="144"/>
        <v>3955000</v>
      </c>
      <c r="CW69" s="106">
        <f t="shared" si="144"/>
        <v>0</v>
      </c>
      <c r="CX69" s="106">
        <f t="shared" si="144"/>
        <v>5331137686</v>
      </c>
      <c r="CY69" s="106">
        <f t="shared" si="144"/>
        <v>120239579</v>
      </c>
      <c r="CZ69" s="106">
        <f t="shared" si="144"/>
        <v>31378535</v>
      </c>
      <c r="DA69" s="106">
        <f t="shared" ref="DA69:EF69" si="145">SUM(DA9:DA68)</f>
        <v>-2933206</v>
      </c>
      <c r="DB69" s="106">
        <f t="shared" si="145"/>
        <v>-24272329</v>
      </c>
      <c r="DC69" s="106">
        <f t="shared" si="145"/>
        <v>0</v>
      </c>
      <c r="DD69" s="106">
        <f t="shared" si="145"/>
        <v>5324136173</v>
      </c>
      <c r="DE69" s="106">
        <f t="shared" si="145"/>
        <v>113483189</v>
      </c>
      <c r="DF69" s="106">
        <f t="shared" si="145"/>
        <v>24377022</v>
      </c>
      <c r="DG69" s="106">
        <f t="shared" si="145"/>
        <v>-7001513</v>
      </c>
      <c r="DH69" s="106">
        <f t="shared" si="145"/>
        <v>0</v>
      </c>
      <c r="DI69" s="106">
        <f t="shared" si="145"/>
        <v>5331137686</v>
      </c>
      <c r="DJ69" s="106">
        <f t="shared" si="145"/>
        <v>0</v>
      </c>
      <c r="DK69" s="106">
        <f t="shared" si="145"/>
        <v>34100000</v>
      </c>
      <c r="DL69" s="106">
        <f t="shared" si="145"/>
        <v>5365237686</v>
      </c>
      <c r="DM69" s="106">
        <f t="shared" si="145"/>
        <v>154584702</v>
      </c>
      <c r="DN69" s="106">
        <f t="shared" si="145"/>
        <v>5460750309</v>
      </c>
      <c r="DO69" s="106">
        <f t="shared" si="145"/>
        <v>95512623</v>
      </c>
      <c r="DP69" s="106">
        <f t="shared" si="145"/>
        <v>0</v>
      </c>
      <c r="DQ69" s="106">
        <f t="shared" si="145"/>
        <v>5517837563</v>
      </c>
      <c r="DR69" s="106">
        <f t="shared" si="145"/>
        <v>9505373</v>
      </c>
      <c r="DS69" s="106">
        <f t="shared" si="145"/>
        <v>5527342936</v>
      </c>
      <c r="DT69" s="106">
        <f t="shared" si="145"/>
        <v>152599877</v>
      </c>
      <c r="DU69" s="106">
        <f t="shared" si="145"/>
        <v>57087254</v>
      </c>
      <c r="DV69" s="106">
        <f t="shared" si="145"/>
        <v>162105250</v>
      </c>
      <c r="DW69" s="106">
        <f t="shared" si="145"/>
        <v>66592627</v>
      </c>
      <c r="DX69" s="106">
        <f t="shared" si="145"/>
        <v>0</v>
      </c>
      <c r="DY69" s="106">
        <f t="shared" si="145"/>
        <v>0</v>
      </c>
      <c r="DZ69" s="106">
        <f t="shared" si="145"/>
        <v>5567756215</v>
      </c>
      <c r="EA69" s="106" t="e">
        <f t="shared" si="145"/>
        <v>#VALUE!</v>
      </c>
      <c r="EB69" s="106" t="e">
        <f t="shared" si="145"/>
        <v>#VALUE!</v>
      </c>
      <c r="EC69" s="106">
        <f t="shared" si="145"/>
        <v>202518529</v>
      </c>
      <c r="ED69" s="106">
        <f t="shared" si="145"/>
        <v>107005906</v>
      </c>
      <c r="EE69" s="106">
        <f t="shared" si="145"/>
        <v>40413279</v>
      </c>
      <c r="EF69" s="106">
        <f t="shared" si="145"/>
        <v>0</v>
      </c>
      <c r="EG69" s="106">
        <f t="shared" ref="EG69:ER69" si="146">SUM(EG9:EG68)</f>
        <v>16559485</v>
      </c>
      <c r="EH69" s="106">
        <f t="shared" si="146"/>
        <v>5584315700</v>
      </c>
      <c r="EI69" s="106">
        <f t="shared" si="146"/>
        <v>-5526132936</v>
      </c>
      <c r="EJ69" s="106" t="e">
        <f t="shared" si="146"/>
        <v>#VALUE!</v>
      </c>
      <c r="EK69" s="106">
        <f t="shared" si="146"/>
        <v>219078014</v>
      </c>
      <c r="EL69" s="106">
        <f t="shared" si="146"/>
        <v>123565391</v>
      </c>
      <c r="EM69" s="106">
        <f t="shared" si="146"/>
        <v>56972764</v>
      </c>
      <c r="EN69" s="106">
        <f t="shared" si="146"/>
        <v>16559485</v>
      </c>
      <c r="EO69" s="106">
        <f t="shared" si="146"/>
        <v>0</v>
      </c>
      <c r="EP69" s="106">
        <f t="shared" si="146"/>
        <v>5585352314</v>
      </c>
      <c r="EQ69" s="106">
        <f t="shared" si="146"/>
        <v>5585352314</v>
      </c>
      <c r="ER69" s="106">
        <f t="shared" si="146"/>
        <v>12530098</v>
      </c>
      <c r="ES69" s="106">
        <f>SUM(ES8:ES68)</f>
        <v>5597882412</v>
      </c>
      <c r="ET69" s="106">
        <f>SUM(ET9:ET68)</f>
        <v>137132103</v>
      </c>
      <c r="EU69" s="106">
        <f>SUM(EU9:EU68)</f>
        <v>232644726</v>
      </c>
      <c r="EV69" s="106">
        <f>SUM(EV9:EV68)</f>
        <v>0</v>
      </c>
      <c r="EW69" s="106"/>
      <c r="EX69" s="106">
        <f>SUM(EX8:EX68)</f>
        <v>5792694469</v>
      </c>
      <c r="EY69" s="106">
        <f>SUM(EY8:EY68)</f>
        <v>194812057</v>
      </c>
      <c r="EZ69" s="80"/>
      <c r="FA69" s="106">
        <f>SUM(FA8:FA68)</f>
        <v>5851057670</v>
      </c>
      <c r="FB69" s="106">
        <f>SUM(FB8:FB68)</f>
        <v>253175258</v>
      </c>
      <c r="FC69" s="106">
        <f>SUM(FC8:FC68)</f>
        <v>58363201</v>
      </c>
      <c r="FD69" s="80"/>
    </row>
    <row r="70" spans="1:160" ht="12.75" x14ac:dyDescent="0.2">
      <c r="A70" s="57"/>
      <c r="B70" s="42"/>
      <c r="C70" s="59"/>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Y70" s="68"/>
      <c r="BD70" s="68"/>
      <c r="BJ70" s="68"/>
      <c r="BK70" s="68"/>
      <c r="BL70" s="68"/>
      <c r="BM70" s="84"/>
      <c r="BN70" s="68"/>
      <c r="BO70" s="76"/>
      <c r="CA70" s="90"/>
      <c r="CB70" s="89"/>
      <c r="CE70" s="98"/>
      <c r="CF70" s="98"/>
      <c r="CI70" s="98">
        <f>CI69/BZ69</f>
        <v>2.3685689371173064E-2</v>
      </c>
      <c r="CJ70" s="98">
        <f>CJ69/CA69</f>
        <v>6.474207604986312E-3</v>
      </c>
      <c r="CK70" s="98"/>
      <c r="CN70" s="98"/>
      <c r="CO70" s="98"/>
      <c r="CP70" s="98"/>
      <c r="CS70" s="98"/>
      <c r="CT70" s="98"/>
      <c r="CU70" s="98"/>
      <c r="CV70" s="98"/>
      <c r="CY70" s="98"/>
      <c r="CZ70" s="98"/>
      <c r="DA70" s="98"/>
      <c r="DB70" s="98"/>
      <c r="DE70" s="98"/>
      <c r="DF70" s="98"/>
      <c r="DG70" s="98"/>
      <c r="DN70" s="90"/>
      <c r="DQ70" s="90"/>
      <c r="DR70" s="90"/>
      <c r="DS70" s="90"/>
      <c r="DZ70" s="90"/>
      <c r="EC70" s="165">
        <f>EC69/DL69</f>
        <v>3.7746422591575006E-2</v>
      </c>
      <c r="EH70" s="90"/>
      <c r="EK70" s="165"/>
      <c r="EP70" s="90"/>
      <c r="EQ70" s="90"/>
      <c r="ER70" s="90"/>
      <c r="ES70" s="90"/>
      <c r="EX70" s="90"/>
      <c r="FA70" s="90"/>
    </row>
    <row r="71" spans="1:160" ht="12.75" x14ac:dyDescent="0.2">
      <c r="A71" s="202" t="s">
        <v>706</v>
      </c>
      <c r="B71" s="9"/>
      <c r="C71" s="26"/>
      <c r="D71" s="104"/>
      <c r="E71" s="104"/>
      <c r="F71" s="5"/>
      <c r="G71" s="22"/>
      <c r="H71" s="5"/>
      <c r="I71" s="5"/>
      <c r="J71" s="31"/>
      <c r="K71" s="102"/>
      <c r="L71" s="11"/>
      <c r="M71" s="11"/>
      <c r="N71" s="11"/>
      <c r="O71" s="102"/>
      <c r="P71" s="11"/>
      <c r="Q71" s="11"/>
      <c r="R71" s="11"/>
      <c r="S71" s="102"/>
      <c r="T71" s="11"/>
      <c r="U71" s="11"/>
      <c r="V71" s="11"/>
      <c r="W71" s="11"/>
      <c r="X71" s="102"/>
      <c r="Y71" s="11"/>
      <c r="Z71" s="11"/>
      <c r="AA71" s="11"/>
      <c r="AB71" s="11"/>
      <c r="AC71" s="102"/>
      <c r="AD71" s="11"/>
      <c r="AE71" s="11"/>
      <c r="AF71" s="11"/>
      <c r="AG71" s="102"/>
      <c r="AH71" s="11"/>
      <c r="AI71" s="11"/>
      <c r="AJ71" s="11"/>
      <c r="AK71" s="11"/>
      <c r="AL71" s="11"/>
      <c r="AM71" s="11"/>
      <c r="AN71" s="102"/>
      <c r="AO71" s="11"/>
      <c r="AP71" s="11"/>
      <c r="AQ71" s="102"/>
      <c r="AR71" s="102"/>
      <c r="AS71" s="102"/>
      <c r="AT71" s="102"/>
      <c r="AU71" s="102"/>
      <c r="AV71" s="102"/>
      <c r="AW71" s="102"/>
      <c r="AX71" s="102"/>
      <c r="AY71" s="102"/>
      <c r="AZ71" s="102"/>
      <c r="BA71" s="102"/>
      <c r="BB71" s="102"/>
      <c r="BC71" s="66"/>
      <c r="BD71" s="102"/>
      <c r="BE71" s="102"/>
      <c r="BF71" s="102"/>
      <c r="BG71" s="102"/>
      <c r="BH71" s="102"/>
      <c r="BI71" s="80"/>
      <c r="BJ71" s="102"/>
      <c r="BK71" s="103"/>
      <c r="BL71" s="102"/>
      <c r="BM71" s="104"/>
      <c r="BN71" s="102"/>
      <c r="BO71" s="103"/>
      <c r="BP71" s="102"/>
      <c r="BQ71" s="102"/>
      <c r="BR71" s="102"/>
      <c r="BS71" s="102"/>
      <c r="BT71" s="80"/>
      <c r="BU71" s="80"/>
      <c r="BV71" s="78"/>
      <c r="BW71" s="78"/>
      <c r="BX71" s="78"/>
      <c r="BY71" s="78"/>
      <c r="BZ71" s="93"/>
      <c r="CA71" s="93"/>
      <c r="CB71" s="88"/>
      <c r="CC71" s="80"/>
      <c r="CD71" s="65"/>
      <c r="CE71" s="93"/>
      <c r="CF71" s="93"/>
      <c r="CG71" s="80"/>
      <c r="CH71" s="65"/>
      <c r="CI71" s="93"/>
      <c r="CJ71" s="93"/>
      <c r="CK71" s="93"/>
      <c r="CL71" s="80"/>
      <c r="CM71" s="65"/>
      <c r="CN71" s="93"/>
      <c r="CO71" s="93"/>
      <c r="CP71" s="93"/>
      <c r="CQ71" s="80"/>
      <c r="CR71" s="65"/>
      <c r="CS71" s="93"/>
      <c r="CT71" s="93"/>
      <c r="CU71" s="93"/>
      <c r="CV71" s="93"/>
      <c r="CW71" s="80"/>
      <c r="CX71" s="65"/>
      <c r="CY71" s="93"/>
      <c r="CZ71" s="93"/>
      <c r="DA71" s="93"/>
      <c r="DB71" s="93"/>
      <c r="DC71" s="80"/>
      <c r="DD71" s="65"/>
      <c r="DE71" s="93"/>
      <c r="DF71" s="93"/>
      <c r="DG71" s="93"/>
      <c r="DH71" s="80"/>
      <c r="DI71" s="65"/>
      <c r="DJ71" s="128"/>
      <c r="DK71" s="130"/>
      <c r="DL71" s="93"/>
      <c r="DM71" s="127"/>
      <c r="DN71" s="148"/>
      <c r="DO71" s="22"/>
      <c r="DP71" s="80"/>
      <c r="DQ71" s="145"/>
      <c r="DR71" s="145"/>
      <c r="DS71" s="148"/>
      <c r="DT71" s="24"/>
      <c r="DU71" s="22"/>
      <c r="DV71" s="22"/>
      <c r="DW71" s="22"/>
      <c r="DX71" s="80"/>
      <c r="DY71" s="157"/>
      <c r="DZ71" s="148"/>
      <c r="EA71" s="24"/>
      <c r="EB71" s="22"/>
      <c r="EC71" s="22"/>
      <c r="ED71" s="22"/>
      <c r="EE71" s="22"/>
      <c r="EF71" s="164"/>
      <c r="EG71" s="172"/>
      <c r="EH71" s="148"/>
      <c r="EI71" s="24"/>
      <c r="EJ71" s="22"/>
      <c r="EK71" s="22"/>
      <c r="EL71" s="22"/>
      <c r="EM71" s="22"/>
      <c r="EN71" s="22"/>
      <c r="EO71" s="164"/>
      <c r="EP71" s="145"/>
      <c r="EQ71" s="148"/>
      <c r="ER71" s="148"/>
      <c r="ES71" s="148"/>
      <c r="ET71" s="22"/>
      <c r="EU71" s="22"/>
      <c r="EV71" s="159"/>
      <c r="EW71" s="201"/>
      <c r="EX71" s="145"/>
      <c r="EY71" s="5"/>
      <c r="EZ71" s="29"/>
      <c r="FA71" s="145"/>
      <c r="FB71" s="5"/>
      <c r="FC71" s="5"/>
      <c r="FD71" s="29"/>
    </row>
    <row r="72" spans="1:160" ht="12.75" x14ac:dyDescent="0.2">
      <c r="A72" s="21" t="s">
        <v>700</v>
      </c>
      <c r="B72" s="9"/>
      <c r="C72" s="26" t="s">
        <v>702</v>
      </c>
      <c r="D72" s="104"/>
      <c r="E72" s="104"/>
      <c r="F72" s="5"/>
      <c r="G72" s="22"/>
      <c r="H72" s="5"/>
      <c r="I72" s="5"/>
      <c r="J72" s="31"/>
      <c r="K72" s="102"/>
      <c r="L72" s="11"/>
      <c r="M72" s="11"/>
      <c r="N72" s="11"/>
      <c r="O72" s="102"/>
      <c r="P72" s="11"/>
      <c r="Q72" s="11"/>
      <c r="R72" s="11"/>
      <c r="S72" s="102"/>
      <c r="T72" s="11"/>
      <c r="U72" s="11"/>
      <c r="V72" s="11"/>
      <c r="W72" s="11"/>
      <c r="X72" s="102"/>
      <c r="Y72" s="11"/>
      <c r="Z72" s="11"/>
      <c r="AA72" s="11"/>
      <c r="AB72" s="11"/>
      <c r="AC72" s="102"/>
      <c r="AD72" s="11"/>
      <c r="AE72" s="11"/>
      <c r="AF72" s="11"/>
      <c r="AG72" s="102"/>
      <c r="AH72" s="11"/>
      <c r="AI72" s="11"/>
      <c r="AJ72" s="11"/>
      <c r="AK72" s="11"/>
      <c r="AL72" s="11"/>
      <c r="AM72" s="11"/>
      <c r="AN72" s="102"/>
      <c r="AO72" s="11"/>
      <c r="AP72" s="11"/>
      <c r="AQ72" s="102"/>
      <c r="AR72" s="102"/>
      <c r="AS72" s="102"/>
      <c r="AT72" s="102"/>
      <c r="AU72" s="102"/>
      <c r="AV72" s="102"/>
      <c r="AW72" s="102"/>
      <c r="AX72" s="102"/>
      <c r="AY72" s="102"/>
      <c r="AZ72" s="102"/>
      <c r="BA72" s="102"/>
      <c r="BB72" s="102"/>
      <c r="BC72" s="66"/>
      <c r="BD72" s="102"/>
      <c r="BE72" s="102"/>
      <c r="BF72" s="102"/>
      <c r="BG72" s="102"/>
      <c r="BH72" s="102"/>
      <c r="BI72" s="80"/>
      <c r="BJ72" s="102"/>
      <c r="BK72" s="103"/>
      <c r="BL72" s="102"/>
      <c r="BM72" s="104"/>
      <c r="BN72" s="102"/>
      <c r="BO72" s="103"/>
      <c r="BP72" s="102"/>
      <c r="BQ72" s="102"/>
      <c r="BR72" s="102"/>
      <c r="BS72" s="102"/>
      <c r="BT72" s="80"/>
      <c r="BU72" s="80"/>
      <c r="BV72" s="78"/>
      <c r="BW72" s="78"/>
      <c r="BX72" s="78"/>
      <c r="BY72" s="78"/>
      <c r="BZ72" s="93"/>
      <c r="CA72" s="93"/>
      <c r="CB72" s="88"/>
      <c r="CC72" s="80"/>
      <c r="CD72" s="65"/>
      <c r="CE72" s="93"/>
      <c r="CF72" s="93"/>
      <c r="CG72" s="80"/>
      <c r="CH72" s="65"/>
      <c r="CI72" s="93"/>
      <c r="CJ72" s="93"/>
      <c r="CK72" s="93"/>
      <c r="CL72" s="80"/>
      <c r="CM72" s="65"/>
      <c r="CN72" s="93"/>
      <c r="CO72" s="93"/>
      <c r="CP72" s="93"/>
      <c r="CQ72" s="80"/>
      <c r="CR72" s="65"/>
      <c r="CS72" s="93"/>
      <c r="CT72" s="93"/>
      <c r="CU72" s="93"/>
      <c r="CV72" s="93"/>
      <c r="CW72" s="80"/>
      <c r="CX72" s="65"/>
      <c r="CY72" s="93"/>
      <c r="CZ72" s="93"/>
      <c r="DA72" s="93"/>
      <c r="DB72" s="93"/>
      <c r="DC72" s="80"/>
      <c r="DD72" s="65"/>
      <c r="DE72" s="93"/>
      <c r="DF72" s="93"/>
      <c r="DG72" s="93"/>
      <c r="DH72" s="80"/>
      <c r="DI72" s="65"/>
      <c r="DJ72" s="128"/>
      <c r="DK72" s="130"/>
      <c r="DL72" s="93"/>
      <c r="DM72" s="127"/>
      <c r="DN72" s="148"/>
      <c r="DO72" s="22"/>
      <c r="DP72" s="80"/>
      <c r="DQ72" s="145"/>
      <c r="DR72" s="145"/>
      <c r="DS72" s="148"/>
      <c r="DT72" s="24"/>
      <c r="DU72" s="22"/>
      <c r="DV72" s="22"/>
      <c r="DW72" s="22"/>
      <c r="DX72" s="80"/>
      <c r="DY72" s="157"/>
      <c r="DZ72" s="148"/>
      <c r="EA72" s="24"/>
      <c r="EB72" s="22"/>
      <c r="EC72" s="22"/>
      <c r="ED72" s="22"/>
      <c r="EE72" s="22"/>
      <c r="EF72" s="164"/>
      <c r="EG72" s="172"/>
      <c r="EH72" s="148"/>
      <c r="EI72" s="24"/>
      <c r="EJ72" s="22"/>
      <c r="EK72" s="22"/>
      <c r="EL72" s="22"/>
      <c r="EM72" s="22"/>
      <c r="EN72" s="22"/>
      <c r="EO72" s="164"/>
      <c r="EP72" s="145"/>
      <c r="EQ72" s="148"/>
      <c r="ER72" s="148"/>
      <c r="ES72" s="148"/>
      <c r="ET72" s="22"/>
      <c r="EU72" s="22"/>
      <c r="EV72" s="159"/>
      <c r="EW72" s="201"/>
      <c r="EX72" s="106">
        <v>50000000</v>
      </c>
      <c r="EY72" s="5">
        <f>EX72-ES72</f>
        <v>50000000</v>
      </c>
      <c r="EZ72" s="29"/>
      <c r="FA72" s="209">
        <v>0</v>
      </c>
      <c r="FB72" s="5">
        <f>EZ72-EU72</f>
        <v>0</v>
      </c>
      <c r="FC72" s="5">
        <f>FA72-EV72</f>
        <v>0</v>
      </c>
      <c r="FD72" s="29"/>
    </row>
    <row r="73" spans="1:160" ht="12.75" x14ac:dyDescent="0.2">
      <c r="A73" s="21" t="s">
        <v>701</v>
      </c>
      <c r="B73" s="9"/>
      <c r="C73" s="26" t="s">
        <v>703</v>
      </c>
      <c r="D73" s="104"/>
      <c r="E73" s="104"/>
      <c r="F73" s="5"/>
      <c r="G73" s="22"/>
      <c r="H73" s="5"/>
      <c r="I73" s="5"/>
      <c r="J73" s="31"/>
      <c r="K73" s="102"/>
      <c r="L73" s="11"/>
      <c r="M73" s="11"/>
      <c r="N73" s="11"/>
      <c r="O73" s="102"/>
      <c r="P73" s="11"/>
      <c r="Q73" s="11"/>
      <c r="R73" s="11"/>
      <c r="S73" s="102"/>
      <c r="T73" s="11"/>
      <c r="U73" s="11"/>
      <c r="V73" s="11"/>
      <c r="W73" s="11"/>
      <c r="X73" s="102"/>
      <c r="Y73" s="11"/>
      <c r="Z73" s="11"/>
      <c r="AA73" s="11"/>
      <c r="AB73" s="11"/>
      <c r="AC73" s="102"/>
      <c r="AD73" s="11"/>
      <c r="AE73" s="11"/>
      <c r="AF73" s="11"/>
      <c r="AG73" s="102"/>
      <c r="AH73" s="11"/>
      <c r="AI73" s="11"/>
      <c r="AJ73" s="11"/>
      <c r="AK73" s="11"/>
      <c r="AL73" s="11"/>
      <c r="AM73" s="11"/>
      <c r="AN73" s="102"/>
      <c r="AO73" s="11"/>
      <c r="AP73" s="11"/>
      <c r="AQ73" s="102"/>
      <c r="AR73" s="102"/>
      <c r="AS73" s="102"/>
      <c r="AT73" s="102"/>
      <c r="AU73" s="102"/>
      <c r="AV73" s="102"/>
      <c r="AW73" s="102"/>
      <c r="AX73" s="102"/>
      <c r="AY73" s="102"/>
      <c r="AZ73" s="102"/>
      <c r="BA73" s="102"/>
      <c r="BB73" s="102"/>
      <c r="BC73" s="66"/>
      <c r="BD73" s="102"/>
      <c r="BE73" s="102"/>
      <c r="BF73" s="102"/>
      <c r="BG73" s="102"/>
      <c r="BH73" s="102"/>
      <c r="BI73" s="80"/>
      <c r="BJ73" s="102"/>
      <c r="BK73" s="103"/>
      <c r="BL73" s="102"/>
      <c r="BM73" s="104"/>
      <c r="BN73" s="102"/>
      <c r="BO73" s="103"/>
      <c r="BP73" s="102"/>
      <c r="BQ73" s="102"/>
      <c r="BR73" s="102"/>
      <c r="BS73" s="102"/>
      <c r="BT73" s="80"/>
      <c r="BU73" s="80"/>
      <c r="BV73" s="78"/>
      <c r="BW73" s="78"/>
      <c r="BX73" s="78"/>
      <c r="BY73" s="78"/>
      <c r="BZ73" s="93"/>
      <c r="CA73" s="93"/>
      <c r="CB73" s="88"/>
      <c r="CC73" s="80"/>
      <c r="CD73" s="65"/>
      <c r="CE73" s="93"/>
      <c r="CF73" s="93"/>
      <c r="CG73" s="80"/>
      <c r="CH73" s="65"/>
      <c r="CI73" s="93"/>
      <c r="CJ73" s="93"/>
      <c r="CK73" s="93"/>
      <c r="CL73" s="80"/>
      <c r="CM73" s="65"/>
      <c r="CN73" s="93"/>
      <c r="CO73" s="93"/>
      <c r="CP73" s="93"/>
      <c r="CQ73" s="80"/>
      <c r="CR73" s="65"/>
      <c r="CS73" s="93"/>
      <c r="CT73" s="93"/>
      <c r="CU73" s="93"/>
      <c r="CV73" s="93"/>
      <c r="CW73" s="80"/>
      <c r="CX73" s="65"/>
      <c r="CY73" s="93"/>
      <c r="CZ73" s="93"/>
      <c r="DA73" s="93"/>
      <c r="DB73" s="93"/>
      <c r="DC73" s="80"/>
      <c r="DD73" s="65"/>
      <c r="DE73" s="93"/>
      <c r="DF73" s="93"/>
      <c r="DG73" s="93"/>
      <c r="DH73" s="80"/>
      <c r="DI73" s="65"/>
      <c r="DJ73" s="128"/>
      <c r="DK73" s="130"/>
      <c r="DL73" s="93"/>
      <c r="DM73" s="127"/>
      <c r="DN73" s="148"/>
      <c r="DO73" s="22"/>
      <c r="DP73" s="80"/>
      <c r="DQ73" s="145"/>
      <c r="DR73" s="145"/>
      <c r="DS73" s="148"/>
      <c r="DT73" s="24"/>
      <c r="DU73" s="22"/>
      <c r="DV73" s="22"/>
      <c r="DW73" s="22"/>
      <c r="DX73" s="80"/>
      <c r="DY73" s="157"/>
      <c r="DZ73" s="148"/>
      <c r="EA73" s="24"/>
      <c r="EB73" s="22"/>
      <c r="EC73" s="22"/>
      <c r="ED73" s="22"/>
      <c r="EE73" s="22"/>
      <c r="EF73" s="164"/>
      <c r="EG73" s="172"/>
      <c r="EH73" s="148"/>
      <c r="EI73" s="24"/>
      <c r="EJ73" s="22"/>
      <c r="EK73" s="22"/>
      <c r="EL73" s="22"/>
      <c r="EM73" s="22"/>
      <c r="EN73" s="22"/>
      <c r="EO73" s="164"/>
      <c r="EP73" s="145"/>
      <c r="EQ73" s="148"/>
      <c r="ER73" s="148"/>
      <c r="ES73" s="148"/>
      <c r="ET73" s="22"/>
      <c r="EU73" s="22"/>
      <c r="EV73" s="159"/>
      <c r="EW73" s="201"/>
      <c r="EX73" s="106">
        <v>30000000</v>
      </c>
      <c r="EY73" s="5">
        <f t="shared" ref="EY73" si="147">EX73-ES73</f>
        <v>30000000</v>
      </c>
      <c r="EZ73" s="29"/>
      <c r="FA73" s="209">
        <v>0</v>
      </c>
      <c r="FB73" s="5">
        <f>EZ73-EU73</f>
        <v>0</v>
      </c>
      <c r="FC73" s="5">
        <f>FA73-EV73</f>
        <v>0</v>
      </c>
      <c r="FD73" s="29"/>
    </row>
    <row r="74" spans="1:160" ht="12.75" x14ac:dyDescent="0.2">
      <c r="A74" s="17" t="s">
        <v>705</v>
      </c>
      <c r="B74" s="10"/>
      <c r="C74" s="38"/>
      <c r="D74" s="106">
        <f>SUM(D14:D70)</f>
        <v>9903055880</v>
      </c>
      <c r="E74" s="106">
        <f t="shared" ref="E74:AO74" si="148">SUM(E14:E73)</f>
        <v>10077254795</v>
      </c>
      <c r="F74" s="106">
        <f t="shared" si="148"/>
        <v>174198915</v>
      </c>
      <c r="G74" s="106">
        <f t="shared" si="148"/>
        <v>10119192364</v>
      </c>
      <c r="H74" s="106">
        <f t="shared" si="148"/>
        <v>216136484</v>
      </c>
      <c r="I74" s="106">
        <f t="shared" si="148"/>
        <v>44695569</v>
      </c>
      <c r="J74" s="106">
        <f t="shared" si="148"/>
        <v>0</v>
      </c>
      <c r="K74" s="106">
        <f t="shared" si="148"/>
        <v>10133043258</v>
      </c>
      <c r="L74" s="106">
        <f t="shared" si="148"/>
        <v>229987378</v>
      </c>
      <c r="M74" s="106">
        <f t="shared" si="148"/>
        <v>58546463</v>
      </c>
      <c r="N74" s="106">
        <f t="shared" si="148"/>
        <v>13850894</v>
      </c>
      <c r="O74" s="106">
        <f t="shared" si="148"/>
        <v>10144549472</v>
      </c>
      <c r="P74" s="106">
        <f t="shared" si="148"/>
        <v>241493592</v>
      </c>
      <c r="Q74" s="106">
        <f t="shared" si="148"/>
        <v>70052677</v>
      </c>
      <c r="R74" s="106">
        <f t="shared" si="148"/>
        <v>11506214</v>
      </c>
      <c r="S74" s="106">
        <f t="shared" si="148"/>
        <v>10169259472</v>
      </c>
      <c r="T74" s="106">
        <f t="shared" si="148"/>
        <v>266203592</v>
      </c>
      <c r="U74" s="106">
        <f t="shared" si="148"/>
        <v>94762677</v>
      </c>
      <c r="V74" s="106">
        <f t="shared" si="148"/>
        <v>36216214</v>
      </c>
      <c r="W74" s="106">
        <f t="shared" si="148"/>
        <v>24710000</v>
      </c>
      <c r="X74" s="106">
        <f t="shared" si="148"/>
        <v>10190303968</v>
      </c>
      <c r="Y74" s="106">
        <f t="shared" si="148"/>
        <v>287248088</v>
      </c>
      <c r="Z74" s="106">
        <f t="shared" si="148"/>
        <v>115807173</v>
      </c>
      <c r="AA74" s="106">
        <f t="shared" si="148"/>
        <v>57260710</v>
      </c>
      <c r="AB74" s="106">
        <f t="shared" si="148"/>
        <v>21044496</v>
      </c>
      <c r="AC74" s="106">
        <f t="shared" si="148"/>
        <v>10152171542</v>
      </c>
      <c r="AD74" s="106">
        <f t="shared" si="148"/>
        <v>249115662</v>
      </c>
      <c r="AE74" s="106">
        <f t="shared" si="148"/>
        <v>-38132426</v>
      </c>
      <c r="AF74" s="106">
        <f t="shared" si="148"/>
        <v>38132426</v>
      </c>
      <c r="AG74" s="106">
        <f t="shared" si="148"/>
        <v>10190303968</v>
      </c>
      <c r="AH74" s="106">
        <f t="shared" si="148"/>
        <v>287248088</v>
      </c>
      <c r="AI74" s="106">
        <f t="shared" si="148"/>
        <v>12568715</v>
      </c>
      <c r="AJ74" s="106">
        <f t="shared" si="148"/>
        <v>10202872683</v>
      </c>
      <c r="AK74" s="106">
        <f t="shared" si="148"/>
        <v>-2829282</v>
      </c>
      <c r="AL74" s="106">
        <f t="shared" si="148"/>
        <v>-1955000</v>
      </c>
      <c r="AM74" s="106">
        <f t="shared" si="148"/>
        <v>10198088401</v>
      </c>
      <c r="AN74" s="106">
        <f t="shared" si="148"/>
        <v>10363826615</v>
      </c>
      <c r="AO74" s="106">
        <f t="shared" si="148"/>
        <v>165738214</v>
      </c>
      <c r="AP74" s="106"/>
      <c r="AQ74" s="106">
        <f t="shared" ref="AQ74:AW74" si="149">SUM(AQ14:AQ73)</f>
        <v>10384755150</v>
      </c>
      <c r="AR74" s="106">
        <f t="shared" si="149"/>
        <v>186666749</v>
      </c>
      <c r="AS74" s="106">
        <f t="shared" si="149"/>
        <v>20928535</v>
      </c>
      <c r="AT74" s="106">
        <f t="shared" si="149"/>
        <v>10395350650</v>
      </c>
      <c r="AU74" s="106">
        <f t="shared" si="149"/>
        <v>197262249</v>
      </c>
      <c r="AV74" s="106">
        <f t="shared" si="149"/>
        <v>31524035</v>
      </c>
      <c r="AW74" s="106">
        <f t="shared" si="149"/>
        <v>10595500</v>
      </c>
      <c r="AX74" s="106"/>
      <c r="AY74" s="106">
        <f>SUM(AY14:AY73)</f>
        <v>10400881519</v>
      </c>
      <c r="AZ74" s="106">
        <f>SUM(AZ14:AZ73)</f>
        <v>202793118</v>
      </c>
      <c r="BA74" s="106">
        <f>SUM(BA14:BA73)</f>
        <v>37054904</v>
      </c>
      <c r="BB74" s="106">
        <f>SUM(BB14:BB73)</f>
        <v>5530869</v>
      </c>
      <c r="BC74" s="70"/>
      <c r="BD74" s="106">
        <f>SUM(BD14:BD73)</f>
        <v>10416556813</v>
      </c>
      <c r="BE74" s="106">
        <f>SUM(BE14:BE73)</f>
        <v>218468412</v>
      </c>
      <c r="BF74" s="106">
        <f>SUM(BF14:BF73)</f>
        <v>52730198</v>
      </c>
      <c r="BG74" s="106">
        <f>SUM(BG14:BG73)</f>
        <v>21206163</v>
      </c>
      <c r="BH74" s="106">
        <f>SUM(BH14:BH73)</f>
        <v>15675294</v>
      </c>
      <c r="BI74" s="31"/>
      <c r="BJ74" s="106">
        <f t="shared" ref="BJ74:BS74" si="150">SUM(BJ14:BJ73)</f>
        <v>10379314593</v>
      </c>
      <c r="BK74" s="106">
        <f t="shared" si="150"/>
        <v>-17126654</v>
      </c>
      <c r="BL74" s="106">
        <f t="shared" si="150"/>
        <v>10362187939</v>
      </c>
      <c r="BM74" s="82">
        <f t="shared" si="150"/>
        <v>17126654</v>
      </c>
      <c r="BN74" s="106">
        <f t="shared" si="150"/>
        <v>10379314593</v>
      </c>
      <c r="BO74" s="106">
        <f t="shared" si="150"/>
        <v>181226192</v>
      </c>
      <c r="BP74" s="106">
        <f t="shared" si="150"/>
        <v>15487978</v>
      </c>
      <c r="BQ74" s="106">
        <f t="shared" si="150"/>
        <v>-16036057</v>
      </c>
      <c r="BR74" s="106">
        <f t="shared" si="150"/>
        <v>-37242220</v>
      </c>
      <c r="BS74" s="106">
        <f t="shared" si="150"/>
        <v>0</v>
      </c>
      <c r="BT74" s="31"/>
      <c r="BU74" s="106">
        <f t="shared" ref="BU74:DK74" si="151">SUM(BU14:BU73)</f>
        <v>17503110</v>
      </c>
      <c r="BV74" s="106">
        <f t="shared" si="151"/>
        <v>10396817703</v>
      </c>
      <c r="BW74" s="106">
        <f t="shared" si="151"/>
        <v>-503334</v>
      </c>
      <c r="BX74" s="106">
        <f t="shared" si="151"/>
        <v>10396314369</v>
      </c>
      <c r="BY74" s="106">
        <f t="shared" si="151"/>
        <v>-9877729</v>
      </c>
      <c r="BZ74" s="106">
        <f t="shared" si="151"/>
        <v>10386436640</v>
      </c>
      <c r="CA74" s="106">
        <f t="shared" si="151"/>
        <v>10567105857</v>
      </c>
      <c r="CB74" s="106" t="e">
        <f t="shared" si="151"/>
        <v>#REF!</v>
      </c>
      <c r="CC74" s="106">
        <f t="shared" si="151"/>
        <v>0</v>
      </c>
      <c r="CD74" s="106">
        <f t="shared" si="151"/>
        <v>10619624417</v>
      </c>
      <c r="CE74" s="106">
        <f t="shared" si="151"/>
        <v>233187777</v>
      </c>
      <c r="CF74" s="106">
        <f t="shared" si="151"/>
        <v>52518560</v>
      </c>
      <c r="CG74" s="106">
        <f t="shared" si="151"/>
        <v>0</v>
      </c>
      <c r="CH74" s="106">
        <f t="shared" si="151"/>
        <v>10631389949</v>
      </c>
      <c r="CI74" s="106">
        <f t="shared" si="151"/>
        <v>244953309.02368569</v>
      </c>
      <c r="CJ74" s="106">
        <f t="shared" si="151"/>
        <v>64284092.006474204</v>
      </c>
      <c r="CK74" s="106">
        <f t="shared" si="151"/>
        <v>11765532</v>
      </c>
      <c r="CL74" s="106">
        <f t="shared" si="151"/>
        <v>0</v>
      </c>
      <c r="CM74" s="106">
        <f t="shared" si="151"/>
        <v>10667440167</v>
      </c>
      <c r="CN74" s="106">
        <f t="shared" si="151"/>
        <v>281003527</v>
      </c>
      <c r="CO74" s="106">
        <f t="shared" si="151"/>
        <v>100334310</v>
      </c>
      <c r="CP74" s="106">
        <f t="shared" si="151"/>
        <v>36050218</v>
      </c>
      <c r="CQ74" s="106">
        <f t="shared" si="151"/>
        <v>0</v>
      </c>
      <c r="CR74" s="106">
        <f t="shared" si="151"/>
        <v>10674850167</v>
      </c>
      <c r="CS74" s="106">
        <f t="shared" si="151"/>
        <v>288413527</v>
      </c>
      <c r="CT74" s="106">
        <f t="shared" si="151"/>
        <v>107744310</v>
      </c>
      <c r="CU74" s="106">
        <f t="shared" si="151"/>
        <v>43460218</v>
      </c>
      <c r="CV74" s="106">
        <f t="shared" si="151"/>
        <v>7410000</v>
      </c>
      <c r="CW74" s="106">
        <f t="shared" si="151"/>
        <v>0</v>
      </c>
      <c r="CX74" s="106">
        <f t="shared" si="151"/>
        <v>10625492616</v>
      </c>
      <c r="CY74" s="106">
        <f t="shared" si="151"/>
        <v>238565730</v>
      </c>
      <c r="CZ74" s="106">
        <f t="shared" si="151"/>
        <v>58386759</v>
      </c>
      <c r="DA74" s="106">
        <f t="shared" si="151"/>
        <v>-5897333</v>
      </c>
      <c r="DB74" s="106">
        <f t="shared" si="151"/>
        <v>-49357551</v>
      </c>
      <c r="DC74" s="106">
        <f t="shared" si="151"/>
        <v>0</v>
      </c>
      <c r="DD74" s="106">
        <f t="shared" si="151"/>
        <v>10614229590</v>
      </c>
      <c r="DE74" s="106">
        <f t="shared" si="151"/>
        <v>227792950</v>
      </c>
      <c r="DF74" s="106">
        <f t="shared" si="151"/>
        <v>47123733</v>
      </c>
      <c r="DG74" s="106">
        <f t="shared" si="151"/>
        <v>-11263026</v>
      </c>
      <c r="DH74" s="106">
        <f t="shared" si="151"/>
        <v>0</v>
      </c>
      <c r="DI74" s="106">
        <f t="shared" si="151"/>
        <v>10625492616</v>
      </c>
      <c r="DJ74" s="106">
        <f t="shared" si="151"/>
        <v>0</v>
      </c>
      <c r="DK74" s="106">
        <f t="shared" si="151"/>
        <v>68200000</v>
      </c>
      <c r="DL74" s="106">
        <f>SUM(DL72:DL73)</f>
        <v>0</v>
      </c>
      <c r="DM74" s="106">
        <f t="shared" ref="DM74:EY74" si="152">SUM(DM72:DM73)</f>
        <v>0</v>
      </c>
      <c r="DN74" s="106">
        <f t="shared" si="152"/>
        <v>0</v>
      </c>
      <c r="DO74" s="106">
        <f t="shared" si="152"/>
        <v>0</v>
      </c>
      <c r="DP74" s="106">
        <f t="shared" si="152"/>
        <v>0</v>
      </c>
      <c r="DQ74" s="106">
        <f t="shared" si="152"/>
        <v>0</v>
      </c>
      <c r="DR74" s="106">
        <f t="shared" si="152"/>
        <v>0</v>
      </c>
      <c r="DS74" s="106">
        <f t="shared" si="152"/>
        <v>0</v>
      </c>
      <c r="DT74" s="106">
        <f t="shared" si="152"/>
        <v>0</v>
      </c>
      <c r="DU74" s="106">
        <f t="shared" si="152"/>
        <v>0</v>
      </c>
      <c r="DV74" s="106">
        <f t="shared" si="152"/>
        <v>0</v>
      </c>
      <c r="DW74" s="106">
        <f t="shared" si="152"/>
        <v>0</v>
      </c>
      <c r="DX74" s="106">
        <f t="shared" si="152"/>
        <v>0</v>
      </c>
      <c r="DY74" s="106">
        <f t="shared" si="152"/>
        <v>0</v>
      </c>
      <c r="DZ74" s="106">
        <f t="shared" si="152"/>
        <v>0</v>
      </c>
      <c r="EA74" s="106">
        <f t="shared" si="152"/>
        <v>0</v>
      </c>
      <c r="EB74" s="106">
        <f t="shared" si="152"/>
        <v>0</v>
      </c>
      <c r="EC74" s="106">
        <f t="shared" si="152"/>
        <v>0</v>
      </c>
      <c r="ED74" s="106">
        <f t="shared" si="152"/>
        <v>0</v>
      </c>
      <c r="EE74" s="106">
        <f t="shared" si="152"/>
        <v>0</v>
      </c>
      <c r="EF74" s="106">
        <f t="shared" si="152"/>
        <v>0</v>
      </c>
      <c r="EG74" s="106">
        <f t="shared" si="152"/>
        <v>0</v>
      </c>
      <c r="EH74" s="106">
        <f t="shared" si="152"/>
        <v>0</v>
      </c>
      <c r="EI74" s="106">
        <f t="shared" si="152"/>
        <v>0</v>
      </c>
      <c r="EJ74" s="106">
        <f t="shared" si="152"/>
        <v>0</v>
      </c>
      <c r="EK74" s="106">
        <f t="shared" si="152"/>
        <v>0</v>
      </c>
      <c r="EL74" s="106">
        <f t="shared" si="152"/>
        <v>0</v>
      </c>
      <c r="EM74" s="106">
        <f t="shared" si="152"/>
        <v>0</v>
      </c>
      <c r="EN74" s="106">
        <f t="shared" si="152"/>
        <v>0</v>
      </c>
      <c r="EO74" s="106">
        <f t="shared" si="152"/>
        <v>0</v>
      </c>
      <c r="EP74" s="106">
        <f t="shared" si="152"/>
        <v>0</v>
      </c>
      <c r="EQ74" s="106">
        <f t="shared" si="152"/>
        <v>0</v>
      </c>
      <c r="ER74" s="106">
        <f t="shared" si="152"/>
        <v>0</v>
      </c>
      <c r="ES74" s="106">
        <f t="shared" si="152"/>
        <v>0</v>
      </c>
      <c r="ET74" s="106">
        <f t="shared" si="152"/>
        <v>0</v>
      </c>
      <c r="EU74" s="106">
        <f t="shared" si="152"/>
        <v>0</v>
      </c>
      <c r="EV74" s="106">
        <f t="shared" si="152"/>
        <v>0</v>
      </c>
      <c r="EW74" s="106"/>
      <c r="EX74" s="106">
        <f t="shared" si="152"/>
        <v>80000000</v>
      </c>
      <c r="EY74" s="106">
        <f t="shared" si="152"/>
        <v>80000000</v>
      </c>
      <c r="EZ74" s="31"/>
      <c r="FA74" s="209">
        <f t="shared" ref="FA74:FC74" si="153">SUM(FA72:FA73)</f>
        <v>0</v>
      </c>
      <c r="FB74" s="106">
        <f t="shared" ref="FB74" si="154">SUM(FB72:FB73)</f>
        <v>0</v>
      </c>
      <c r="FC74" s="106">
        <f t="shared" si="153"/>
        <v>0</v>
      </c>
      <c r="FD74" s="31"/>
    </row>
    <row r="75" spans="1:160" ht="14.25" customHeight="1" x14ac:dyDescent="0.2">
      <c r="A75" s="58"/>
      <c r="B75" s="42"/>
      <c r="C75" s="59"/>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BX75" s="89"/>
      <c r="CC75" s="91"/>
      <c r="CE75" s="91"/>
      <c r="CF75" s="91"/>
      <c r="CG75" s="91"/>
      <c r="CI75" s="91"/>
      <c r="CJ75" s="91"/>
      <c r="CK75" s="91"/>
      <c r="CL75" s="91"/>
      <c r="CN75" s="91"/>
      <c r="CO75" s="91"/>
      <c r="CP75" s="91"/>
      <c r="CQ75" s="91"/>
      <c r="CS75" s="91"/>
      <c r="CT75" s="91"/>
      <c r="CU75" s="91"/>
      <c r="CV75" s="91"/>
      <c r="CW75" s="91"/>
      <c r="CY75" s="91"/>
      <c r="CZ75" s="91"/>
      <c r="DA75" s="91"/>
      <c r="DB75" s="91"/>
      <c r="DC75" s="91"/>
      <c r="DE75" s="91"/>
      <c r="DF75" s="91"/>
      <c r="DG75" s="91"/>
      <c r="DH75" s="91"/>
      <c r="DJ75" s="126"/>
      <c r="DL75" s="126"/>
      <c r="DM75" s="126"/>
      <c r="DP75" s="126"/>
      <c r="DX75" s="126"/>
      <c r="EE75" s="3"/>
      <c r="EM75" s="3"/>
      <c r="EN75" s="3"/>
      <c r="ET75" s="3"/>
      <c r="EU75" s="184"/>
      <c r="EX75" s="90"/>
      <c r="FA75" s="90"/>
    </row>
    <row r="76" spans="1:160" ht="14.25" customHeight="1" x14ac:dyDescent="0.2">
      <c r="A76" s="56"/>
      <c r="B76" s="42"/>
      <c r="C76" s="59"/>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BL76" s="75"/>
      <c r="BM76" s="83"/>
      <c r="BN76" s="75"/>
      <c r="BO76" s="75"/>
      <c r="CC76" s="91"/>
      <c r="CE76" s="91"/>
      <c r="CF76" s="91"/>
      <c r="CG76" s="91"/>
      <c r="CI76" s="91"/>
      <c r="CJ76" s="91"/>
      <c r="CK76" s="91"/>
      <c r="CL76" s="91"/>
      <c r="CN76" s="91"/>
      <c r="CO76" s="91"/>
      <c r="CP76" s="91"/>
      <c r="CQ76" s="91"/>
      <c r="CS76" s="91"/>
      <c r="CT76" s="91"/>
      <c r="CU76" s="91"/>
      <c r="CV76" s="91"/>
      <c r="CW76" s="91"/>
      <c r="CY76" s="91"/>
      <c r="CZ76" s="91"/>
      <c r="DA76" s="91"/>
      <c r="DB76" s="91"/>
      <c r="DC76" s="91"/>
      <c r="DE76" s="91"/>
      <c r="DF76" s="91"/>
      <c r="DG76" s="91"/>
      <c r="DH76" s="91"/>
      <c r="DJ76" s="126"/>
      <c r="DL76" s="126"/>
      <c r="DM76" s="126"/>
      <c r="DP76" s="126"/>
      <c r="DX76" s="126"/>
      <c r="EE76" s="3"/>
      <c r="EM76" s="3"/>
      <c r="EN76" s="3"/>
      <c r="ET76" s="3"/>
      <c r="EU76" s="184"/>
    </row>
    <row r="77" spans="1:160" ht="12.75" x14ac:dyDescent="0.2">
      <c r="A77" s="56"/>
      <c r="B77" s="42"/>
      <c r="C77" s="59"/>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CC77" s="91"/>
      <c r="CE77" s="91"/>
      <c r="CF77" s="91"/>
      <c r="CG77" s="91"/>
      <c r="CI77" s="91"/>
      <c r="CJ77" s="91"/>
      <c r="CK77" s="91"/>
      <c r="CL77" s="91"/>
      <c r="CN77" s="91"/>
      <c r="CO77" s="91"/>
      <c r="CP77" s="91"/>
      <c r="CQ77" s="91"/>
      <c r="CS77" s="91"/>
      <c r="CT77" s="91"/>
      <c r="CU77" s="91"/>
      <c r="CV77" s="91"/>
      <c r="CW77" s="91"/>
      <c r="CY77" s="91"/>
      <c r="CZ77" s="91"/>
      <c r="DA77" s="91"/>
      <c r="DB77" s="91"/>
      <c r="DC77" s="91"/>
      <c r="DE77" s="91"/>
      <c r="DF77" s="91"/>
      <c r="DG77" s="91"/>
      <c r="DH77" s="91"/>
      <c r="DJ77" s="126"/>
      <c r="DL77" s="126"/>
      <c r="DM77" s="126"/>
      <c r="DP77" s="126"/>
      <c r="DX77" s="126"/>
    </row>
    <row r="78" spans="1:160" ht="12.75" x14ac:dyDescent="0.2">
      <c r="A78" s="56"/>
      <c r="B78" s="42"/>
      <c r="C78" s="59"/>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CC78" s="91"/>
      <c r="CE78" s="91"/>
      <c r="CF78" s="91"/>
      <c r="CG78" s="91"/>
      <c r="CI78" s="91"/>
      <c r="CJ78" s="91"/>
      <c r="CK78" s="91"/>
      <c r="CL78" s="91"/>
      <c r="CN78" s="91"/>
      <c r="CO78" s="91"/>
      <c r="CP78" s="91"/>
      <c r="CQ78" s="91"/>
      <c r="CS78" s="91"/>
      <c r="CT78" s="91"/>
      <c r="CU78" s="91"/>
      <c r="CV78" s="91"/>
      <c r="CW78" s="91"/>
      <c r="CY78" s="91"/>
      <c r="CZ78" s="91"/>
      <c r="DA78" s="91"/>
      <c r="DB78" s="91"/>
      <c r="DC78" s="91"/>
      <c r="DE78" s="91"/>
      <c r="DF78" s="91"/>
      <c r="DG78" s="91"/>
      <c r="DH78" s="91"/>
      <c r="DJ78" s="126"/>
      <c r="DL78" s="126"/>
      <c r="DM78" s="126"/>
      <c r="DP78" s="126"/>
      <c r="DX78" s="126"/>
    </row>
    <row r="79" spans="1:160" ht="12.75" x14ac:dyDescent="0.2">
      <c r="A79" s="56"/>
      <c r="B79" s="42"/>
      <c r="C79" s="59"/>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CC79" s="91"/>
      <c r="CE79" s="91"/>
      <c r="CF79" s="91"/>
      <c r="CG79" s="91"/>
      <c r="CI79" s="91"/>
      <c r="CJ79" s="91"/>
      <c r="CK79" s="91"/>
      <c r="CL79" s="91"/>
      <c r="CN79" s="91"/>
      <c r="CO79" s="91"/>
      <c r="CP79" s="91"/>
      <c r="CQ79" s="91"/>
      <c r="CS79" s="91"/>
      <c r="CT79" s="91"/>
      <c r="CU79" s="91"/>
      <c r="CV79" s="91"/>
      <c r="CW79" s="91"/>
      <c r="CY79" s="91"/>
      <c r="CZ79" s="91"/>
      <c r="DA79" s="91"/>
      <c r="DB79" s="91"/>
      <c r="DC79" s="91"/>
      <c r="DE79" s="91"/>
      <c r="DF79" s="91"/>
      <c r="DG79" s="91"/>
      <c r="DH79" s="91"/>
      <c r="DJ79" s="126"/>
      <c r="DL79" s="126"/>
      <c r="DM79" s="126"/>
      <c r="DP79" s="126"/>
      <c r="DX79" s="126"/>
      <c r="FB79" s="204"/>
    </row>
    <row r="80" spans="1:160" ht="12.75" x14ac:dyDescent="0.2">
      <c r="A80" s="56"/>
      <c r="B80" s="42"/>
      <c r="C80" s="59"/>
      <c r="D80" s="42"/>
      <c r="E80" s="42"/>
      <c r="F80" s="42"/>
      <c r="G80" s="42"/>
      <c r="H80" s="42"/>
      <c r="I80" s="42"/>
      <c r="J80" s="42"/>
      <c r="K80" s="42"/>
      <c r="L80" s="42"/>
      <c r="M80" s="42"/>
      <c r="N80" s="42"/>
      <c r="O80" s="42"/>
      <c r="P80" s="42"/>
      <c r="Q80" s="42"/>
      <c r="R80" s="42"/>
      <c r="S80" s="42"/>
      <c r="T80" s="42"/>
      <c r="U80" s="42"/>
      <c r="V80" s="42"/>
      <c r="W80" s="42"/>
      <c r="X80" s="42"/>
      <c r="Y80" s="42"/>
      <c r="Z80" s="42"/>
      <c r="AA80" s="42"/>
      <c r="AB80" s="42"/>
    </row>
    <row r="81" spans="1:71" ht="12.75" x14ac:dyDescent="0.2">
      <c r="A81" s="58"/>
      <c r="B81" s="42"/>
      <c r="C81" s="59"/>
      <c r="D81" s="42"/>
      <c r="E81" s="42"/>
      <c r="F81" s="42"/>
      <c r="G81" s="42"/>
      <c r="H81" s="42"/>
      <c r="I81" s="42"/>
      <c r="J81" s="42"/>
      <c r="K81" s="42"/>
      <c r="L81" s="42"/>
      <c r="M81" s="42"/>
      <c r="N81" s="42"/>
      <c r="O81" s="42"/>
      <c r="P81" s="42"/>
      <c r="Q81" s="42"/>
      <c r="R81" s="42"/>
      <c r="S81" s="42"/>
      <c r="T81" s="42"/>
      <c r="U81" s="42"/>
      <c r="V81" s="42"/>
      <c r="W81" s="42"/>
      <c r="X81" s="42"/>
      <c r="Y81" s="42"/>
      <c r="Z81" s="42"/>
      <c r="AA81" s="42"/>
      <c r="AB81" s="42"/>
    </row>
    <row r="82" spans="1:71" ht="12.75" x14ac:dyDescent="0.2">
      <c r="A82" s="43"/>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row>
    <row r="83" spans="1:71" ht="12.75" x14ac:dyDescent="0.2">
      <c r="A83" s="4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row>
    <row r="84" spans="1:71" ht="15" x14ac:dyDescent="0.25">
      <c r="A84" s="49"/>
      <c r="B84" s="42"/>
      <c r="C84" s="55"/>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1"/>
      <c r="AD84" s="41"/>
      <c r="AE84" s="41"/>
      <c r="AF84" s="41"/>
      <c r="AG84" s="41"/>
      <c r="AH84" s="41"/>
      <c r="AI84" s="41"/>
      <c r="AJ84" s="41"/>
      <c r="AK84" s="41"/>
      <c r="AL84" s="41"/>
      <c r="AM84" s="41"/>
      <c r="AN84" s="41"/>
      <c r="AO84" s="41"/>
      <c r="AP84" s="41"/>
      <c r="AQ84" s="64"/>
      <c r="AR84" s="41"/>
      <c r="AS84" s="41"/>
      <c r="AT84" s="64"/>
      <c r="AU84" s="64"/>
      <c r="AV84" s="64"/>
      <c r="AW84" s="64"/>
      <c r="AX84" s="41"/>
      <c r="AY84" s="64"/>
      <c r="AZ84" s="64"/>
      <c r="BA84" s="64"/>
      <c r="BB84" s="64"/>
      <c r="BC84" s="64"/>
      <c r="BD84" s="64"/>
      <c r="BE84" s="64"/>
      <c r="BF84" s="64"/>
      <c r="BG84" s="64"/>
      <c r="BH84" s="64"/>
      <c r="BJ84" s="64"/>
      <c r="BK84" s="64"/>
      <c r="BL84" s="64"/>
      <c r="BM84" s="64"/>
      <c r="BN84" s="64"/>
      <c r="BO84" s="64"/>
      <c r="BP84" s="64"/>
      <c r="BQ84" s="64"/>
      <c r="BR84" s="64"/>
      <c r="BS84" s="64"/>
    </row>
    <row r="85" spans="1:71" ht="12.75" x14ac:dyDescent="0.2">
      <c r="A85" s="48"/>
      <c r="B85" s="46"/>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41"/>
      <c r="AD85" s="41"/>
      <c r="AE85" s="41"/>
      <c r="AF85" s="41"/>
      <c r="AG85" s="41"/>
      <c r="AH85" s="41"/>
      <c r="AI85" s="41"/>
      <c r="AJ85" s="41"/>
      <c r="AK85" s="41"/>
      <c r="AL85" s="41"/>
      <c r="AM85" s="41"/>
      <c r="AN85" s="41"/>
      <c r="AO85" s="41"/>
      <c r="AP85" s="41"/>
      <c r="AQ85" s="64"/>
      <c r="AR85" s="41"/>
      <c r="AS85" s="41"/>
      <c r="AT85" s="64"/>
      <c r="AU85" s="64"/>
      <c r="AV85" s="64"/>
      <c r="AW85" s="64"/>
      <c r="AX85" s="41"/>
      <c r="AY85" s="64"/>
      <c r="AZ85" s="64"/>
      <c r="BA85" s="64"/>
      <c r="BB85" s="64"/>
      <c r="BC85" s="64"/>
      <c r="BD85" s="64"/>
      <c r="BE85" s="64"/>
      <c r="BF85" s="64"/>
      <c r="BG85" s="64"/>
      <c r="BH85" s="64"/>
      <c r="BJ85" s="64"/>
      <c r="BK85" s="64"/>
      <c r="BL85" s="64"/>
      <c r="BM85" s="64"/>
      <c r="BN85" s="64"/>
      <c r="BO85" s="64"/>
      <c r="BP85" s="64"/>
      <c r="BQ85" s="64"/>
      <c r="BR85" s="64"/>
      <c r="BS85" s="64"/>
    </row>
    <row r="86" spans="1:71" ht="12.75" x14ac:dyDescent="0.2">
      <c r="A86" s="48"/>
      <c r="B86" s="46"/>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34"/>
      <c r="AD86" s="34"/>
      <c r="AE86" s="34"/>
      <c r="AF86" s="34"/>
      <c r="AG86" s="34"/>
      <c r="AH86" s="34"/>
      <c r="AI86" s="44"/>
      <c r="AJ86" s="44"/>
      <c r="AK86" s="44"/>
      <c r="AL86" s="44"/>
      <c r="AM86" s="44"/>
      <c r="AN86" s="44"/>
      <c r="AO86" s="44"/>
      <c r="AP86" s="44"/>
      <c r="AQ86" s="44"/>
      <c r="AR86" s="44"/>
      <c r="AS86" s="44"/>
      <c r="AT86" s="44"/>
      <c r="AU86" s="44"/>
      <c r="AV86" s="44"/>
      <c r="AW86" s="44"/>
      <c r="AX86" s="44"/>
      <c r="AY86" s="44"/>
      <c r="AZ86" s="44"/>
      <c r="BA86" s="44"/>
      <c r="BB86" s="44"/>
      <c r="BD86" s="44"/>
      <c r="BE86" s="44"/>
      <c r="BF86" s="44"/>
      <c r="BG86" s="44"/>
      <c r="BH86" s="44"/>
      <c r="BJ86" s="44"/>
      <c r="BK86" s="44"/>
      <c r="BL86" s="44"/>
      <c r="BM86" s="85"/>
      <c r="BN86" s="44"/>
      <c r="BO86" s="44"/>
      <c r="BP86" s="44"/>
      <c r="BQ86" s="44"/>
      <c r="BR86" s="44"/>
      <c r="BS86" s="44"/>
    </row>
    <row r="87" spans="1:71" ht="12.75" x14ac:dyDescent="0.2">
      <c r="A87" s="50"/>
      <c r="B87" s="50"/>
      <c r="C87" s="50"/>
      <c r="D87" s="53"/>
      <c r="E87" s="54"/>
      <c r="F87" s="53"/>
      <c r="G87" s="53"/>
      <c r="H87" s="53"/>
      <c r="I87" s="53"/>
      <c r="J87" s="53"/>
      <c r="K87" s="53"/>
      <c r="L87" s="53"/>
      <c r="M87" s="53"/>
      <c r="N87" s="53"/>
      <c r="O87" s="53"/>
      <c r="P87" s="53"/>
      <c r="Q87" s="53"/>
      <c r="R87" s="53"/>
      <c r="S87" s="53"/>
      <c r="T87" s="53"/>
      <c r="U87" s="53"/>
      <c r="V87" s="53"/>
      <c r="W87" s="53"/>
      <c r="X87" s="53"/>
      <c r="Y87" s="53"/>
      <c r="Z87" s="53"/>
      <c r="AA87" s="53"/>
      <c r="AB87" s="53"/>
      <c r="AC87" s="35"/>
      <c r="AD87" s="34"/>
      <c r="AE87" s="34"/>
      <c r="AF87" s="34"/>
      <c r="AG87" s="35"/>
      <c r="AH87" s="34"/>
      <c r="AI87" s="44"/>
      <c r="AJ87" s="44"/>
      <c r="AK87" s="44"/>
      <c r="AL87" s="44"/>
      <c r="AM87" s="44"/>
      <c r="AN87" s="44"/>
      <c r="AO87" s="44"/>
      <c r="AP87" s="44"/>
      <c r="AQ87" s="44"/>
      <c r="AR87" s="44"/>
      <c r="AS87" s="44"/>
      <c r="AT87" s="44"/>
      <c r="AU87" s="44"/>
      <c r="AV87" s="44"/>
      <c r="AW87" s="44"/>
      <c r="AX87" s="44"/>
      <c r="AY87" s="44"/>
      <c r="AZ87" s="44"/>
      <c r="BA87" s="44"/>
      <c r="BB87" s="44"/>
      <c r="BD87" s="44"/>
      <c r="BE87" s="44"/>
      <c r="BF87" s="44"/>
      <c r="BG87" s="44"/>
      <c r="BH87" s="44"/>
      <c r="BJ87" s="44"/>
      <c r="BK87" s="44"/>
      <c r="BL87" s="44"/>
      <c r="BM87" s="85"/>
      <c r="BN87" s="44"/>
      <c r="BO87" s="44"/>
      <c r="BP87" s="44"/>
      <c r="BQ87" s="44"/>
      <c r="BR87" s="44"/>
      <c r="BS87" s="44"/>
    </row>
    <row r="88" spans="1:71" ht="12.75" x14ac:dyDescent="0.2">
      <c r="A88" s="49"/>
      <c r="B88" s="47"/>
      <c r="C88" s="51"/>
      <c r="D88" s="44"/>
      <c r="E88" s="44"/>
      <c r="F88" s="43"/>
      <c r="G88" s="43"/>
      <c r="H88" s="43"/>
      <c r="I88" s="43"/>
      <c r="J88" s="45"/>
      <c r="K88" s="44"/>
      <c r="L88" s="44"/>
      <c r="M88" s="44"/>
      <c r="N88" s="44"/>
      <c r="O88" s="44"/>
      <c r="P88" s="44"/>
      <c r="Q88" s="44"/>
      <c r="R88" s="44"/>
      <c r="S88" s="44"/>
      <c r="T88" s="44"/>
      <c r="U88" s="44"/>
      <c r="V88" s="44"/>
      <c r="W88" s="44"/>
      <c r="X88" s="44"/>
      <c r="Y88" s="44"/>
      <c r="Z88" s="44"/>
      <c r="AA88" s="44"/>
      <c r="AB88" s="44"/>
      <c r="AC88" s="1"/>
      <c r="AD88" s="34"/>
      <c r="AE88" s="34"/>
      <c r="AF88" s="34"/>
      <c r="AG88" s="1"/>
      <c r="AH88" s="34"/>
      <c r="AI88" s="44"/>
      <c r="AJ88" s="44"/>
      <c r="AK88" s="44"/>
      <c r="AL88" s="44"/>
      <c r="AM88" s="44"/>
      <c r="AN88" s="44"/>
      <c r="AO88" s="44"/>
      <c r="AP88" s="44"/>
      <c r="AQ88" s="44"/>
      <c r="AR88" s="44"/>
      <c r="AS88" s="44"/>
      <c r="AT88" s="44"/>
      <c r="AU88" s="44"/>
      <c r="AV88" s="44"/>
      <c r="AW88" s="44"/>
      <c r="AX88" s="44"/>
      <c r="AY88" s="44"/>
      <c r="AZ88" s="44"/>
      <c r="BA88" s="44"/>
      <c r="BB88" s="44"/>
      <c r="BD88" s="44"/>
      <c r="BE88" s="44"/>
      <c r="BF88" s="44"/>
      <c r="BG88" s="44"/>
      <c r="BH88" s="44"/>
      <c r="BJ88" s="44"/>
      <c r="BK88" s="44"/>
      <c r="BL88" s="44"/>
      <c r="BM88" s="85"/>
      <c r="BN88" s="44"/>
      <c r="BO88" s="44"/>
      <c r="BP88" s="44"/>
      <c r="BQ88" s="44"/>
      <c r="BR88" s="44"/>
      <c r="BS88" s="44"/>
    </row>
    <row r="89" spans="1:71" ht="12.75" x14ac:dyDescent="0.2">
      <c r="A89" s="49"/>
      <c r="B89" s="47"/>
      <c r="C89" s="51"/>
      <c r="D89" s="44"/>
      <c r="E89" s="44"/>
      <c r="F89" s="43"/>
      <c r="G89" s="43"/>
      <c r="H89" s="43"/>
      <c r="I89" s="43"/>
      <c r="J89" s="45"/>
      <c r="K89" s="44"/>
      <c r="L89" s="44"/>
      <c r="M89" s="44"/>
      <c r="N89" s="44"/>
      <c r="O89" s="44"/>
      <c r="P89" s="44"/>
      <c r="Q89" s="44"/>
      <c r="R89" s="44"/>
      <c r="S89" s="52"/>
      <c r="T89" s="44"/>
      <c r="U89" s="44"/>
      <c r="V89" s="44"/>
      <c r="W89" s="44"/>
      <c r="X89" s="52"/>
      <c r="Y89" s="44"/>
      <c r="Z89" s="44"/>
      <c r="AA89" s="44"/>
      <c r="AB89" s="44"/>
      <c r="AC89" s="34"/>
      <c r="AD89" s="34"/>
      <c r="AE89" s="34"/>
      <c r="AF89" s="34"/>
      <c r="AG89" s="34"/>
      <c r="AH89" s="34"/>
      <c r="AI89" s="44"/>
      <c r="AJ89" s="44"/>
      <c r="AK89" s="44"/>
      <c r="AL89" s="44"/>
      <c r="AM89" s="44"/>
      <c r="AN89" s="44"/>
      <c r="AO89" s="44"/>
      <c r="AP89" s="44"/>
      <c r="AQ89" s="44"/>
      <c r="AR89" s="44"/>
      <c r="AS89" s="44"/>
      <c r="AT89" s="44"/>
      <c r="AU89" s="44"/>
      <c r="AV89" s="44"/>
      <c r="AW89" s="44"/>
      <c r="AX89" s="44"/>
      <c r="AY89" s="44"/>
      <c r="AZ89" s="44"/>
      <c r="BA89" s="44"/>
      <c r="BB89" s="44"/>
      <c r="BD89" s="44"/>
      <c r="BE89" s="44"/>
      <c r="BF89" s="44"/>
      <c r="BG89" s="44"/>
      <c r="BH89" s="44"/>
      <c r="BJ89" s="44"/>
      <c r="BK89" s="44"/>
      <c r="BL89" s="44"/>
      <c r="BM89" s="85"/>
      <c r="BN89" s="44"/>
      <c r="BO89" s="44"/>
      <c r="BP89" s="44"/>
      <c r="BQ89" s="44"/>
      <c r="BR89" s="44"/>
      <c r="BS89" s="44"/>
    </row>
    <row r="90" spans="1:71" ht="12.75" x14ac:dyDescent="0.2">
      <c r="A90" s="48"/>
      <c r="B90" s="43"/>
      <c r="C90" s="51"/>
      <c r="D90" s="43"/>
      <c r="E90" s="43"/>
      <c r="F90" s="42"/>
      <c r="G90" s="42"/>
      <c r="H90" s="42"/>
      <c r="I90" s="42"/>
      <c r="J90" s="43"/>
      <c r="K90" s="43"/>
      <c r="L90" s="43"/>
      <c r="M90" s="43"/>
      <c r="N90" s="43"/>
      <c r="O90" s="43"/>
      <c r="P90" s="43"/>
      <c r="Q90" s="43"/>
      <c r="R90" s="43"/>
      <c r="S90" s="43"/>
      <c r="T90" s="43"/>
      <c r="U90" s="43"/>
      <c r="V90" s="43"/>
      <c r="W90" s="43"/>
      <c r="X90" s="43"/>
      <c r="Y90" s="44"/>
      <c r="Z90" s="44"/>
      <c r="AA90" s="44"/>
      <c r="AB90" s="44"/>
      <c r="AC90" s="34"/>
      <c r="AD90" s="34"/>
      <c r="AE90" s="34"/>
      <c r="AF90" s="34"/>
      <c r="AG90" s="34"/>
      <c r="AH90" s="34"/>
      <c r="AI90" s="44"/>
      <c r="AJ90" s="44"/>
      <c r="AK90" s="44"/>
      <c r="AL90" s="44"/>
      <c r="AM90" s="44"/>
      <c r="AN90" s="44"/>
      <c r="AO90" s="44"/>
      <c r="AP90" s="44"/>
      <c r="AQ90" s="44"/>
      <c r="AR90" s="44"/>
      <c r="AS90" s="44"/>
      <c r="AT90" s="44"/>
      <c r="AU90" s="44"/>
      <c r="AV90" s="44"/>
      <c r="AW90" s="44"/>
      <c r="AX90" s="44"/>
      <c r="AY90" s="44"/>
      <c r="AZ90" s="44"/>
      <c r="BA90" s="44"/>
      <c r="BB90" s="44"/>
      <c r="BD90" s="44"/>
      <c r="BE90" s="44"/>
      <c r="BF90" s="44"/>
      <c r="BG90" s="44"/>
      <c r="BH90" s="44"/>
      <c r="BJ90" s="44"/>
      <c r="BK90" s="44"/>
      <c r="BL90" s="44"/>
      <c r="BM90" s="85"/>
      <c r="BN90" s="44"/>
      <c r="BO90" s="44"/>
      <c r="BP90" s="44"/>
      <c r="BQ90" s="44"/>
      <c r="BR90" s="44"/>
      <c r="BS90" s="44"/>
    </row>
    <row r="91" spans="1:71" ht="12.75" x14ac:dyDescent="0.2">
      <c r="A91" s="48"/>
      <c r="B91" s="47"/>
      <c r="C91" s="50"/>
      <c r="D91" s="44"/>
      <c r="E91" s="44"/>
      <c r="F91" s="43"/>
      <c r="G91" s="43"/>
      <c r="H91" s="43"/>
      <c r="I91" s="43"/>
      <c r="J91" s="45"/>
      <c r="K91" s="44"/>
      <c r="L91" s="44"/>
      <c r="M91" s="44"/>
      <c r="N91" s="44"/>
      <c r="O91" s="44"/>
      <c r="P91" s="44"/>
      <c r="Q91" s="44"/>
      <c r="R91" s="44"/>
      <c r="S91" s="44"/>
      <c r="T91" s="44"/>
      <c r="U91" s="44"/>
      <c r="V91" s="44"/>
      <c r="W91" s="44"/>
      <c r="X91" s="44"/>
      <c r="Y91" s="44"/>
      <c r="Z91" s="44"/>
      <c r="AA91" s="44"/>
      <c r="AB91" s="44"/>
    </row>
    <row r="92" spans="1:71" ht="12.75" x14ac:dyDescent="0.2">
      <c r="A92" s="48"/>
      <c r="B92" s="47"/>
      <c r="C92" s="50"/>
      <c r="D92" s="44"/>
      <c r="E92" s="44"/>
      <c r="F92" s="43"/>
      <c r="G92" s="43"/>
      <c r="H92" s="43"/>
      <c r="I92" s="43"/>
      <c r="J92" s="45"/>
      <c r="K92" s="44"/>
      <c r="L92" s="44"/>
      <c r="M92" s="44"/>
      <c r="N92" s="44"/>
      <c r="O92" s="44"/>
      <c r="P92" s="44"/>
      <c r="Q92" s="44"/>
      <c r="R92" s="44"/>
      <c r="S92" s="44"/>
      <c r="T92" s="44"/>
      <c r="U92" s="44"/>
      <c r="V92" s="44"/>
      <c r="W92" s="44"/>
      <c r="X92" s="44"/>
      <c r="Y92" s="44"/>
      <c r="Z92" s="44"/>
      <c r="AA92" s="44"/>
      <c r="AB92" s="44"/>
    </row>
    <row r="93" spans="1:71" ht="12.75" x14ac:dyDescent="0.2">
      <c r="A93" s="48"/>
      <c r="B93" s="47"/>
      <c r="C93" s="50"/>
      <c r="D93" s="44"/>
      <c r="E93" s="44"/>
      <c r="F93" s="43"/>
      <c r="G93" s="43"/>
      <c r="H93" s="43"/>
      <c r="I93" s="43"/>
      <c r="J93" s="45"/>
      <c r="K93" s="44"/>
      <c r="L93" s="44"/>
      <c r="M93" s="44"/>
      <c r="N93" s="44"/>
      <c r="O93" s="44"/>
      <c r="P93" s="44"/>
      <c r="Q93" s="44"/>
      <c r="R93" s="44"/>
      <c r="S93" s="44"/>
      <c r="T93" s="44"/>
      <c r="U93" s="44"/>
      <c r="V93" s="44"/>
      <c r="W93" s="44"/>
      <c r="X93" s="44"/>
      <c r="Y93" s="42"/>
      <c r="Z93" s="42"/>
      <c r="AA93" s="42"/>
      <c r="AB93" s="42"/>
    </row>
    <row r="94" spans="1:71" ht="12.75" x14ac:dyDescent="0.2">
      <c r="A94" s="48"/>
      <c r="B94" s="43"/>
      <c r="C94" s="50"/>
    </row>
    <row r="95" spans="1:71" ht="12.75" x14ac:dyDescent="0.2">
      <c r="A95" s="49"/>
      <c r="B95" s="42"/>
      <c r="C95" s="51"/>
    </row>
  </sheetData>
  <autoFilter ref="A7:FG69" xr:uid="{00000000-0009-0000-0000-000000000000}"/>
  <mergeCells count="4">
    <mergeCell ref="C85:AB86"/>
    <mergeCell ref="B5:B7"/>
    <mergeCell ref="A1:FD1"/>
    <mergeCell ref="A2:FD2"/>
  </mergeCells>
  <phoneticPr fontId="5" type="noConversion"/>
  <pageMargins left="0.25" right="0.25" top="0.75" bottom="0.75" header="0.3" footer="0.3"/>
  <pageSetup scale="66"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workbookViewId="0"/>
  </sheetViews>
  <sheetFormatPr defaultRowHeight="12.75" x14ac:dyDescent="0.2"/>
  <cols>
    <col min="1" max="1" width="9.5703125" bestFit="1" customWidth="1"/>
    <col min="2" max="2" width="11.28515625" style="99" bestFit="1" customWidth="1"/>
    <col min="3" max="3" width="30.42578125" bestFit="1" customWidth="1"/>
    <col min="4" max="4" width="72.42578125" bestFit="1" customWidth="1"/>
    <col min="5" max="5" width="12.140625" bestFit="1" customWidth="1"/>
  </cols>
  <sheetData>
    <row r="1" spans="1:5" x14ac:dyDescent="0.2">
      <c r="A1" s="180" t="s">
        <v>417</v>
      </c>
      <c r="B1" s="63" t="s">
        <v>418</v>
      </c>
      <c r="C1" s="71" t="s">
        <v>272</v>
      </c>
      <c r="D1" s="71" t="s">
        <v>413</v>
      </c>
      <c r="E1" s="101" t="s">
        <v>650</v>
      </c>
    </row>
    <row r="2" spans="1:5" x14ac:dyDescent="0.2">
      <c r="A2" s="155" t="s">
        <v>44</v>
      </c>
      <c r="B2" s="156">
        <v>600000</v>
      </c>
      <c r="C2" s="155"/>
      <c r="D2" s="155" t="s">
        <v>302</v>
      </c>
      <c r="E2" s="155" t="s">
        <v>651</v>
      </c>
    </row>
    <row r="3" spans="1:5" x14ac:dyDescent="0.2">
      <c r="A3" s="155" t="s">
        <v>44</v>
      </c>
      <c r="B3" s="156">
        <v>779000</v>
      </c>
      <c r="C3" s="155" t="s">
        <v>719</v>
      </c>
      <c r="D3" s="155"/>
      <c r="E3" s="155" t="s">
        <v>651</v>
      </c>
    </row>
    <row r="4" spans="1:5" x14ac:dyDescent="0.2">
      <c r="A4" s="155" t="s">
        <v>439</v>
      </c>
      <c r="B4" s="156">
        <v>500000</v>
      </c>
      <c r="C4" s="155" t="s">
        <v>721</v>
      </c>
      <c r="D4" s="155" t="s">
        <v>722</v>
      </c>
      <c r="E4" s="155" t="s">
        <v>651</v>
      </c>
    </row>
    <row r="5" spans="1:5" x14ac:dyDescent="0.2">
      <c r="A5" s="155" t="s">
        <v>29</v>
      </c>
      <c r="B5" s="156">
        <v>250000</v>
      </c>
      <c r="C5" s="155" t="s">
        <v>415</v>
      </c>
      <c r="D5" s="155" t="s">
        <v>724</v>
      </c>
      <c r="E5" s="155" t="s">
        <v>651</v>
      </c>
    </row>
    <row r="6" spans="1:5" x14ac:dyDescent="0.2">
      <c r="A6" s="155" t="s">
        <v>20</v>
      </c>
      <c r="B6" s="156">
        <v>350000</v>
      </c>
      <c r="C6" s="155" t="s">
        <v>729</v>
      </c>
      <c r="D6" s="155" t="s">
        <v>730</v>
      </c>
      <c r="E6" s="155" t="s">
        <v>652</v>
      </c>
    </row>
    <row r="7" spans="1:5" x14ac:dyDescent="0.2">
      <c r="A7" s="155" t="s">
        <v>6</v>
      </c>
      <c r="B7" s="156">
        <v>10500000</v>
      </c>
      <c r="C7" s="155" t="s">
        <v>426</v>
      </c>
      <c r="D7" s="155" t="s">
        <v>732</v>
      </c>
      <c r="E7" s="155" t="s">
        <v>653</v>
      </c>
    </row>
    <row r="8" spans="1:5" x14ac:dyDescent="0.2">
      <c r="A8" s="155" t="s">
        <v>6</v>
      </c>
      <c r="B8" s="156">
        <v>200000</v>
      </c>
      <c r="C8" s="155" t="s">
        <v>731</v>
      </c>
      <c r="D8" s="155" t="s">
        <v>733</v>
      </c>
      <c r="E8" s="155" t="s">
        <v>651</v>
      </c>
    </row>
    <row r="9" spans="1:5" x14ac:dyDescent="0.2">
      <c r="A9" s="155" t="s">
        <v>710</v>
      </c>
      <c r="B9" s="156">
        <v>6000000</v>
      </c>
      <c r="C9" s="155"/>
      <c r="D9" s="155" t="s">
        <v>735</v>
      </c>
      <c r="E9" s="155" t="s">
        <v>651</v>
      </c>
    </row>
    <row r="10" spans="1:5" ht="51" x14ac:dyDescent="0.2">
      <c r="A10" s="155" t="s">
        <v>710</v>
      </c>
      <c r="B10" s="156">
        <v>10500000</v>
      </c>
      <c r="C10" s="155"/>
      <c r="D10" s="143" t="s">
        <v>736</v>
      </c>
      <c r="E10" s="155" t="s">
        <v>651</v>
      </c>
    </row>
    <row r="11" spans="1:5" ht="15" x14ac:dyDescent="0.25">
      <c r="A11" s="155" t="s">
        <v>100</v>
      </c>
      <c r="B11" s="156">
        <v>500000</v>
      </c>
      <c r="C11" s="155" t="s">
        <v>737</v>
      </c>
      <c r="D11" s="206" t="s">
        <v>738</v>
      </c>
      <c r="E11" s="140" t="s">
        <v>651</v>
      </c>
    </row>
    <row r="12" spans="1:5" ht="30" x14ac:dyDescent="0.25">
      <c r="A12" s="155" t="s">
        <v>100</v>
      </c>
      <c r="B12" s="156">
        <v>200000</v>
      </c>
      <c r="C12" s="155" t="s">
        <v>737</v>
      </c>
      <c r="D12" s="207" t="s">
        <v>739</v>
      </c>
      <c r="E12" s="140" t="s">
        <v>651</v>
      </c>
    </row>
    <row r="13" spans="1:5" ht="15" x14ac:dyDescent="0.25">
      <c r="A13" s="140" t="s">
        <v>392</v>
      </c>
      <c r="B13" s="156">
        <v>100000</v>
      </c>
      <c r="C13" s="155"/>
      <c r="D13" s="206" t="s">
        <v>741</v>
      </c>
      <c r="E13" s="155"/>
    </row>
    <row r="14" spans="1:5" ht="45" x14ac:dyDescent="0.25">
      <c r="A14" s="140" t="s">
        <v>745</v>
      </c>
      <c r="B14" s="156">
        <v>1000000</v>
      </c>
      <c r="C14" s="143" t="s">
        <v>746</v>
      </c>
      <c r="D14" s="207" t="s">
        <v>747</v>
      </c>
      <c r="E14" s="140" t="s">
        <v>651</v>
      </c>
    </row>
    <row r="15" spans="1:5" x14ac:dyDescent="0.2">
      <c r="A15" s="155"/>
      <c r="B15" s="156"/>
      <c r="C15" s="155"/>
      <c r="D15" s="155"/>
      <c r="E15" s="155"/>
    </row>
    <row r="16" spans="1:5" x14ac:dyDescent="0.2">
      <c r="A16" s="155"/>
      <c r="B16" s="156"/>
      <c r="C16" s="155"/>
      <c r="D16" s="155"/>
      <c r="E16" s="155"/>
    </row>
    <row r="17" spans="1:5" x14ac:dyDescent="0.2">
      <c r="A17" s="155"/>
      <c r="B17" s="156"/>
      <c r="C17" s="155"/>
      <c r="D17" s="155"/>
      <c r="E17" s="155"/>
    </row>
    <row r="18" spans="1:5" x14ac:dyDescent="0.2">
      <c r="A18" s="155"/>
      <c r="B18" s="156"/>
      <c r="C18" s="155"/>
      <c r="D18" s="155"/>
      <c r="E18" s="155"/>
    </row>
    <row r="19" spans="1:5" x14ac:dyDescent="0.2">
      <c r="A19" s="155"/>
      <c r="B19" s="156"/>
      <c r="C19" s="155"/>
      <c r="D19" s="155"/>
      <c r="E19" s="155"/>
    </row>
    <row r="20" spans="1:5" x14ac:dyDescent="0.2">
      <c r="A20" s="155"/>
      <c r="B20" s="156"/>
      <c r="C20" s="155"/>
      <c r="D20" s="155"/>
      <c r="E20" s="155"/>
    </row>
    <row r="21" spans="1:5" x14ac:dyDescent="0.2">
      <c r="A21" s="155"/>
      <c r="B21" s="156"/>
      <c r="C21" s="155"/>
      <c r="D21" s="155"/>
      <c r="E21" s="155"/>
    </row>
    <row r="22" spans="1:5" x14ac:dyDescent="0.2">
      <c r="A22" s="155"/>
      <c r="B22" s="156"/>
      <c r="C22" s="155"/>
      <c r="D22" s="155"/>
      <c r="E22" s="155"/>
    </row>
    <row r="23" spans="1:5" x14ac:dyDescent="0.2">
      <c r="A23" s="155"/>
      <c r="B23" s="156"/>
      <c r="C23" s="155"/>
      <c r="D23" s="155"/>
      <c r="E23" s="155"/>
    </row>
    <row r="24" spans="1:5" x14ac:dyDescent="0.2">
      <c r="A24" s="155"/>
      <c r="B24" s="156"/>
      <c r="C24" s="155"/>
      <c r="D24" s="155"/>
      <c r="E24" s="155"/>
    </row>
    <row r="25" spans="1:5" x14ac:dyDescent="0.2">
      <c r="A25" s="155"/>
      <c r="B25" s="156"/>
      <c r="C25" s="155"/>
      <c r="D25" s="155"/>
      <c r="E25" s="155"/>
    </row>
    <row r="26" spans="1:5" x14ac:dyDescent="0.2">
      <c r="A26" s="155"/>
      <c r="B26" s="156"/>
      <c r="C26" s="155"/>
      <c r="D26" s="155"/>
      <c r="E26" s="15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8"/>
  <sheetViews>
    <sheetView workbookViewId="0">
      <selection activeCell="F82" sqref="F82"/>
    </sheetView>
  </sheetViews>
  <sheetFormatPr defaultRowHeight="12.75" x14ac:dyDescent="0.2"/>
  <cols>
    <col min="1" max="1" width="9.5703125" style="167" bestFit="1" customWidth="1"/>
    <col min="2" max="2" width="11.28515625" bestFit="1" customWidth="1"/>
    <col min="3" max="3" width="27.5703125" style="108" customWidth="1"/>
    <col min="4" max="4" width="42.7109375" style="108" customWidth="1"/>
    <col min="5" max="5" width="12.140625" bestFit="1" customWidth="1"/>
    <col min="6" max="6" width="18.28515625" bestFit="1" customWidth="1"/>
    <col min="7" max="7" width="23.85546875" bestFit="1" customWidth="1"/>
    <col min="8" max="8" width="5.28515625" customWidth="1"/>
    <col min="9" max="9" width="9.5703125" bestFit="1" customWidth="1"/>
    <col min="10" max="10" width="11.28515625" bestFit="1" customWidth="1"/>
    <col min="11" max="11" width="10.5703125" hidden="1" customWidth="1"/>
    <col min="12" max="12" width="36.5703125" customWidth="1"/>
    <col min="13" max="13" width="14.42578125" bestFit="1" customWidth="1"/>
    <col min="14" max="14" width="13.7109375" bestFit="1" customWidth="1"/>
  </cols>
  <sheetData>
    <row r="1" spans="1:14" ht="15" x14ac:dyDescent="0.25">
      <c r="A1" s="187" t="s">
        <v>649</v>
      </c>
      <c r="D1" t="s">
        <v>672</v>
      </c>
    </row>
    <row r="2" spans="1:14" x14ac:dyDescent="0.2">
      <c r="A2" s="179"/>
      <c r="D2" s="161" t="s">
        <v>677</v>
      </c>
    </row>
    <row r="3" spans="1:14" x14ac:dyDescent="0.2">
      <c r="A3" s="179"/>
      <c r="D3"/>
    </row>
    <row r="5" spans="1:14" x14ac:dyDescent="0.2">
      <c r="A5" s="180" t="s">
        <v>417</v>
      </c>
      <c r="B5" s="63" t="s">
        <v>418</v>
      </c>
      <c r="C5" s="71" t="s">
        <v>272</v>
      </c>
      <c r="D5" s="71" t="s">
        <v>413</v>
      </c>
      <c r="E5" s="101" t="s">
        <v>650</v>
      </c>
      <c r="F5" s="154" t="s">
        <v>657</v>
      </c>
      <c r="G5" s="154" t="s">
        <v>664</v>
      </c>
      <c r="I5" s="180" t="s">
        <v>417</v>
      </c>
      <c r="J5" s="63" t="s">
        <v>418</v>
      </c>
      <c r="K5" s="71" t="s">
        <v>272</v>
      </c>
      <c r="L5" s="71" t="s">
        <v>413</v>
      </c>
      <c r="M5" s="101" t="s">
        <v>650</v>
      </c>
      <c r="N5" s="154" t="s">
        <v>657</v>
      </c>
    </row>
    <row r="6" spans="1:14" ht="25.5" x14ac:dyDescent="0.2">
      <c r="A6" s="192" t="s">
        <v>21</v>
      </c>
      <c r="B6" s="156">
        <v>500000</v>
      </c>
      <c r="C6" s="143" t="s">
        <v>412</v>
      </c>
      <c r="D6" s="143" t="s">
        <v>411</v>
      </c>
      <c r="E6" s="155" t="s">
        <v>651</v>
      </c>
      <c r="F6" s="195" t="s">
        <v>658</v>
      </c>
      <c r="G6" s="195" t="s">
        <v>665</v>
      </c>
      <c r="I6" s="192" t="s">
        <v>21</v>
      </c>
      <c r="J6" s="156">
        <v>100000</v>
      </c>
      <c r="K6" s="143"/>
      <c r="L6" s="143" t="s">
        <v>445</v>
      </c>
      <c r="M6" s="155" t="s">
        <v>663</v>
      </c>
      <c r="N6" s="188" t="s">
        <v>673</v>
      </c>
    </row>
    <row r="7" spans="1:14" ht="25.5" x14ac:dyDescent="0.2">
      <c r="A7" s="166" t="s">
        <v>21</v>
      </c>
      <c r="B7" s="104">
        <v>300000</v>
      </c>
      <c r="C7" s="168" t="s">
        <v>309</v>
      </c>
      <c r="D7" s="168"/>
      <c r="E7" s="155" t="s">
        <v>651</v>
      </c>
      <c r="F7" s="195" t="s">
        <v>659</v>
      </c>
      <c r="G7" s="195" t="s">
        <v>666</v>
      </c>
      <c r="I7" s="166" t="s">
        <v>21</v>
      </c>
      <c r="J7" s="104">
        <v>15000</v>
      </c>
      <c r="L7" s="62" t="s">
        <v>559</v>
      </c>
      <c r="M7" s="155" t="s">
        <v>652</v>
      </c>
      <c r="N7" s="195" t="s">
        <v>658</v>
      </c>
    </row>
    <row r="8" spans="1:14" ht="78" customHeight="1" x14ac:dyDescent="0.2">
      <c r="A8" s="166" t="s">
        <v>21</v>
      </c>
      <c r="B8" s="104">
        <v>300000</v>
      </c>
      <c r="C8" s="168" t="s">
        <v>507</v>
      </c>
      <c r="D8" s="168"/>
      <c r="E8" s="155" t="s">
        <v>651</v>
      </c>
      <c r="F8" s="195" t="s">
        <v>659</v>
      </c>
      <c r="G8" s="195" t="s">
        <v>666</v>
      </c>
      <c r="I8" s="166" t="s">
        <v>21</v>
      </c>
      <c r="J8" s="104">
        <v>50000</v>
      </c>
      <c r="K8" s="168"/>
      <c r="L8" s="168" t="s">
        <v>554</v>
      </c>
      <c r="M8" s="155" t="s">
        <v>652</v>
      </c>
      <c r="N8" s="195" t="s">
        <v>678</v>
      </c>
    </row>
    <row r="9" spans="1:14" ht="38.25" x14ac:dyDescent="0.2">
      <c r="A9" s="166" t="s">
        <v>21</v>
      </c>
      <c r="B9" s="104">
        <v>500000</v>
      </c>
      <c r="C9" s="168" t="s">
        <v>451</v>
      </c>
      <c r="D9" s="168" t="s">
        <v>452</v>
      </c>
      <c r="E9" s="155" t="s">
        <v>651</v>
      </c>
      <c r="F9" s="195" t="s">
        <v>658</v>
      </c>
      <c r="G9" s="195" t="s">
        <v>665</v>
      </c>
      <c r="I9" s="193" t="s">
        <v>2</v>
      </c>
      <c r="J9" s="156">
        <v>12500000</v>
      </c>
      <c r="K9" s="143"/>
      <c r="L9" s="29" t="s">
        <v>615</v>
      </c>
      <c r="M9" s="178" t="s">
        <v>655</v>
      </c>
      <c r="N9" s="196" t="s">
        <v>659</v>
      </c>
    </row>
    <row r="10" spans="1:14" ht="114.75" x14ac:dyDescent="0.2">
      <c r="A10" s="193" t="s">
        <v>14</v>
      </c>
      <c r="B10" s="104">
        <v>40000</v>
      </c>
      <c r="C10" s="168"/>
      <c r="D10" s="168" t="s">
        <v>564</v>
      </c>
      <c r="E10" s="166" t="s">
        <v>651</v>
      </c>
      <c r="F10" s="196" t="s">
        <v>660</v>
      </c>
      <c r="G10" s="196" t="s">
        <v>666</v>
      </c>
      <c r="I10" s="192" t="s">
        <v>8</v>
      </c>
      <c r="J10" s="156">
        <v>1000000</v>
      </c>
      <c r="K10" s="143"/>
      <c r="L10" s="143" t="s">
        <v>487</v>
      </c>
      <c r="M10" s="166" t="s">
        <v>671</v>
      </c>
      <c r="N10" s="196" t="s">
        <v>674</v>
      </c>
    </row>
    <row r="11" spans="1:14" x14ac:dyDescent="0.2">
      <c r="A11" s="192" t="s">
        <v>44</v>
      </c>
      <c r="B11" s="104">
        <v>300000</v>
      </c>
      <c r="C11" s="168"/>
      <c r="D11" s="168" t="s">
        <v>414</v>
      </c>
      <c r="E11" s="166" t="s">
        <v>651</v>
      </c>
      <c r="F11" s="196" t="s">
        <v>658</v>
      </c>
      <c r="G11" s="196" t="s">
        <v>666</v>
      </c>
    </row>
    <row r="12" spans="1:14" x14ac:dyDescent="0.2">
      <c r="A12" s="166" t="s">
        <v>44</v>
      </c>
      <c r="B12" s="104">
        <v>339500</v>
      </c>
      <c r="C12" s="168" t="s">
        <v>515</v>
      </c>
      <c r="D12" s="168"/>
      <c r="E12" s="166" t="s">
        <v>651</v>
      </c>
      <c r="F12" s="196" t="s">
        <v>658</v>
      </c>
      <c r="G12" s="196" t="s">
        <v>665</v>
      </c>
      <c r="J12" s="191">
        <f>SUM(J6:J11)</f>
        <v>13665000</v>
      </c>
    </row>
    <row r="13" spans="1:14" x14ac:dyDescent="0.2">
      <c r="A13" s="166" t="s">
        <v>44</v>
      </c>
      <c r="B13" s="156">
        <v>10000</v>
      </c>
      <c r="C13" s="143" t="s">
        <v>446</v>
      </c>
      <c r="D13" s="143"/>
      <c r="E13" s="166" t="s">
        <v>651</v>
      </c>
      <c r="F13" s="196" t="s">
        <v>658</v>
      </c>
      <c r="G13" s="196" t="s">
        <v>665</v>
      </c>
    </row>
    <row r="14" spans="1:14" x14ac:dyDescent="0.2">
      <c r="A14" s="166" t="s">
        <v>44</v>
      </c>
      <c r="B14" s="156">
        <v>15000</v>
      </c>
      <c r="C14" s="143" t="s">
        <v>448</v>
      </c>
      <c r="D14" s="143" t="s">
        <v>450</v>
      </c>
      <c r="E14" s="166" t="s">
        <v>651</v>
      </c>
      <c r="F14" s="196" t="s">
        <v>658</v>
      </c>
      <c r="G14" s="196" t="s">
        <v>666</v>
      </c>
    </row>
    <row r="15" spans="1:14" x14ac:dyDescent="0.2">
      <c r="A15" s="166" t="s">
        <v>44</v>
      </c>
      <c r="B15" s="156">
        <v>15000</v>
      </c>
      <c r="C15" s="143" t="s">
        <v>449</v>
      </c>
      <c r="D15" s="143" t="s">
        <v>450</v>
      </c>
      <c r="E15" s="166" t="s">
        <v>651</v>
      </c>
      <c r="F15" s="196" t="s">
        <v>658</v>
      </c>
      <c r="G15" s="196" t="s">
        <v>666</v>
      </c>
    </row>
    <row r="16" spans="1:14" ht="38.25" x14ac:dyDescent="0.2">
      <c r="A16" s="192" t="s">
        <v>439</v>
      </c>
      <c r="B16" s="104">
        <v>100000</v>
      </c>
      <c r="C16" s="168" t="s">
        <v>667</v>
      </c>
      <c r="D16" s="168" t="s">
        <v>509</v>
      </c>
      <c r="E16" s="166" t="s">
        <v>651</v>
      </c>
      <c r="F16" s="195" t="s">
        <v>661</v>
      </c>
      <c r="G16" s="195" t="s">
        <v>666</v>
      </c>
    </row>
    <row r="17" spans="1:7" x14ac:dyDescent="0.2">
      <c r="A17" s="166" t="s">
        <v>439</v>
      </c>
      <c r="B17" s="104">
        <v>75000</v>
      </c>
      <c r="C17" s="168" t="s">
        <v>583</v>
      </c>
      <c r="D17" s="168" t="s">
        <v>510</v>
      </c>
      <c r="E17" s="166" t="s">
        <v>651</v>
      </c>
      <c r="F17" s="195" t="s">
        <v>660</v>
      </c>
      <c r="G17" s="195" t="s">
        <v>666</v>
      </c>
    </row>
    <row r="18" spans="1:7" x14ac:dyDescent="0.2">
      <c r="A18" s="166" t="s">
        <v>439</v>
      </c>
      <c r="B18" s="104">
        <v>100000</v>
      </c>
      <c r="C18" s="168" t="s">
        <v>511</v>
      </c>
      <c r="D18" s="168" t="s">
        <v>512</v>
      </c>
      <c r="E18" s="166" t="s">
        <v>651</v>
      </c>
      <c r="F18" s="195" t="s">
        <v>660</v>
      </c>
      <c r="G18" s="195" t="s">
        <v>666</v>
      </c>
    </row>
    <row r="19" spans="1:7" x14ac:dyDescent="0.2">
      <c r="A19" s="166" t="s">
        <v>439</v>
      </c>
      <c r="B19" s="104">
        <v>75000</v>
      </c>
      <c r="C19" s="168" t="s">
        <v>584</v>
      </c>
      <c r="D19" s="168" t="s">
        <v>585</v>
      </c>
      <c r="E19" s="166" t="s">
        <v>651</v>
      </c>
      <c r="F19" s="195" t="s">
        <v>658</v>
      </c>
      <c r="G19" s="195" t="s">
        <v>666</v>
      </c>
    </row>
    <row r="20" spans="1:7" ht="25.5" x14ac:dyDescent="0.2">
      <c r="A20" s="166" t="s">
        <v>439</v>
      </c>
      <c r="B20" s="104">
        <v>130000</v>
      </c>
      <c r="C20" s="168" t="s">
        <v>586</v>
      </c>
      <c r="D20" s="168" t="s">
        <v>587</v>
      </c>
      <c r="E20" s="166" t="s">
        <v>651</v>
      </c>
      <c r="F20" s="195" t="s">
        <v>659</v>
      </c>
      <c r="G20" s="195" t="s">
        <v>666</v>
      </c>
    </row>
    <row r="21" spans="1:7" x14ac:dyDescent="0.2">
      <c r="A21" s="166" t="s">
        <v>439</v>
      </c>
      <c r="B21" s="104">
        <v>60000</v>
      </c>
      <c r="C21" s="168" t="s">
        <v>535</v>
      </c>
      <c r="D21" s="168" t="s">
        <v>536</v>
      </c>
      <c r="E21" s="166" t="s">
        <v>651</v>
      </c>
      <c r="F21" s="195" t="s">
        <v>659</v>
      </c>
      <c r="G21" s="195" t="s">
        <v>666</v>
      </c>
    </row>
    <row r="22" spans="1:7" ht="51" x14ac:dyDescent="0.2">
      <c r="A22" s="166" t="s">
        <v>439</v>
      </c>
      <c r="B22" s="104">
        <v>100000</v>
      </c>
      <c r="C22" s="62" t="s">
        <v>579</v>
      </c>
      <c r="D22" s="168"/>
      <c r="E22" s="166" t="s">
        <v>651</v>
      </c>
      <c r="F22" s="195" t="s">
        <v>659</v>
      </c>
      <c r="G22" s="195" t="s">
        <v>666</v>
      </c>
    </row>
    <row r="23" spans="1:7" ht="25.5" x14ac:dyDescent="0.2">
      <c r="A23" s="166" t="s">
        <v>439</v>
      </c>
      <c r="B23" s="104">
        <v>50000</v>
      </c>
      <c r="C23" s="168" t="s">
        <v>470</v>
      </c>
      <c r="D23" s="168"/>
      <c r="E23" s="166" t="s">
        <v>651</v>
      </c>
      <c r="F23" s="195" t="s">
        <v>660</v>
      </c>
      <c r="G23" s="195" t="s">
        <v>666</v>
      </c>
    </row>
    <row r="24" spans="1:7" x14ac:dyDescent="0.2">
      <c r="A24" s="166" t="s">
        <v>439</v>
      </c>
      <c r="B24" s="104">
        <v>75000</v>
      </c>
      <c r="C24" s="168" t="s">
        <v>541</v>
      </c>
      <c r="D24" s="168" t="s">
        <v>543</v>
      </c>
      <c r="E24" s="166" t="s">
        <v>651</v>
      </c>
      <c r="F24" s="195" t="s">
        <v>658</v>
      </c>
      <c r="G24" s="195" t="s">
        <v>666</v>
      </c>
    </row>
    <row r="25" spans="1:7" x14ac:dyDescent="0.2">
      <c r="A25" s="166" t="s">
        <v>439</v>
      </c>
      <c r="B25" s="104">
        <v>50000</v>
      </c>
      <c r="C25" s="168" t="s">
        <v>541</v>
      </c>
      <c r="D25" s="168" t="s">
        <v>542</v>
      </c>
      <c r="E25" s="166" t="s">
        <v>651</v>
      </c>
      <c r="F25" s="195" t="s">
        <v>658</v>
      </c>
      <c r="G25" s="195" t="s">
        <v>666</v>
      </c>
    </row>
    <row r="26" spans="1:7" ht="25.5" x14ac:dyDescent="0.2">
      <c r="A26" s="166" t="s">
        <v>439</v>
      </c>
      <c r="B26" s="104">
        <v>5000</v>
      </c>
      <c r="C26" s="168" t="s">
        <v>546</v>
      </c>
      <c r="D26" s="168" t="s">
        <v>467</v>
      </c>
      <c r="E26" s="166" t="s">
        <v>651</v>
      </c>
      <c r="F26" s="195" t="s">
        <v>659</v>
      </c>
      <c r="G26" s="195" t="s">
        <v>665</v>
      </c>
    </row>
    <row r="27" spans="1:7" ht="25.5" x14ac:dyDescent="0.2">
      <c r="A27" s="166" t="s">
        <v>439</v>
      </c>
      <c r="B27" s="104">
        <v>75000</v>
      </c>
      <c r="C27" s="62" t="s">
        <v>555</v>
      </c>
      <c r="D27" s="62" t="s">
        <v>556</v>
      </c>
      <c r="E27" s="166" t="s">
        <v>651</v>
      </c>
      <c r="F27" s="195" t="s">
        <v>659</v>
      </c>
      <c r="G27" s="195" t="s">
        <v>666</v>
      </c>
    </row>
    <row r="28" spans="1:7" ht="76.5" x14ac:dyDescent="0.2">
      <c r="A28" s="166" t="s">
        <v>439</v>
      </c>
      <c r="B28" s="104">
        <v>50000</v>
      </c>
      <c r="C28" s="62" t="s">
        <v>557</v>
      </c>
      <c r="D28" s="62" t="s">
        <v>558</v>
      </c>
      <c r="E28" s="166" t="s">
        <v>651</v>
      </c>
      <c r="F28" s="195" t="s">
        <v>660</v>
      </c>
      <c r="G28" s="195" t="s">
        <v>665</v>
      </c>
    </row>
    <row r="29" spans="1:7" ht="38.25" x14ac:dyDescent="0.2">
      <c r="A29" s="166" t="s">
        <v>439</v>
      </c>
      <c r="B29" s="104">
        <v>25000</v>
      </c>
      <c r="C29" s="168" t="s">
        <v>560</v>
      </c>
      <c r="D29" s="168" t="s">
        <v>561</v>
      </c>
      <c r="E29" s="166" t="s">
        <v>651</v>
      </c>
      <c r="F29" s="195" t="s">
        <v>658</v>
      </c>
      <c r="G29" s="195" t="s">
        <v>665</v>
      </c>
    </row>
    <row r="30" spans="1:7" ht="38.25" x14ac:dyDescent="0.2">
      <c r="A30" s="166" t="s">
        <v>439</v>
      </c>
      <c r="B30" s="104">
        <v>50000</v>
      </c>
      <c r="C30" s="168" t="s">
        <v>668</v>
      </c>
      <c r="D30" s="168" t="s">
        <v>574</v>
      </c>
      <c r="E30" s="166" t="s">
        <v>651</v>
      </c>
      <c r="F30" s="195" t="s">
        <v>659</v>
      </c>
      <c r="G30" s="195" t="s">
        <v>666</v>
      </c>
    </row>
    <row r="31" spans="1:7" ht="25.5" x14ac:dyDescent="0.2">
      <c r="A31" s="166" t="s">
        <v>439</v>
      </c>
      <c r="B31" s="104">
        <v>50000</v>
      </c>
      <c r="C31" s="62" t="s">
        <v>568</v>
      </c>
      <c r="D31" s="168" t="s">
        <v>569</v>
      </c>
      <c r="E31" s="166" t="s">
        <v>651</v>
      </c>
      <c r="F31" s="195" t="s">
        <v>658</v>
      </c>
      <c r="G31" s="195" t="s">
        <v>665</v>
      </c>
    </row>
    <row r="32" spans="1:7" ht="25.5" x14ac:dyDescent="0.2">
      <c r="A32" s="166" t="s">
        <v>439</v>
      </c>
      <c r="B32" s="156">
        <v>50000</v>
      </c>
      <c r="C32" s="29" t="s">
        <v>636</v>
      </c>
      <c r="D32" s="143" t="s">
        <v>610</v>
      </c>
      <c r="E32" s="166" t="s">
        <v>651</v>
      </c>
      <c r="F32" s="195" t="s">
        <v>659</v>
      </c>
      <c r="G32" s="195" t="s">
        <v>666</v>
      </c>
    </row>
    <row r="33" spans="1:7" ht="51" x14ac:dyDescent="0.2">
      <c r="A33" s="166" t="s">
        <v>439</v>
      </c>
      <c r="B33" s="156">
        <v>50000</v>
      </c>
      <c r="C33" s="160" t="s">
        <v>456</v>
      </c>
      <c r="D33" s="143" t="s">
        <v>453</v>
      </c>
      <c r="E33" s="166" t="s">
        <v>651</v>
      </c>
      <c r="F33" s="195" t="s">
        <v>662</v>
      </c>
      <c r="G33" s="195" t="s">
        <v>665</v>
      </c>
    </row>
    <row r="34" spans="1:7" ht="25.5" x14ac:dyDescent="0.2">
      <c r="A34" s="166" t="s">
        <v>439</v>
      </c>
      <c r="B34" s="156">
        <v>35000</v>
      </c>
      <c r="C34" s="143" t="s">
        <v>454</v>
      </c>
      <c r="D34" s="143" t="s">
        <v>455</v>
      </c>
      <c r="E34" s="166" t="s">
        <v>651</v>
      </c>
      <c r="F34" s="195" t="s">
        <v>658</v>
      </c>
      <c r="G34" s="195" t="s">
        <v>666</v>
      </c>
    </row>
    <row r="35" spans="1:7" x14ac:dyDescent="0.2">
      <c r="A35" s="166" t="s">
        <v>439</v>
      </c>
      <c r="B35" s="156">
        <v>25000</v>
      </c>
      <c r="C35" s="143" t="s">
        <v>457</v>
      </c>
      <c r="D35" s="143" t="s">
        <v>458</v>
      </c>
      <c r="E35" s="166" t="s">
        <v>651</v>
      </c>
      <c r="F35" s="195" t="s">
        <v>659</v>
      </c>
      <c r="G35" s="195" t="s">
        <v>666</v>
      </c>
    </row>
    <row r="36" spans="1:7" ht="25.5" x14ac:dyDescent="0.2">
      <c r="A36" s="166" t="s">
        <v>439</v>
      </c>
      <c r="B36" s="156">
        <v>25000</v>
      </c>
      <c r="C36" s="143" t="s">
        <v>460</v>
      </c>
      <c r="D36" s="143" t="s">
        <v>459</v>
      </c>
      <c r="E36" s="166" t="s">
        <v>651</v>
      </c>
      <c r="F36" s="195" t="s">
        <v>659</v>
      </c>
      <c r="G36" s="195" t="s">
        <v>666</v>
      </c>
    </row>
    <row r="37" spans="1:7" x14ac:dyDescent="0.2">
      <c r="A37" s="166" t="s">
        <v>439</v>
      </c>
      <c r="B37" s="156">
        <v>20000</v>
      </c>
      <c r="C37" s="143" t="s">
        <v>461</v>
      </c>
      <c r="D37" s="143" t="s">
        <v>458</v>
      </c>
      <c r="E37" s="166" t="s">
        <v>651</v>
      </c>
      <c r="F37" s="195" t="s">
        <v>659</v>
      </c>
      <c r="G37" s="195" t="s">
        <v>666</v>
      </c>
    </row>
    <row r="38" spans="1:7" ht="25.5" x14ac:dyDescent="0.2">
      <c r="A38" s="166" t="s">
        <v>439</v>
      </c>
      <c r="B38" s="156">
        <v>35000</v>
      </c>
      <c r="C38" s="143" t="s">
        <v>462</v>
      </c>
      <c r="D38" s="143"/>
      <c r="E38" s="166" t="s">
        <v>651</v>
      </c>
      <c r="F38" s="195" t="s">
        <v>660</v>
      </c>
      <c r="G38" s="195" t="s">
        <v>666</v>
      </c>
    </row>
    <row r="39" spans="1:7" ht="25.5" x14ac:dyDescent="0.2">
      <c r="A39" s="166" t="s">
        <v>439</v>
      </c>
      <c r="B39" s="156">
        <v>35000</v>
      </c>
      <c r="C39" s="143" t="s">
        <v>464</v>
      </c>
      <c r="D39" s="143" t="s">
        <v>463</v>
      </c>
      <c r="E39" s="166" t="s">
        <v>651</v>
      </c>
      <c r="F39" s="195" t="s">
        <v>660</v>
      </c>
      <c r="G39" s="195" t="s">
        <v>666</v>
      </c>
    </row>
    <row r="40" spans="1:7" x14ac:dyDescent="0.2">
      <c r="A40" s="166" t="s">
        <v>439</v>
      </c>
      <c r="B40" s="156">
        <v>100000</v>
      </c>
      <c r="C40" s="143" t="s">
        <v>469</v>
      </c>
      <c r="D40" s="143"/>
      <c r="E40" s="166" t="s">
        <v>651</v>
      </c>
      <c r="F40" s="195" t="s">
        <v>659</v>
      </c>
      <c r="G40" s="195" t="s">
        <v>666</v>
      </c>
    </row>
    <row r="41" spans="1:7" ht="38.25" x14ac:dyDescent="0.2">
      <c r="A41" s="166" t="s">
        <v>439</v>
      </c>
      <c r="B41" s="156">
        <v>50000</v>
      </c>
      <c r="C41" s="143" t="s">
        <v>471</v>
      </c>
      <c r="D41" s="143" t="s">
        <v>472</v>
      </c>
      <c r="E41" s="166" t="s">
        <v>651</v>
      </c>
      <c r="F41" s="195" t="s">
        <v>660</v>
      </c>
      <c r="G41" s="195" t="s">
        <v>666</v>
      </c>
    </row>
    <row r="42" spans="1:7" x14ac:dyDescent="0.2">
      <c r="A42" s="166" t="s">
        <v>439</v>
      </c>
      <c r="B42" s="156">
        <v>60000</v>
      </c>
      <c r="C42" s="143" t="s">
        <v>473</v>
      </c>
      <c r="D42" s="143" t="s">
        <v>474</v>
      </c>
      <c r="E42" s="166" t="s">
        <v>651</v>
      </c>
      <c r="F42" s="195" t="s">
        <v>660</v>
      </c>
      <c r="G42" s="195" t="s">
        <v>666</v>
      </c>
    </row>
    <row r="43" spans="1:7" ht="38.25" x14ac:dyDescent="0.2">
      <c r="A43" s="166" t="s">
        <v>439</v>
      </c>
      <c r="B43" s="156">
        <v>50000</v>
      </c>
      <c r="C43" s="143" t="s">
        <v>475</v>
      </c>
      <c r="D43" s="143" t="s">
        <v>476</v>
      </c>
      <c r="E43" s="166" t="s">
        <v>651</v>
      </c>
      <c r="F43" s="195" t="s">
        <v>659</v>
      </c>
      <c r="G43" s="195" t="s">
        <v>666</v>
      </c>
    </row>
    <row r="44" spans="1:7" x14ac:dyDescent="0.2">
      <c r="A44" s="166" t="s">
        <v>439</v>
      </c>
      <c r="B44" s="156">
        <v>20000</v>
      </c>
      <c r="C44" s="143" t="s">
        <v>478</v>
      </c>
      <c r="D44" s="143" t="s">
        <v>477</v>
      </c>
      <c r="E44" s="166" t="s">
        <v>651</v>
      </c>
      <c r="F44" s="195" t="s">
        <v>660</v>
      </c>
      <c r="G44" s="195" t="s">
        <v>666</v>
      </c>
    </row>
    <row r="45" spans="1:7" x14ac:dyDescent="0.2">
      <c r="A45" s="192" t="s">
        <v>15</v>
      </c>
      <c r="B45" s="156">
        <v>100000</v>
      </c>
      <c r="C45" s="143" t="s">
        <v>479</v>
      </c>
      <c r="D45" s="143"/>
      <c r="E45" s="166" t="s">
        <v>651</v>
      </c>
      <c r="F45" s="196" t="s">
        <v>660</v>
      </c>
      <c r="G45" s="196" t="s">
        <v>665</v>
      </c>
    </row>
    <row r="46" spans="1:7" x14ac:dyDescent="0.2">
      <c r="A46" s="166" t="s">
        <v>15</v>
      </c>
      <c r="B46" s="104">
        <v>50000</v>
      </c>
      <c r="C46" s="168" t="s">
        <v>538</v>
      </c>
      <c r="D46" s="168" t="s">
        <v>580</v>
      </c>
      <c r="E46" s="166" t="s">
        <v>651</v>
      </c>
      <c r="F46" s="196" t="s">
        <v>660</v>
      </c>
      <c r="G46" s="196" t="s">
        <v>665</v>
      </c>
    </row>
    <row r="47" spans="1:7" ht="38.25" x14ac:dyDescent="0.2">
      <c r="A47" s="166" t="s">
        <v>15</v>
      </c>
      <c r="B47" s="104">
        <v>150000</v>
      </c>
      <c r="C47" s="168" t="s">
        <v>552</v>
      </c>
      <c r="D47" s="168" t="s">
        <v>553</v>
      </c>
      <c r="E47" s="166" t="s">
        <v>651</v>
      </c>
      <c r="F47" s="196" t="s">
        <v>660</v>
      </c>
      <c r="G47" s="196" t="s">
        <v>665</v>
      </c>
    </row>
    <row r="48" spans="1:7" ht="51" x14ac:dyDescent="0.2">
      <c r="A48" s="166" t="s">
        <v>15</v>
      </c>
      <c r="B48" s="104">
        <v>100000</v>
      </c>
      <c r="C48" s="168" t="s">
        <v>566</v>
      </c>
      <c r="D48" s="168" t="s">
        <v>567</v>
      </c>
      <c r="E48" s="166" t="s">
        <v>651</v>
      </c>
      <c r="F48" s="196" t="s">
        <v>660</v>
      </c>
      <c r="G48" s="196" t="s">
        <v>665</v>
      </c>
    </row>
    <row r="49" spans="1:17" ht="38.25" x14ac:dyDescent="0.2">
      <c r="A49" s="166" t="s">
        <v>15</v>
      </c>
      <c r="B49" s="104">
        <v>100000</v>
      </c>
      <c r="C49" s="143" t="s">
        <v>480</v>
      </c>
      <c r="D49" s="143" t="s">
        <v>481</v>
      </c>
      <c r="E49" s="166" t="s">
        <v>651</v>
      </c>
      <c r="F49" s="196" t="s">
        <v>660</v>
      </c>
      <c r="G49" s="196" t="s">
        <v>665</v>
      </c>
    </row>
    <row r="50" spans="1:17" ht="25.5" x14ac:dyDescent="0.2">
      <c r="A50" s="192" t="s">
        <v>29</v>
      </c>
      <c r="B50" s="156">
        <v>250000</v>
      </c>
      <c r="C50" s="143" t="s">
        <v>415</v>
      </c>
      <c r="D50" s="143" t="s">
        <v>416</v>
      </c>
      <c r="E50" s="166" t="s">
        <v>651</v>
      </c>
      <c r="F50" s="196" t="s">
        <v>658</v>
      </c>
      <c r="G50" s="196" t="s">
        <v>666</v>
      </c>
    </row>
    <row r="51" spans="1:17" x14ac:dyDescent="0.2">
      <c r="A51" s="192" t="s">
        <v>18</v>
      </c>
      <c r="B51" s="104">
        <v>250000</v>
      </c>
      <c r="C51" s="168" t="s">
        <v>534</v>
      </c>
      <c r="D51" s="168"/>
      <c r="E51" s="166" t="s">
        <v>651</v>
      </c>
      <c r="F51" s="196" t="s">
        <v>660</v>
      </c>
      <c r="G51" s="196" t="s">
        <v>666</v>
      </c>
    </row>
    <row r="52" spans="1:17" ht="25.5" x14ac:dyDescent="0.2">
      <c r="A52" s="166" t="s">
        <v>18</v>
      </c>
      <c r="B52" s="104">
        <v>100000</v>
      </c>
      <c r="C52" s="62" t="s">
        <v>563</v>
      </c>
      <c r="D52" s="168" t="s">
        <v>562</v>
      </c>
      <c r="E52" s="166" t="s">
        <v>651</v>
      </c>
      <c r="F52" s="196" t="s">
        <v>660</v>
      </c>
      <c r="G52" s="196" t="s">
        <v>666</v>
      </c>
    </row>
    <row r="53" spans="1:17" ht="25.5" x14ac:dyDescent="0.2">
      <c r="A53" s="193" t="s">
        <v>19</v>
      </c>
      <c r="B53" s="104">
        <v>10000</v>
      </c>
      <c r="C53" s="62" t="s">
        <v>555</v>
      </c>
      <c r="D53" s="168" t="s">
        <v>613</v>
      </c>
      <c r="E53" s="166" t="s">
        <v>651</v>
      </c>
      <c r="F53" s="196" t="s">
        <v>662</v>
      </c>
      <c r="G53" s="196" t="s">
        <v>666</v>
      </c>
    </row>
    <row r="54" spans="1:17" x14ac:dyDescent="0.2">
      <c r="A54" s="193" t="s">
        <v>20</v>
      </c>
      <c r="B54" s="156">
        <v>250000</v>
      </c>
      <c r="C54" s="29" t="s">
        <v>423</v>
      </c>
      <c r="D54" s="29" t="s">
        <v>422</v>
      </c>
      <c r="E54" s="166" t="s">
        <v>652</v>
      </c>
      <c r="F54" s="196" t="s">
        <v>662</v>
      </c>
      <c r="G54" s="196" t="s">
        <v>665</v>
      </c>
    </row>
    <row r="55" spans="1:17" ht="25.5" x14ac:dyDescent="0.2">
      <c r="A55" s="178" t="s">
        <v>20</v>
      </c>
      <c r="B55" s="156">
        <v>350000</v>
      </c>
      <c r="C55" s="29" t="s">
        <v>423</v>
      </c>
      <c r="D55" s="29" t="s">
        <v>614</v>
      </c>
      <c r="E55" s="189" t="s">
        <v>652</v>
      </c>
      <c r="F55" s="196" t="s">
        <v>662</v>
      </c>
      <c r="G55" s="196" t="s">
        <v>665</v>
      </c>
    </row>
    <row r="56" spans="1:17" ht="51" x14ac:dyDescent="0.2">
      <c r="A56" s="193" t="s">
        <v>5</v>
      </c>
      <c r="B56" s="156">
        <v>15000000</v>
      </c>
      <c r="C56" s="143"/>
      <c r="D56" s="29" t="s">
        <v>675</v>
      </c>
      <c r="E56" s="166" t="s">
        <v>651</v>
      </c>
      <c r="F56" s="195" t="s">
        <v>659</v>
      </c>
      <c r="G56" s="196" t="s">
        <v>665</v>
      </c>
    </row>
    <row r="57" spans="1:17" ht="25.5" x14ac:dyDescent="0.2">
      <c r="A57" s="193" t="s">
        <v>6</v>
      </c>
      <c r="B57" s="104">
        <v>6500000</v>
      </c>
      <c r="C57" s="62" t="s">
        <v>426</v>
      </c>
      <c r="D57" s="62" t="s">
        <v>427</v>
      </c>
      <c r="E57" s="155" t="s">
        <v>653</v>
      </c>
      <c r="F57" s="195" t="s">
        <v>659</v>
      </c>
      <c r="G57" s="196" t="s">
        <v>665</v>
      </c>
    </row>
    <row r="58" spans="1:17" ht="102" x14ac:dyDescent="0.2">
      <c r="A58" s="166" t="s">
        <v>6</v>
      </c>
      <c r="B58" s="104">
        <v>250000</v>
      </c>
      <c r="C58" s="168"/>
      <c r="D58" s="168" t="s">
        <v>565</v>
      </c>
      <c r="E58" s="166" t="s">
        <v>651</v>
      </c>
      <c r="F58" s="195" t="s">
        <v>659</v>
      </c>
      <c r="G58" s="196" t="s">
        <v>665</v>
      </c>
    </row>
    <row r="59" spans="1:17" ht="25.5" x14ac:dyDescent="0.2">
      <c r="A59" s="166" t="s">
        <v>6</v>
      </c>
      <c r="B59" s="104">
        <v>200000</v>
      </c>
      <c r="C59" s="168" t="s">
        <v>618</v>
      </c>
      <c r="D59" s="168" t="s">
        <v>617</v>
      </c>
      <c r="E59" s="166" t="s">
        <v>651</v>
      </c>
      <c r="F59" s="195" t="s">
        <v>659</v>
      </c>
      <c r="G59" s="196" t="s">
        <v>665</v>
      </c>
    </row>
    <row r="60" spans="1:17" ht="25.5" x14ac:dyDescent="0.2">
      <c r="A60" s="192" t="s">
        <v>48</v>
      </c>
      <c r="B60" s="156">
        <v>100000</v>
      </c>
      <c r="C60" s="143" t="s">
        <v>485</v>
      </c>
      <c r="D60" s="143" t="s">
        <v>486</v>
      </c>
      <c r="E60" s="166" t="s">
        <v>651</v>
      </c>
      <c r="F60" s="195" t="s">
        <v>659</v>
      </c>
      <c r="G60" s="196" t="s">
        <v>666</v>
      </c>
      <c r="I60" s="185"/>
    </row>
    <row r="61" spans="1:17" ht="25.5" x14ac:dyDescent="0.2">
      <c r="A61" s="192" t="s">
        <v>100</v>
      </c>
      <c r="B61" s="102">
        <v>200000</v>
      </c>
      <c r="C61" s="143" t="s">
        <v>303</v>
      </c>
      <c r="D61" s="143" t="s">
        <v>623</v>
      </c>
      <c r="E61" s="155" t="s">
        <v>651</v>
      </c>
      <c r="F61" s="196" t="s">
        <v>660</v>
      </c>
      <c r="G61" s="196" t="s">
        <v>666</v>
      </c>
      <c r="I61" s="186"/>
    </row>
    <row r="62" spans="1:17" x14ac:dyDescent="0.2">
      <c r="A62" s="194" t="s">
        <v>30</v>
      </c>
      <c r="B62" s="104">
        <v>75000</v>
      </c>
      <c r="C62" s="177" t="s">
        <v>539</v>
      </c>
      <c r="D62" s="177" t="s">
        <v>540</v>
      </c>
      <c r="E62" s="169" t="s">
        <v>651</v>
      </c>
      <c r="F62" s="197" t="s">
        <v>676</v>
      </c>
      <c r="G62" s="197" t="s">
        <v>666</v>
      </c>
    </row>
    <row r="63" spans="1:17" x14ac:dyDescent="0.2">
      <c r="A63" s="166" t="s">
        <v>30</v>
      </c>
      <c r="B63" s="104">
        <v>75000</v>
      </c>
      <c r="C63" s="168" t="s">
        <v>541</v>
      </c>
      <c r="D63" s="168" t="s">
        <v>540</v>
      </c>
      <c r="E63" s="169" t="s">
        <v>651</v>
      </c>
      <c r="F63" s="196" t="s">
        <v>676</v>
      </c>
      <c r="G63" s="196" t="s">
        <v>666</v>
      </c>
    </row>
    <row r="64" spans="1:17" x14ac:dyDescent="0.2">
      <c r="A64" s="192" t="s">
        <v>36</v>
      </c>
      <c r="B64" s="104">
        <v>400000</v>
      </c>
      <c r="C64" s="168" t="s">
        <v>282</v>
      </c>
      <c r="D64" s="168"/>
      <c r="E64" s="169" t="s">
        <v>651</v>
      </c>
      <c r="F64" s="196" t="s">
        <v>660</v>
      </c>
      <c r="G64" s="196" t="s">
        <v>666</v>
      </c>
      <c r="N64" s="170"/>
      <c r="O64" s="170"/>
      <c r="P64" s="170"/>
      <c r="Q64" s="170"/>
    </row>
    <row r="65" spans="1:17" s="170" customFormat="1" x14ac:dyDescent="0.2">
      <c r="A65" s="166" t="s">
        <v>36</v>
      </c>
      <c r="B65" s="104">
        <v>20000</v>
      </c>
      <c r="C65" s="168" t="s">
        <v>533</v>
      </c>
      <c r="D65" s="168"/>
      <c r="E65" s="169" t="s">
        <v>651</v>
      </c>
      <c r="F65" s="196" t="s">
        <v>660</v>
      </c>
      <c r="G65" s="196" t="s">
        <v>665</v>
      </c>
      <c r="N65"/>
      <c r="O65"/>
      <c r="P65"/>
      <c r="Q65"/>
    </row>
    <row r="66" spans="1:17" x14ac:dyDescent="0.2">
      <c r="A66" s="166" t="s">
        <v>36</v>
      </c>
      <c r="B66" s="104">
        <v>25000</v>
      </c>
      <c r="C66" s="62" t="s">
        <v>315</v>
      </c>
      <c r="D66" s="168" t="s">
        <v>519</v>
      </c>
      <c r="E66" s="169" t="s">
        <v>651</v>
      </c>
      <c r="F66" s="196" t="s">
        <v>660</v>
      </c>
      <c r="G66" s="196" t="s">
        <v>665</v>
      </c>
    </row>
    <row r="67" spans="1:17" x14ac:dyDescent="0.2">
      <c r="A67" s="166" t="s">
        <v>36</v>
      </c>
      <c r="B67" s="104">
        <v>100000</v>
      </c>
      <c r="C67" s="168" t="s">
        <v>316</v>
      </c>
      <c r="D67" s="168" t="s">
        <v>520</v>
      </c>
      <c r="E67" s="169" t="s">
        <v>651</v>
      </c>
      <c r="F67" s="196" t="s">
        <v>660</v>
      </c>
      <c r="G67" s="196" t="s">
        <v>665</v>
      </c>
    </row>
    <row r="68" spans="1:17" ht="25.5" x14ac:dyDescent="0.2">
      <c r="A68" s="166" t="s">
        <v>36</v>
      </c>
      <c r="B68" s="104">
        <v>50000</v>
      </c>
      <c r="C68" s="168" t="s">
        <v>544</v>
      </c>
      <c r="D68" s="168" t="s">
        <v>545</v>
      </c>
      <c r="E68" s="169" t="s">
        <v>651</v>
      </c>
      <c r="F68" s="196" t="s">
        <v>660</v>
      </c>
      <c r="G68" s="196" t="s">
        <v>665</v>
      </c>
    </row>
    <row r="69" spans="1:17" ht="178.5" x14ac:dyDescent="0.2">
      <c r="A69" s="178" t="s">
        <v>36</v>
      </c>
      <c r="B69" s="104">
        <v>500000</v>
      </c>
      <c r="C69" s="168" t="s">
        <v>631</v>
      </c>
      <c r="D69" s="62" t="s">
        <v>632</v>
      </c>
      <c r="E69" s="169" t="s">
        <v>651</v>
      </c>
      <c r="F69" s="196" t="s">
        <v>660</v>
      </c>
      <c r="G69" s="195" t="s">
        <v>666</v>
      </c>
    </row>
    <row r="70" spans="1:17" ht="38.25" x14ac:dyDescent="0.2">
      <c r="A70" s="166" t="s">
        <v>36</v>
      </c>
      <c r="B70" s="104">
        <v>40000</v>
      </c>
      <c r="C70" s="168" t="s">
        <v>571</v>
      </c>
      <c r="D70" s="168" t="s">
        <v>572</v>
      </c>
      <c r="E70" s="169" t="s">
        <v>651</v>
      </c>
      <c r="F70" s="196" t="s">
        <v>660</v>
      </c>
      <c r="G70" s="196" t="s">
        <v>669</v>
      </c>
    </row>
    <row r="71" spans="1:17" x14ac:dyDescent="0.2">
      <c r="A71" s="166" t="s">
        <v>36</v>
      </c>
      <c r="B71" s="104">
        <v>50000</v>
      </c>
      <c r="C71" s="168" t="s">
        <v>357</v>
      </c>
      <c r="D71" s="168" t="s">
        <v>549</v>
      </c>
      <c r="E71" s="169" t="s">
        <v>651</v>
      </c>
      <c r="F71" s="196" t="s">
        <v>660</v>
      </c>
      <c r="G71" s="196" t="s">
        <v>665</v>
      </c>
    </row>
    <row r="72" spans="1:17" ht="25.5" x14ac:dyDescent="0.2">
      <c r="A72" s="166" t="s">
        <v>36</v>
      </c>
      <c r="B72" s="104">
        <v>25000</v>
      </c>
      <c r="C72" s="62" t="s">
        <v>633</v>
      </c>
      <c r="D72" s="168" t="s">
        <v>551</v>
      </c>
      <c r="E72" s="169" t="s">
        <v>651</v>
      </c>
      <c r="F72" s="196" t="s">
        <v>660</v>
      </c>
      <c r="G72" s="196" t="s">
        <v>666</v>
      </c>
    </row>
    <row r="73" spans="1:17" ht="25.5" x14ac:dyDescent="0.2">
      <c r="A73" s="166" t="s">
        <v>36</v>
      </c>
      <c r="B73" s="104">
        <v>15000</v>
      </c>
      <c r="C73" s="62" t="s">
        <v>591</v>
      </c>
      <c r="D73" s="62" t="s">
        <v>637</v>
      </c>
      <c r="E73" s="169" t="s">
        <v>651</v>
      </c>
      <c r="F73" s="196" t="s">
        <v>660</v>
      </c>
      <c r="G73" s="196" t="s">
        <v>665</v>
      </c>
    </row>
    <row r="74" spans="1:17" ht="25.5" x14ac:dyDescent="0.2">
      <c r="A74" s="178" t="s">
        <v>36</v>
      </c>
      <c r="B74" s="104">
        <v>10000</v>
      </c>
      <c r="C74" s="62" t="s">
        <v>593</v>
      </c>
      <c r="D74" s="62"/>
      <c r="E74" s="169" t="s">
        <v>651</v>
      </c>
      <c r="F74" s="196" t="s">
        <v>660</v>
      </c>
      <c r="G74" s="196" t="s">
        <v>665</v>
      </c>
    </row>
    <row r="75" spans="1:17" ht="25.5" x14ac:dyDescent="0.2">
      <c r="A75" s="166" t="s">
        <v>36</v>
      </c>
      <c r="B75" s="156">
        <v>10000</v>
      </c>
      <c r="C75" s="143" t="s">
        <v>488</v>
      </c>
      <c r="D75" s="143"/>
      <c r="E75" s="169" t="s">
        <v>651</v>
      </c>
      <c r="F75" s="196" t="s">
        <v>660</v>
      </c>
      <c r="G75" s="196" t="s">
        <v>665</v>
      </c>
      <c r="N75" s="167"/>
      <c r="O75" s="167"/>
      <c r="P75" s="167"/>
      <c r="Q75" s="167"/>
    </row>
    <row r="76" spans="1:17" s="167" customFormat="1" x14ac:dyDescent="0.2">
      <c r="A76" s="178" t="s">
        <v>36</v>
      </c>
      <c r="B76" s="156">
        <v>30000</v>
      </c>
      <c r="C76" s="143" t="s">
        <v>390</v>
      </c>
      <c r="D76" s="143"/>
      <c r="E76" s="169" t="s">
        <v>651</v>
      </c>
      <c r="F76" s="196" t="s">
        <v>660</v>
      </c>
      <c r="G76" s="196" t="s">
        <v>665</v>
      </c>
    </row>
    <row r="77" spans="1:17" s="167" customFormat="1" ht="25.5" x14ac:dyDescent="0.2">
      <c r="A77" s="178" t="s">
        <v>36</v>
      </c>
      <c r="B77" s="156">
        <v>100000</v>
      </c>
      <c r="C77" s="143" t="s">
        <v>489</v>
      </c>
      <c r="D77" s="143" t="s">
        <v>490</v>
      </c>
      <c r="E77" s="169" t="s">
        <v>651</v>
      </c>
      <c r="F77" s="196" t="s">
        <v>660</v>
      </c>
      <c r="G77" s="196" t="s">
        <v>665</v>
      </c>
      <c r="N77"/>
      <c r="O77"/>
      <c r="P77"/>
      <c r="Q77"/>
    </row>
    <row r="78" spans="1:17" ht="38.25" x14ac:dyDescent="0.2">
      <c r="A78" s="178" t="s">
        <v>36</v>
      </c>
      <c r="B78" s="156">
        <v>100000</v>
      </c>
      <c r="C78" s="143" t="s">
        <v>491</v>
      </c>
      <c r="D78" s="143" t="s">
        <v>492</v>
      </c>
      <c r="E78" s="169" t="s">
        <v>651</v>
      </c>
      <c r="F78" s="196" t="s">
        <v>660</v>
      </c>
      <c r="G78" s="196" t="s">
        <v>666</v>
      </c>
    </row>
    <row r="79" spans="1:17" ht="25.5" x14ac:dyDescent="0.2">
      <c r="A79" s="178" t="s">
        <v>36</v>
      </c>
      <c r="B79" s="156">
        <v>20000</v>
      </c>
      <c r="C79" s="143" t="s">
        <v>493</v>
      </c>
      <c r="D79" s="143" t="s">
        <v>494</v>
      </c>
      <c r="E79" s="169" t="s">
        <v>651</v>
      </c>
      <c r="F79" s="196" t="s">
        <v>660</v>
      </c>
      <c r="G79" s="196" t="s">
        <v>665</v>
      </c>
    </row>
    <row r="80" spans="1:17" x14ac:dyDescent="0.2">
      <c r="A80" s="178" t="s">
        <v>36</v>
      </c>
      <c r="B80" s="156">
        <v>50000</v>
      </c>
      <c r="C80" s="143" t="s">
        <v>495</v>
      </c>
      <c r="D80" s="143"/>
      <c r="E80" s="169" t="s">
        <v>651</v>
      </c>
      <c r="F80" s="196" t="s">
        <v>660</v>
      </c>
      <c r="G80" s="196" t="s">
        <v>665</v>
      </c>
    </row>
    <row r="81" spans="1:17" ht="25.5" x14ac:dyDescent="0.2">
      <c r="A81" s="178" t="s">
        <v>36</v>
      </c>
      <c r="B81" s="156">
        <v>50000</v>
      </c>
      <c r="C81" s="143" t="s">
        <v>496</v>
      </c>
      <c r="D81" s="143" t="s">
        <v>497</v>
      </c>
      <c r="E81" s="169" t="s">
        <v>651</v>
      </c>
      <c r="F81" s="196" t="s">
        <v>660</v>
      </c>
      <c r="G81" s="196" t="s">
        <v>665</v>
      </c>
    </row>
    <row r="82" spans="1:17" ht="25.5" x14ac:dyDescent="0.2">
      <c r="A82" s="178" t="s">
        <v>36</v>
      </c>
      <c r="B82" s="156">
        <v>15000</v>
      </c>
      <c r="C82" s="143" t="s">
        <v>498</v>
      </c>
      <c r="D82" s="143"/>
      <c r="E82" s="169" t="s">
        <v>651</v>
      </c>
      <c r="F82" s="196" t="s">
        <v>660</v>
      </c>
      <c r="G82" s="196" t="s">
        <v>665</v>
      </c>
    </row>
    <row r="83" spans="1:17" ht="51" x14ac:dyDescent="0.2">
      <c r="A83" s="178" t="s">
        <v>36</v>
      </c>
      <c r="B83" s="121">
        <v>100000</v>
      </c>
      <c r="C83" s="190"/>
      <c r="D83" s="29" t="s">
        <v>333</v>
      </c>
      <c r="E83" s="169" t="s">
        <v>651</v>
      </c>
      <c r="F83" s="196" t="s">
        <v>660</v>
      </c>
      <c r="G83" s="196" t="s">
        <v>666</v>
      </c>
    </row>
    <row r="84" spans="1:17" ht="38.25" x14ac:dyDescent="0.2">
      <c r="A84" s="192" t="s">
        <v>80</v>
      </c>
      <c r="B84" s="156">
        <v>200000</v>
      </c>
      <c r="C84" s="143"/>
      <c r="D84" s="29" t="s">
        <v>638</v>
      </c>
      <c r="E84" s="194" t="s">
        <v>652</v>
      </c>
      <c r="F84" s="196" t="s">
        <v>660</v>
      </c>
      <c r="G84" s="196" t="s">
        <v>666</v>
      </c>
    </row>
    <row r="85" spans="1:17" ht="38.25" x14ac:dyDescent="0.2">
      <c r="A85" s="192" t="s">
        <v>134</v>
      </c>
      <c r="B85" s="104">
        <v>100000</v>
      </c>
      <c r="C85" s="168" t="s">
        <v>522</v>
      </c>
      <c r="D85" s="168"/>
      <c r="E85" s="194" t="s">
        <v>652</v>
      </c>
      <c r="F85" s="196" t="s">
        <v>660</v>
      </c>
      <c r="G85" s="196" t="s">
        <v>670</v>
      </c>
      <c r="N85" s="109"/>
      <c r="O85" s="109"/>
      <c r="P85" s="109"/>
      <c r="Q85" s="109"/>
    </row>
    <row r="86" spans="1:17" s="109" customFormat="1" ht="38.25" x14ac:dyDescent="0.2">
      <c r="A86" s="166" t="s">
        <v>134</v>
      </c>
      <c r="B86" s="104">
        <v>150000</v>
      </c>
      <c r="C86" s="168" t="s">
        <v>523</v>
      </c>
      <c r="D86" s="168"/>
      <c r="E86" s="155" t="s">
        <v>654</v>
      </c>
      <c r="F86" s="196" t="s">
        <v>660</v>
      </c>
      <c r="G86" s="196" t="s">
        <v>670</v>
      </c>
      <c r="H86" s="119"/>
      <c r="N86"/>
      <c r="O86"/>
      <c r="P86"/>
      <c r="Q86"/>
    </row>
    <row r="88" spans="1:17" x14ac:dyDescent="0.2">
      <c r="A88" s="179" t="s">
        <v>639</v>
      </c>
      <c r="B88" s="183">
        <f>SUM(B6:B86)</f>
        <v>30214500</v>
      </c>
    </row>
  </sheetData>
  <autoFilter ref="A5:R5" xr:uid="{00000000-0009-0000-0000-000002000000}"/>
  <pageMargins left="0.25" right="0.25" top="0.75" bottom="0.75" header="0.3" footer="0.3"/>
  <pageSetup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4"/>
  <sheetViews>
    <sheetView topLeftCell="A31" workbookViewId="0">
      <selection activeCell="D48" sqref="D48"/>
    </sheetView>
  </sheetViews>
  <sheetFormatPr defaultRowHeight="12.75" x14ac:dyDescent="0.2"/>
  <cols>
    <col min="1" max="1" width="11.42578125" style="167" customWidth="1"/>
    <col min="2" max="2" width="11.140625" style="85" bestFit="1" customWidth="1"/>
    <col min="3" max="3" width="54.140625" style="175" bestFit="1" customWidth="1"/>
    <col min="4" max="4" width="37.42578125" style="175" bestFit="1" customWidth="1"/>
    <col min="5" max="5" width="9.42578125" bestFit="1" customWidth="1"/>
  </cols>
  <sheetData>
    <row r="1" spans="1:5" x14ac:dyDescent="0.2">
      <c r="A1" s="179" t="s">
        <v>578</v>
      </c>
    </row>
    <row r="2" spans="1:5" x14ac:dyDescent="0.2">
      <c r="A2" s="179"/>
    </row>
    <row r="3" spans="1:5" x14ac:dyDescent="0.2">
      <c r="A3" s="180" t="s">
        <v>417</v>
      </c>
      <c r="B3" s="61" t="s">
        <v>418</v>
      </c>
      <c r="C3" s="181" t="s">
        <v>272</v>
      </c>
      <c r="D3" s="176" t="s">
        <v>413</v>
      </c>
      <c r="E3" s="155"/>
    </row>
    <row r="4" spans="1:5" x14ac:dyDescent="0.2">
      <c r="A4" s="166" t="s">
        <v>21</v>
      </c>
      <c r="B4" s="104">
        <v>300000</v>
      </c>
      <c r="C4" s="168" t="s">
        <v>309</v>
      </c>
      <c r="D4" s="173"/>
      <c r="E4" s="155" t="s">
        <v>506</v>
      </c>
    </row>
    <row r="5" spans="1:5" x14ac:dyDescent="0.2">
      <c r="A5" s="166" t="s">
        <v>21</v>
      </c>
      <c r="B5" s="104">
        <v>300000</v>
      </c>
      <c r="C5" s="168" t="s">
        <v>507</v>
      </c>
      <c r="D5" s="173"/>
      <c r="E5" s="155" t="s">
        <v>506</v>
      </c>
    </row>
    <row r="6" spans="1:5" x14ac:dyDescent="0.2">
      <c r="A6" s="166" t="s">
        <v>21</v>
      </c>
      <c r="B6" s="104">
        <v>100000</v>
      </c>
      <c r="C6" s="168" t="s">
        <v>508</v>
      </c>
      <c r="D6" s="173" t="s">
        <v>509</v>
      </c>
      <c r="E6" s="155"/>
    </row>
    <row r="7" spans="1:5" x14ac:dyDescent="0.2">
      <c r="A7" s="166" t="s">
        <v>21</v>
      </c>
      <c r="B7" s="104">
        <v>75000</v>
      </c>
      <c r="C7" s="168" t="s">
        <v>583</v>
      </c>
      <c r="D7" s="173" t="s">
        <v>510</v>
      </c>
      <c r="E7" s="155"/>
    </row>
    <row r="8" spans="1:5" x14ac:dyDescent="0.2">
      <c r="A8" s="166" t="s">
        <v>21</v>
      </c>
      <c r="B8" s="104">
        <v>100000</v>
      </c>
      <c r="C8" s="168" t="s">
        <v>511</v>
      </c>
      <c r="D8" s="173" t="s">
        <v>512</v>
      </c>
      <c r="E8" s="155"/>
    </row>
    <row r="9" spans="1:5" s="109" customFormat="1" x14ac:dyDescent="0.2">
      <c r="A9" s="166" t="s">
        <v>21</v>
      </c>
      <c r="B9" s="115">
        <v>300000</v>
      </c>
      <c r="C9" s="175" t="s">
        <v>507</v>
      </c>
      <c r="D9" s="175" t="s">
        <v>582</v>
      </c>
      <c r="E9" s="174" t="s">
        <v>506</v>
      </c>
    </row>
    <row r="10" spans="1:5" x14ac:dyDescent="0.2">
      <c r="A10" s="166" t="s">
        <v>21</v>
      </c>
      <c r="B10" s="104">
        <v>75000</v>
      </c>
      <c r="C10" s="168" t="s">
        <v>584</v>
      </c>
      <c r="D10" s="173" t="s">
        <v>585</v>
      </c>
      <c r="E10" s="155"/>
    </row>
    <row r="11" spans="1:5" ht="25.5" x14ac:dyDescent="0.2">
      <c r="A11" s="166" t="s">
        <v>21</v>
      </c>
      <c r="B11" s="104">
        <v>130000</v>
      </c>
      <c r="C11" s="168" t="s">
        <v>586</v>
      </c>
      <c r="D11" s="173" t="s">
        <v>587</v>
      </c>
      <c r="E11" s="155"/>
    </row>
    <row r="12" spans="1:5" x14ac:dyDescent="0.2">
      <c r="A12" s="166" t="s">
        <v>21</v>
      </c>
      <c r="B12" s="104">
        <v>60000</v>
      </c>
      <c r="C12" s="168" t="s">
        <v>535</v>
      </c>
      <c r="D12" s="173" t="s">
        <v>536</v>
      </c>
      <c r="E12" s="155"/>
    </row>
    <row r="13" spans="1:5" ht="25.5" x14ac:dyDescent="0.2">
      <c r="A13" s="166" t="s">
        <v>21</v>
      </c>
      <c r="B13" s="104">
        <v>100000</v>
      </c>
      <c r="C13" s="62" t="s">
        <v>579</v>
      </c>
      <c r="D13" s="173"/>
      <c r="E13" s="155"/>
    </row>
    <row r="14" spans="1:5" x14ac:dyDescent="0.2">
      <c r="A14" s="166" t="s">
        <v>21</v>
      </c>
      <c r="B14" s="104">
        <v>50000</v>
      </c>
      <c r="C14" s="168" t="s">
        <v>470</v>
      </c>
      <c r="D14" s="173"/>
      <c r="E14" s="155"/>
    </row>
    <row r="15" spans="1:5" x14ac:dyDescent="0.2">
      <c r="A15" s="166" t="s">
        <v>21</v>
      </c>
      <c r="B15" s="104">
        <v>75000</v>
      </c>
      <c r="C15" s="168" t="s">
        <v>541</v>
      </c>
      <c r="D15" s="173" t="s">
        <v>543</v>
      </c>
      <c r="E15" s="155"/>
    </row>
    <row r="16" spans="1:5" x14ac:dyDescent="0.2">
      <c r="A16" s="166" t="s">
        <v>21</v>
      </c>
      <c r="B16" s="104">
        <v>50000</v>
      </c>
      <c r="C16" s="168" t="s">
        <v>541</v>
      </c>
      <c r="D16" s="173" t="s">
        <v>542</v>
      </c>
      <c r="E16" s="155"/>
    </row>
    <row r="17" spans="1:6" x14ac:dyDescent="0.2">
      <c r="A17" s="166" t="s">
        <v>21</v>
      </c>
      <c r="B17" s="104">
        <v>5000</v>
      </c>
      <c r="C17" s="168" t="s">
        <v>546</v>
      </c>
      <c r="D17" s="173" t="s">
        <v>467</v>
      </c>
      <c r="E17" s="155"/>
    </row>
    <row r="18" spans="1:6" ht="89.25" x14ac:dyDescent="0.2">
      <c r="A18" s="166" t="s">
        <v>21</v>
      </c>
      <c r="B18" s="104">
        <v>50000</v>
      </c>
      <c r="C18" s="168"/>
      <c r="D18" s="173" t="s">
        <v>554</v>
      </c>
      <c r="E18" s="155"/>
    </row>
    <row r="19" spans="1:6" ht="25.5" x14ac:dyDescent="0.2">
      <c r="A19" s="166" t="s">
        <v>21</v>
      </c>
      <c r="B19" s="104">
        <v>75000</v>
      </c>
      <c r="C19" s="62" t="s">
        <v>555</v>
      </c>
      <c r="D19" s="62" t="s">
        <v>556</v>
      </c>
      <c r="E19" s="155"/>
    </row>
    <row r="20" spans="1:6" ht="89.25" x14ac:dyDescent="0.2">
      <c r="A20" s="166" t="s">
        <v>21</v>
      </c>
      <c r="B20" s="104">
        <v>50000</v>
      </c>
      <c r="C20" s="62" t="s">
        <v>557</v>
      </c>
      <c r="D20" s="62" t="s">
        <v>558</v>
      </c>
      <c r="E20" s="155"/>
    </row>
    <row r="21" spans="1:6" ht="38.25" x14ac:dyDescent="0.2">
      <c r="A21" s="166" t="s">
        <v>21</v>
      </c>
      <c r="B21" s="104">
        <v>25000</v>
      </c>
      <c r="C21" s="168" t="s">
        <v>560</v>
      </c>
      <c r="D21" s="168" t="s">
        <v>561</v>
      </c>
      <c r="E21" s="155"/>
    </row>
    <row r="22" spans="1:6" ht="38.25" x14ac:dyDescent="0.2">
      <c r="A22" s="166" t="s">
        <v>21</v>
      </c>
      <c r="B22" s="104">
        <v>50000</v>
      </c>
      <c r="C22" s="168" t="s">
        <v>573</v>
      </c>
      <c r="D22" s="168" t="s">
        <v>574</v>
      </c>
      <c r="E22" s="155"/>
    </row>
    <row r="23" spans="1:6" x14ac:dyDescent="0.2">
      <c r="A23" s="166" t="s">
        <v>21</v>
      </c>
      <c r="B23" s="104">
        <v>15000</v>
      </c>
      <c r="C23" s="62" t="s">
        <v>559</v>
      </c>
      <c r="E23" s="155"/>
    </row>
    <row r="24" spans="1:6" x14ac:dyDescent="0.2">
      <c r="A24" s="166" t="s">
        <v>21</v>
      </c>
      <c r="B24" s="104">
        <v>50000</v>
      </c>
      <c r="C24" s="62" t="s">
        <v>568</v>
      </c>
      <c r="D24" s="168" t="s">
        <v>569</v>
      </c>
      <c r="E24" s="155"/>
      <c r="F24" s="161"/>
    </row>
    <row r="25" spans="1:6" x14ac:dyDescent="0.2">
      <c r="A25" s="166" t="s">
        <v>21</v>
      </c>
      <c r="B25" s="104">
        <v>500000</v>
      </c>
      <c r="C25" s="168" t="s">
        <v>451</v>
      </c>
      <c r="D25" s="168" t="s">
        <v>452</v>
      </c>
      <c r="E25" s="155"/>
    </row>
    <row r="26" spans="1:6" s="167" customFormat="1" x14ac:dyDescent="0.2">
      <c r="A26" s="166"/>
      <c r="B26" s="104">
        <f>SUM(B4:B25)</f>
        <v>2535000</v>
      </c>
      <c r="C26" s="168"/>
      <c r="D26" s="168"/>
      <c r="E26" s="166"/>
    </row>
    <row r="27" spans="1:6" x14ac:dyDescent="0.2">
      <c r="A27" s="166"/>
      <c r="B27" s="104"/>
      <c r="C27" s="168"/>
      <c r="D27" s="168"/>
      <c r="E27" s="155"/>
    </row>
    <row r="28" spans="1:6" ht="51" x14ac:dyDescent="0.2">
      <c r="A28" s="178" t="s">
        <v>14</v>
      </c>
      <c r="B28" s="104">
        <v>40000</v>
      </c>
      <c r="C28" s="168"/>
      <c r="D28" s="168" t="s">
        <v>564</v>
      </c>
      <c r="E28" s="155"/>
    </row>
    <row r="29" spans="1:6" s="167" customFormat="1" x14ac:dyDescent="0.2">
      <c r="A29" s="166"/>
      <c r="B29" s="104"/>
      <c r="C29" s="168"/>
      <c r="D29" s="168"/>
      <c r="E29" s="166"/>
    </row>
    <row r="30" spans="1:6" x14ac:dyDescent="0.2">
      <c r="A30" s="166" t="s">
        <v>44</v>
      </c>
      <c r="B30" s="104">
        <v>300000</v>
      </c>
      <c r="C30" s="168"/>
      <c r="D30" s="168" t="s">
        <v>414</v>
      </c>
      <c r="E30" s="155"/>
    </row>
    <row r="31" spans="1:6" x14ac:dyDescent="0.2">
      <c r="A31" s="166" t="s">
        <v>44</v>
      </c>
      <c r="B31" s="104">
        <v>339500</v>
      </c>
      <c r="C31" s="168" t="s">
        <v>515</v>
      </c>
      <c r="D31" s="168"/>
      <c r="E31" s="155"/>
    </row>
    <row r="32" spans="1:6" x14ac:dyDescent="0.2">
      <c r="A32" s="166"/>
      <c r="B32" s="104">
        <f>SUM(B30:B31)</f>
        <v>639500</v>
      </c>
      <c r="C32" s="168"/>
      <c r="D32" s="168"/>
      <c r="E32" s="155"/>
    </row>
    <row r="33" spans="1:5" x14ac:dyDescent="0.2">
      <c r="A33" s="166"/>
      <c r="B33" s="104"/>
      <c r="C33" s="168"/>
      <c r="D33" s="168"/>
      <c r="E33" s="155"/>
    </row>
    <row r="34" spans="1:5" ht="25.5" x14ac:dyDescent="0.2">
      <c r="A34" s="166" t="s">
        <v>15</v>
      </c>
      <c r="B34" s="104">
        <v>50000</v>
      </c>
      <c r="C34" s="168" t="s">
        <v>538</v>
      </c>
      <c r="D34" s="168" t="s">
        <v>580</v>
      </c>
      <c r="E34" s="155"/>
    </row>
    <row r="35" spans="1:5" x14ac:dyDescent="0.2">
      <c r="A35" s="166" t="s">
        <v>15</v>
      </c>
      <c r="B35" s="104">
        <v>100000</v>
      </c>
      <c r="C35" s="168" t="s">
        <v>547</v>
      </c>
      <c r="D35" s="168" t="s">
        <v>548</v>
      </c>
      <c r="E35" s="155"/>
    </row>
    <row r="36" spans="1:5" ht="38.25" x14ac:dyDescent="0.2">
      <c r="A36" s="166" t="s">
        <v>15</v>
      </c>
      <c r="B36" s="104">
        <v>150000</v>
      </c>
      <c r="C36" s="168" t="s">
        <v>552</v>
      </c>
      <c r="D36" s="168" t="s">
        <v>553</v>
      </c>
      <c r="E36" s="155"/>
    </row>
    <row r="37" spans="1:5" ht="63.75" x14ac:dyDescent="0.2">
      <c r="A37" s="166" t="s">
        <v>15</v>
      </c>
      <c r="B37" s="104">
        <v>100000</v>
      </c>
      <c r="C37" s="168" t="s">
        <v>566</v>
      </c>
      <c r="D37" s="168" t="s">
        <v>567</v>
      </c>
      <c r="E37" s="155"/>
    </row>
    <row r="38" spans="1:5" s="167" customFormat="1" x14ac:dyDescent="0.2">
      <c r="A38" s="166"/>
      <c r="B38" s="104">
        <f>SUM(B34:B37)</f>
        <v>400000</v>
      </c>
      <c r="C38" s="168"/>
      <c r="D38" s="168"/>
      <c r="E38" s="166"/>
    </row>
    <row r="39" spans="1:5" s="167" customFormat="1" x14ac:dyDescent="0.2">
      <c r="A39" s="166"/>
      <c r="B39" s="104"/>
      <c r="C39" s="168"/>
      <c r="D39" s="168"/>
      <c r="E39" s="166"/>
    </row>
    <row r="40" spans="1:5" x14ac:dyDescent="0.2">
      <c r="A40" s="166" t="s">
        <v>18</v>
      </c>
      <c r="B40" s="104">
        <v>250000</v>
      </c>
      <c r="C40" s="168" t="s">
        <v>534</v>
      </c>
      <c r="D40" s="168"/>
      <c r="E40" s="155"/>
    </row>
    <row r="41" spans="1:5" ht="25.5" x14ac:dyDescent="0.2">
      <c r="A41" s="166" t="s">
        <v>18</v>
      </c>
      <c r="B41" s="104">
        <v>100000</v>
      </c>
      <c r="C41" s="62" t="s">
        <v>563</v>
      </c>
      <c r="D41" s="168" t="s">
        <v>562</v>
      </c>
      <c r="E41" s="155"/>
    </row>
    <row r="42" spans="1:5" s="167" customFormat="1" x14ac:dyDescent="0.2">
      <c r="A42" s="166"/>
      <c r="B42" s="104">
        <f>SUM(B40:B41)</f>
        <v>350000</v>
      </c>
      <c r="C42" s="62"/>
      <c r="D42" s="168"/>
      <c r="E42" s="166"/>
    </row>
    <row r="43" spans="1:5" x14ac:dyDescent="0.2">
      <c r="A43" s="166"/>
      <c r="B43" s="104"/>
      <c r="C43" s="168"/>
      <c r="D43" s="168"/>
      <c r="E43" s="155"/>
    </row>
    <row r="44" spans="1:5" ht="25.5" x14ac:dyDescent="0.2">
      <c r="A44" s="178" t="s">
        <v>19</v>
      </c>
      <c r="B44" s="104">
        <v>10000</v>
      </c>
      <c r="C44" s="62" t="s">
        <v>555</v>
      </c>
      <c r="D44" s="168" t="s">
        <v>613</v>
      </c>
      <c r="E44" s="155"/>
    </row>
    <row r="45" spans="1:5" x14ac:dyDescent="0.2">
      <c r="A45" s="166"/>
      <c r="B45" s="104"/>
      <c r="C45" s="168"/>
      <c r="D45" s="168"/>
      <c r="E45" s="155"/>
    </row>
    <row r="46" spans="1:5" ht="25.5" x14ac:dyDescent="0.2">
      <c r="A46" s="178" t="s">
        <v>6</v>
      </c>
      <c r="B46" s="104">
        <v>6500000</v>
      </c>
      <c r="C46" s="62" t="s">
        <v>426</v>
      </c>
      <c r="D46" s="62" t="s">
        <v>427</v>
      </c>
      <c r="E46" s="155"/>
    </row>
    <row r="47" spans="1:5" x14ac:dyDescent="0.2">
      <c r="A47" s="166" t="s">
        <v>6</v>
      </c>
      <c r="B47" s="104">
        <v>200000</v>
      </c>
      <c r="C47" s="168" t="s">
        <v>328</v>
      </c>
      <c r="D47" s="168"/>
      <c r="E47" s="155"/>
    </row>
    <row r="48" spans="1:5" ht="114.75" x14ac:dyDescent="0.2">
      <c r="A48" s="166" t="s">
        <v>6</v>
      </c>
      <c r="B48" s="104">
        <v>250000</v>
      </c>
      <c r="C48" s="168"/>
      <c r="D48" s="168" t="s">
        <v>565</v>
      </c>
      <c r="E48" s="155"/>
    </row>
    <row r="49" spans="1:6" s="167" customFormat="1" x14ac:dyDescent="0.2">
      <c r="A49" s="166"/>
      <c r="B49" s="104">
        <f>SUM(B46:B48)</f>
        <v>6950000</v>
      </c>
      <c r="C49" s="168"/>
      <c r="D49" s="168"/>
      <c r="E49" s="166"/>
    </row>
    <row r="50" spans="1:6" x14ac:dyDescent="0.2">
      <c r="A50" s="166"/>
      <c r="B50" s="104"/>
      <c r="C50" s="168"/>
      <c r="D50" s="168"/>
      <c r="E50" s="155"/>
    </row>
    <row r="51" spans="1:6" s="170" customFormat="1" x14ac:dyDescent="0.2">
      <c r="A51" s="182" t="s">
        <v>30</v>
      </c>
      <c r="B51" s="104">
        <v>75000</v>
      </c>
      <c r="C51" s="177" t="s">
        <v>539</v>
      </c>
      <c r="D51" s="177" t="s">
        <v>540</v>
      </c>
      <c r="E51" s="169"/>
    </row>
    <row r="52" spans="1:6" x14ac:dyDescent="0.2">
      <c r="A52" s="166" t="s">
        <v>30</v>
      </c>
      <c r="B52" s="104">
        <v>75000</v>
      </c>
      <c r="C52" s="168" t="s">
        <v>541</v>
      </c>
      <c r="D52" s="168" t="s">
        <v>540</v>
      </c>
      <c r="E52" s="155"/>
    </row>
    <row r="53" spans="1:6" s="167" customFormat="1" x14ac:dyDescent="0.2">
      <c r="A53" s="166"/>
      <c r="B53" s="104"/>
      <c r="C53" s="168"/>
      <c r="D53" s="168"/>
      <c r="E53" s="166"/>
    </row>
    <row r="54" spans="1:6" x14ac:dyDescent="0.2">
      <c r="A54" s="166" t="s">
        <v>36</v>
      </c>
      <c r="B54" s="104">
        <v>25000</v>
      </c>
      <c r="C54" s="168" t="s">
        <v>518</v>
      </c>
      <c r="D54" s="168" t="s">
        <v>519</v>
      </c>
      <c r="E54" s="155"/>
    </row>
    <row r="55" spans="1:6" ht="25.5" x14ac:dyDescent="0.2">
      <c r="A55" s="166" t="s">
        <v>36</v>
      </c>
      <c r="B55" s="104">
        <v>100000</v>
      </c>
      <c r="C55" s="168" t="s">
        <v>316</v>
      </c>
      <c r="D55" s="168" t="s">
        <v>520</v>
      </c>
      <c r="E55" s="155"/>
    </row>
    <row r="56" spans="1:6" x14ac:dyDescent="0.2">
      <c r="A56" s="166" t="s">
        <v>36</v>
      </c>
      <c r="B56" s="104">
        <v>400000</v>
      </c>
      <c r="C56" s="168" t="s">
        <v>282</v>
      </c>
      <c r="D56" s="168"/>
      <c r="E56" s="155"/>
    </row>
    <row r="57" spans="1:6" x14ac:dyDescent="0.2">
      <c r="A57" s="166" t="s">
        <v>36</v>
      </c>
      <c r="B57" s="104">
        <v>20000</v>
      </c>
      <c r="C57" s="168" t="s">
        <v>533</v>
      </c>
      <c r="D57" s="168"/>
      <c r="E57" s="155"/>
    </row>
    <row r="58" spans="1:6" ht="38.25" x14ac:dyDescent="0.2">
      <c r="A58" s="166" t="s">
        <v>36</v>
      </c>
      <c r="B58" s="104">
        <v>50000</v>
      </c>
      <c r="C58" s="168" t="s">
        <v>544</v>
      </c>
      <c r="D58" s="168" t="s">
        <v>545</v>
      </c>
      <c r="E58" s="155"/>
    </row>
    <row r="59" spans="1:6" ht="191.25" x14ac:dyDescent="0.2">
      <c r="A59" s="178" t="s">
        <v>36</v>
      </c>
      <c r="B59" s="104">
        <v>500000</v>
      </c>
      <c r="C59" s="168" t="s">
        <v>631</v>
      </c>
      <c r="D59" s="62" t="s">
        <v>632</v>
      </c>
      <c r="E59" s="155"/>
      <c r="F59" s="161"/>
    </row>
    <row r="60" spans="1:6" ht="25.5" x14ac:dyDescent="0.2">
      <c r="A60" s="166" t="s">
        <v>36</v>
      </c>
      <c r="B60" s="104">
        <v>40000</v>
      </c>
      <c r="C60" s="168" t="s">
        <v>571</v>
      </c>
      <c r="D60" s="168" t="s">
        <v>572</v>
      </c>
      <c r="E60" s="155"/>
    </row>
    <row r="61" spans="1:6" ht="25.5" x14ac:dyDescent="0.2">
      <c r="A61" s="166" t="s">
        <v>36</v>
      </c>
      <c r="B61" s="104">
        <v>80000</v>
      </c>
      <c r="C61" s="168" t="s">
        <v>575</v>
      </c>
      <c r="D61" s="168" t="s">
        <v>576</v>
      </c>
      <c r="E61" s="155"/>
      <c r="F61" s="161"/>
    </row>
    <row r="62" spans="1:6" ht="25.5" x14ac:dyDescent="0.2">
      <c r="A62" s="166" t="s">
        <v>36</v>
      </c>
      <c r="B62" s="104">
        <v>50000</v>
      </c>
      <c r="C62" s="168" t="s">
        <v>357</v>
      </c>
      <c r="D62" s="168" t="s">
        <v>549</v>
      </c>
      <c r="E62" s="155"/>
    </row>
    <row r="63" spans="1:6" ht="25.5" x14ac:dyDescent="0.2">
      <c r="A63" s="166" t="s">
        <v>36</v>
      </c>
      <c r="B63" s="104">
        <v>25000</v>
      </c>
      <c r="C63" s="168" t="s">
        <v>550</v>
      </c>
      <c r="D63" s="168" t="s">
        <v>551</v>
      </c>
      <c r="E63" s="155"/>
    </row>
    <row r="64" spans="1:6" s="167" customFormat="1" ht="38.25" x14ac:dyDescent="0.2">
      <c r="A64" s="166" t="s">
        <v>36</v>
      </c>
      <c r="B64" s="104">
        <v>15000</v>
      </c>
      <c r="C64" s="62" t="s">
        <v>591</v>
      </c>
      <c r="D64" s="62" t="s">
        <v>592</v>
      </c>
      <c r="E64" s="166"/>
    </row>
    <row r="65" spans="1:5" s="167" customFormat="1" x14ac:dyDescent="0.2">
      <c r="A65" s="178" t="s">
        <v>36</v>
      </c>
      <c r="B65" s="104">
        <v>10000</v>
      </c>
      <c r="C65" s="62" t="s">
        <v>593</v>
      </c>
      <c r="D65" s="62"/>
      <c r="E65" s="166"/>
    </row>
    <row r="66" spans="1:5" s="167" customFormat="1" x14ac:dyDescent="0.2">
      <c r="A66" s="178"/>
      <c r="B66" s="104">
        <f>SUM(B54:B65)</f>
        <v>1315000</v>
      </c>
      <c r="C66" s="62"/>
      <c r="D66" s="62"/>
      <c r="E66" s="166"/>
    </row>
    <row r="67" spans="1:5" s="167" customFormat="1" x14ac:dyDescent="0.2">
      <c r="A67" s="166"/>
      <c r="B67" s="104"/>
      <c r="C67" s="62"/>
      <c r="D67" s="62"/>
      <c r="E67" s="166"/>
    </row>
    <row r="68" spans="1:5" ht="51" x14ac:dyDescent="0.2">
      <c r="A68" s="166" t="s">
        <v>80</v>
      </c>
      <c r="B68" s="104">
        <v>100000</v>
      </c>
      <c r="C68" s="168"/>
      <c r="D68" s="168" t="s">
        <v>430</v>
      </c>
      <c r="E68" s="155"/>
    </row>
    <row r="69" spans="1:5" x14ac:dyDescent="0.2">
      <c r="A69" s="166"/>
      <c r="B69" s="104"/>
      <c r="C69" s="168"/>
      <c r="D69" s="168"/>
      <c r="E69" s="155"/>
    </row>
    <row r="70" spans="1:5" ht="25.5" x14ac:dyDescent="0.2">
      <c r="A70" s="166" t="s">
        <v>134</v>
      </c>
      <c r="B70" s="104">
        <v>100000</v>
      </c>
      <c r="C70" s="168" t="s">
        <v>522</v>
      </c>
      <c r="D70" s="168"/>
      <c r="E70" s="155"/>
    </row>
    <row r="71" spans="1:5" ht="25.5" x14ac:dyDescent="0.2">
      <c r="A71" s="166" t="s">
        <v>134</v>
      </c>
      <c r="B71" s="104">
        <v>150000</v>
      </c>
      <c r="C71" s="168" t="s">
        <v>523</v>
      </c>
      <c r="D71" s="168"/>
      <c r="E71" s="155"/>
    </row>
    <row r="72" spans="1:5" x14ac:dyDescent="0.2">
      <c r="A72" s="166"/>
      <c r="B72" s="104">
        <f>SUM(B70:B71)</f>
        <v>250000</v>
      </c>
      <c r="C72" s="168"/>
      <c r="D72" s="168"/>
      <c r="E72" s="155"/>
    </row>
    <row r="73" spans="1:5" x14ac:dyDescent="0.2">
      <c r="A73" s="166"/>
      <c r="B73" s="104"/>
      <c r="C73" s="168"/>
      <c r="D73" s="168"/>
      <c r="E73" s="155"/>
    </row>
    <row r="74" spans="1:5" x14ac:dyDescent="0.2">
      <c r="A74" s="166"/>
      <c r="B74" s="104"/>
      <c r="C74" s="168"/>
      <c r="D74" s="168"/>
      <c r="E74" s="155"/>
    </row>
  </sheetData>
  <pageMargins left="0.7" right="0.7" top="0.75" bottom="0.75" header="0.3" footer="0.3"/>
  <pageSetup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2"/>
  <sheetViews>
    <sheetView topLeftCell="A34" workbookViewId="0">
      <selection activeCell="A47" sqref="A47:XFD47"/>
    </sheetView>
  </sheetViews>
  <sheetFormatPr defaultRowHeight="12.75" x14ac:dyDescent="0.2"/>
  <cols>
    <col min="1" max="1" width="10.42578125" customWidth="1"/>
    <col min="2" max="2" width="12.28515625" style="99" bestFit="1" customWidth="1"/>
    <col min="3" max="3" width="41.5703125" style="108" customWidth="1"/>
    <col min="4" max="4" width="59.85546875" customWidth="1"/>
  </cols>
  <sheetData>
    <row r="1" spans="1:4" x14ac:dyDescent="0.2">
      <c r="A1" s="150" t="s">
        <v>528</v>
      </c>
    </row>
    <row r="2" spans="1:4" x14ac:dyDescent="0.2">
      <c r="A2" s="150"/>
    </row>
    <row r="3" spans="1:4" x14ac:dyDescent="0.2">
      <c r="A3" s="154" t="s">
        <v>417</v>
      </c>
      <c r="B3" s="63" t="s">
        <v>418</v>
      </c>
      <c r="C3" s="71" t="s">
        <v>272</v>
      </c>
      <c r="D3" s="154" t="s">
        <v>413</v>
      </c>
    </row>
    <row r="4" spans="1:4" x14ac:dyDescent="0.2">
      <c r="A4" s="155" t="s">
        <v>21</v>
      </c>
      <c r="B4" s="156">
        <v>500000</v>
      </c>
      <c r="C4" s="143" t="s">
        <v>412</v>
      </c>
      <c r="D4" s="155" t="s">
        <v>411</v>
      </c>
    </row>
    <row r="5" spans="1:4" x14ac:dyDescent="0.2">
      <c r="A5" s="155" t="s">
        <v>21</v>
      </c>
      <c r="B5" s="156">
        <v>100000</v>
      </c>
      <c r="C5" s="143"/>
      <c r="D5" s="155" t="s">
        <v>445</v>
      </c>
    </row>
    <row r="6" spans="1:4" x14ac:dyDescent="0.2">
      <c r="A6" s="155"/>
      <c r="B6" s="156"/>
      <c r="C6" s="143"/>
      <c r="D6" s="155"/>
    </row>
    <row r="7" spans="1:4" x14ac:dyDescent="0.2">
      <c r="A7" s="155"/>
      <c r="B7" s="156"/>
      <c r="C7" s="143"/>
      <c r="D7" s="155"/>
    </row>
    <row r="8" spans="1:4" x14ac:dyDescent="0.2">
      <c r="A8" s="155" t="s">
        <v>44</v>
      </c>
      <c r="B8" s="156">
        <v>300000</v>
      </c>
      <c r="C8" s="143"/>
      <c r="D8" s="155" t="s">
        <v>414</v>
      </c>
    </row>
    <row r="9" spans="1:4" x14ac:dyDescent="0.2">
      <c r="A9" s="155" t="s">
        <v>44</v>
      </c>
      <c r="B9" s="156">
        <v>10000</v>
      </c>
      <c r="C9" s="143" t="s">
        <v>446</v>
      </c>
      <c r="D9" s="155" t="s">
        <v>446</v>
      </c>
    </row>
    <row r="10" spans="1:4" x14ac:dyDescent="0.2">
      <c r="A10" s="155" t="s">
        <v>44</v>
      </c>
      <c r="B10" s="156">
        <v>15000</v>
      </c>
      <c r="C10" s="143" t="s">
        <v>448</v>
      </c>
      <c r="D10" s="155" t="s">
        <v>450</v>
      </c>
    </row>
    <row r="11" spans="1:4" x14ac:dyDescent="0.2">
      <c r="A11" s="155" t="s">
        <v>44</v>
      </c>
      <c r="B11" s="156">
        <v>15000</v>
      </c>
      <c r="C11" s="143" t="s">
        <v>449</v>
      </c>
      <c r="D11" s="155" t="s">
        <v>450</v>
      </c>
    </row>
    <row r="12" spans="1:4" x14ac:dyDescent="0.2">
      <c r="A12" s="155" t="s">
        <v>44</v>
      </c>
      <c r="B12" s="156">
        <v>20000</v>
      </c>
      <c r="C12" s="143" t="s">
        <v>447</v>
      </c>
      <c r="D12" s="155"/>
    </row>
    <row r="13" spans="1:4" x14ac:dyDescent="0.2">
      <c r="A13" s="155"/>
      <c r="B13" s="156"/>
      <c r="C13" s="143"/>
      <c r="D13" s="155"/>
    </row>
    <row r="14" spans="1:4" x14ac:dyDescent="0.2">
      <c r="A14" s="155"/>
      <c r="B14" s="156"/>
      <c r="C14" s="143"/>
      <c r="D14" s="155"/>
    </row>
    <row r="15" spans="1:4" x14ac:dyDescent="0.2">
      <c r="A15" s="155" t="s">
        <v>439</v>
      </c>
      <c r="B15" s="156">
        <v>500000</v>
      </c>
      <c r="C15" s="143" t="s">
        <v>451</v>
      </c>
      <c r="D15" s="155" t="s">
        <v>452</v>
      </c>
    </row>
    <row r="16" spans="1:4" ht="25.5" x14ac:dyDescent="0.2">
      <c r="A16" s="155" t="s">
        <v>439</v>
      </c>
      <c r="B16" s="156">
        <v>50000</v>
      </c>
      <c r="C16" s="143" t="s">
        <v>611</v>
      </c>
      <c r="D16" s="155" t="s">
        <v>610</v>
      </c>
    </row>
    <row r="17" spans="1:4" ht="38.25" x14ac:dyDescent="0.2">
      <c r="A17" s="155" t="s">
        <v>439</v>
      </c>
      <c r="B17" s="156">
        <v>50000</v>
      </c>
      <c r="C17" s="160" t="s">
        <v>456</v>
      </c>
      <c r="D17" s="143" t="s">
        <v>453</v>
      </c>
    </row>
    <row r="18" spans="1:4" x14ac:dyDescent="0.2">
      <c r="A18" s="155" t="s">
        <v>439</v>
      </c>
      <c r="B18" s="156">
        <v>35000</v>
      </c>
      <c r="C18" s="143" t="s">
        <v>454</v>
      </c>
      <c r="D18" s="155" t="s">
        <v>455</v>
      </c>
    </row>
    <row r="19" spans="1:4" x14ac:dyDescent="0.2">
      <c r="A19" s="155" t="s">
        <v>439</v>
      </c>
      <c r="B19" s="156">
        <v>25000</v>
      </c>
      <c r="C19" s="143" t="s">
        <v>457</v>
      </c>
      <c r="D19" s="155" t="s">
        <v>458</v>
      </c>
    </row>
    <row r="20" spans="1:4" x14ac:dyDescent="0.2">
      <c r="A20" s="155" t="s">
        <v>439</v>
      </c>
      <c r="B20" s="156">
        <v>25000</v>
      </c>
      <c r="C20" s="143" t="s">
        <v>460</v>
      </c>
      <c r="D20" s="155" t="s">
        <v>459</v>
      </c>
    </row>
    <row r="21" spans="1:4" x14ac:dyDescent="0.2">
      <c r="A21" s="155" t="s">
        <v>439</v>
      </c>
      <c r="B21" s="156">
        <v>20000</v>
      </c>
      <c r="C21" s="143" t="s">
        <v>461</v>
      </c>
      <c r="D21" s="155" t="s">
        <v>458</v>
      </c>
    </row>
    <row r="22" spans="1:4" x14ac:dyDescent="0.2">
      <c r="A22" s="155" t="s">
        <v>439</v>
      </c>
      <c r="B22" s="156">
        <v>35000</v>
      </c>
      <c r="C22" s="143" t="s">
        <v>462</v>
      </c>
      <c r="D22" s="155"/>
    </row>
    <row r="23" spans="1:4" ht="25.5" x14ac:dyDescent="0.2">
      <c r="A23" s="155" t="s">
        <v>439</v>
      </c>
      <c r="B23" s="156">
        <v>35000</v>
      </c>
      <c r="C23" s="143" t="s">
        <v>464</v>
      </c>
      <c r="D23" s="155" t="s">
        <v>463</v>
      </c>
    </row>
    <row r="24" spans="1:4" x14ac:dyDescent="0.2">
      <c r="A24" s="155" t="s">
        <v>439</v>
      </c>
      <c r="B24" s="156">
        <v>100000</v>
      </c>
      <c r="C24" s="143" t="s">
        <v>465</v>
      </c>
      <c r="D24" s="155" t="s">
        <v>466</v>
      </c>
    </row>
    <row r="25" spans="1:4" x14ac:dyDescent="0.2">
      <c r="A25" s="155" t="s">
        <v>439</v>
      </c>
      <c r="B25" s="156">
        <v>5000</v>
      </c>
      <c r="C25" s="143" t="s">
        <v>468</v>
      </c>
      <c r="D25" s="155" t="s">
        <v>467</v>
      </c>
    </row>
    <row r="26" spans="1:4" x14ac:dyDescent="0.2">
      <c r="A26" s="155" t="s">
        <v>439</v>
      </c>
      <c r="B26" s="156">
        <v>100000</v>
      </c>
      <c r="C26" s="143" t="s">
        <v>469</v>
      </c>
      <c r="D26" s="155"/>
    </row>
    <row r="27" spans="1:4" ht="25.5" x14ac:dyDescent="0.2">
      <c r="A27" s="155" t="s">
        <v>439</v>
      </c>
      <c r="B27" s="156">
        <v>50000</v>
      </c>
      <c r="C27" s="143" t="s">
        <v>470</v>
      </c>
      <c r="D27" s="155"/>
    </row>
    <row r="28" spans="1:4" ht="25.5" x14ac:dyDescent="0.2">
      <c r="A28" s="155" t="s">
        <v>439</v>
      </c>
      <c r="B28" s="156">
        <v>50000</v>
      </c>
      <c r="C28" s="143" t="s">
        <v>471</v>
      </c>
      <c r="D28" s="143" t="s">
        <v>472</v>
      </c>
    </row>
    <row r="29" spans="1:4" x14ac:dyDescent="0.2">
      <c r="A29" s="155" t="s">
        <v>439</v>
      </c>
      <c r="B29" s="156">
        <v>60000</v>
      </c>
      <c r="C29" s="143" t="s">
        <v>473</v>
      </c>
      <c r="D29" s="155" t="s">
        <v>474</v>
      </c>
    </row>
    <row r="30" spans="1:4" ht="25.5" x14ac:dyDescent="0.2">
      <c r="A30" s="155" t="s">
        <v>439</v>
      </c>
      <c r="B30" s="156">
        <v>50000</v>
      </c>
      <c r="C30" s="143" t="s">
        <v>475</v>
      </c>
      <c r="D30" s="143" t="s">
        <v>476</v>
      </c>
    </row>
    <row r="31" spans="1:4" x14ac:dyDescent="0.2">
      <c r="A31" s="155" t="s">
        <v>439</v>
      </c>
      <c r="B31" s="156">
        <v>20000</v>
      </c>
      <c r="C31" s="143" t="s">
        <v>478</v>
      </c>
      <c r="D31" s="155" t="s">
        <v>477</v>
      </c>
    </row>
    <row r="32" spans="1:4" x14ac:dyDescent="0.2">
      <c r="A32" s="155"/>
      <c r="B32" s="156"/>
      <c r="C32" s="143"/>
      <c r="D32" s="155"/>
    </row>
    <row r="33" spans="1:5" x14ac:dyDescent="0.2">
      <c r="A33" s="155"/>
      <c r="B33" s="156"/>
      <c r="C33" s="143"/>
      <c r="D33" s="155"/>
    </row>
    <row r="34" spans="1:5" x14ac:dyDescent="0.2">
      <c r="A34" s="155" t="s">
        <v>15</v>
      </c>
      <c r="B34" s="156">
        <v>100000</v>
      </c>
      <c r="C34" s="143" t="s">
        <v>479</v>
      </c>
      <c r="D34" s="155"/>
    </row>
    <row r="35" spans="1:5" ht="25.5" x14ac:dyDescent="0.2">
      <c r="A35" s="155" t="s">
        <v>15</v>
      </c>
      <c r="B35" s="156">
        <v>100000</v>
      </c>
      <c r="C35" s="143" t="s">
        <v>480</v>
      </c>
      <c r="D35" s="143" t="s">
        <v>481</v>
      </c>
    </row>
    <row r="36" spans="1:5" x14ac:dyDescent="0.2">
      <c r="A36" s="155"/>
      <c r="B36" s="156"/>
      <c r="C36" s="143"/>
      <c r="D36" s="155"/>
    </row>
    <row r="37" spans="1:5" x14ac:dyDescent="0.2">
      <c r="A37" s="155"/>
      <c r="B37" s="156"/>
      <c r="C37" s="143"/>
      <c r="D37" s="155"/>
    </row>
    <row r="38" spans="1:5" ht="25.5" x14ac:dyDescent="0.2">
      <c r="A38" s="155" t="s">
        <v>18</v>
      </c>
      <c r="B38" s="156">
        <v>150000</v>
      </c>
      <c r="C38" s="143" t="s">
        <v>482</v>
      </c>
      <c r="D38" s="143" t="s">
        <v>483</v>
      </c>
    </row>
    <row r="39" spans="1:5" x14ac:dyDescent="0.2">
      <c r="A39" s="155"/>
      <c r="B39" s="156"/>
      <c r="C39" s="143"/>
      <c r="D39" s="155"/>
    </row>
    <row r="40" spans="1:5" x14ac:dyDescent="0.2">
      <c r="A40" s="155"/>
      <c r="B40" s="156"/>
      <c r="C40" s="143"/>
      <c r="D40" s="155"/>
    </row>
    <row r="41" spans="1:5" x14ac:dyDescent="0.2">
      <c r="A41" s="155" t="s">
        <v>29</v>
      </c>
      <c r="B41" s="156">
        <v>250000</v>
      </c>
      <c r="C41" s="143" t="s">
        <v>415</v>
      </c>
      <c r="D41" s="155" t="s">
        <v>416</v>
      </c>
    </row>
    <row r="42" spans="1:5" x14ac:dyDescent="0.2">
      <c r="A42" s="155"/>
      <c r="B42" s="156"/>
      <c r="C42" s="143"/>
      <c r="D42" s="155"/>
    </row>
    <row r="43" spans="1:5" x14ac:dyDescent="0.2">
      <c r="A43" s="155"/>
      <c r="B43" s="156"/>
      <c r="C43" s="143"/>
      <c r="D43" s="155"/>
    </row>
    <row r="44" spans="1:5" x14ac:dyDescent="0.2">
      <c r="A44" s="140" t="s">
        <v>20</v>
      </c>
      <c r="B44" s="156">
        <v>250000</v>
      </c>
      <c r="C44" s="29" t="s">
        <v>423</v>
      </c>
      <c r="D44" s="140" t="s">
        <v>422</v>
      </c>
    </row>
    <row r="45" spans="1:5" x14ac:dyDescent="0.2">
      <c r="A45" s="140" t="s">
        <v>20</v>
      </c>
      <c r="B45" s="156">
        <v>350000</v>
      </c>
      <c r="C45" s="29" t="s">
        <v>423</v>
      </c>
      <c r="D45" s="140" t="s">
        <v>603</v>
      </c>
      <c r="E45" s="161" t="s">
        <v>604</v>
      </c>
    </row>
    <row r="46" spans="1:5" x14ac:dyDescent="0.2">
      <c r="A46" s="155"/>
      <c r="B46" s="156"/>
      <c r="C46" s="143"/>
      <c r="D46" s="155"/>
    </row>
    <row r="47" spans="1:5" ht="25.5" x14ac:dyDescent="0.2">
      <c r="A47" s="140" t="s">
        <v>5</v>
      </c>
      <c r="B47" s="156">
        <v>12500000</v>
      </c>
      <c r="C47" s="143"/>
      <c r="D47" s="29" t="s">
        <v>424</v>
      </c>
    </row>
    <row r="48" spans="1:5" x14ac:dyDescent="0.2">
      <c r="A48" s="155"/>
      <c r="B48" s="156"/>
      <c r="C48" s="143"/>
      <c r="D48" s="155"/>
    </row>
    <row r="49" spans="1:4" x14ac:dyDescent="0.2">
      <c r="A49" s="155"/>
      <c r="B49" s="156"/>
      <c r="C49" s="143"/>
      <c r="D49" s="155"/>
    </row>
    <row r="50" spans="1:4" x14ac:dyDescent="0.2">
      <c r="A50" s="140" t="s">
        <v>6</v>
      </c>
      <c r="B50" s="156">
        <v>6500000</v>
      </c>
      <c r="C50" s="29" t="s">
        <v>426</v>
      </c>
      <c r="D50" s="140" t="s">
        <v>427</v>
      </c>
    </row>
    <row r="51" spans="1:4" ht="76.5" x14ac:dyDescent="0.2">
      <c r="A51" s="155" t="s">
        <v>6</v>
      </c>
      <c r="B51" s="156">
        <v>250000</v>
      </c>
      <c r="C51" s="143"/>
      <c r="D51" s="143" t="s">
        <v>484</v>
      </c>
    </row>
    <row r="52" spans="1:4" x14ac:dyDescent="0.2">
      <c r="A52" s="155"/>
      <c r="B52" s="156"/>
      <c r="C52" s="143"/>
      <c r="D52" s="143"/>
    </row>
    <row r="53" spans="1:4" x14ac:dyDescent="0.2">
      <c r="A53" s="155"/>
      <c r="B53" s="156"/>
      <c r="C53" s="143"/>
      <c r="D53" s="143"/>
    </row>
    <row r="54" spans="1:4" x14ac:dyDescent="0.2">
      <c r="A54" s="155" t="s">
        <v>48</v>
      </c>
      <c r="B54" s="156">
        <v>100000</v>
      </c>
      <c r="C54" s="143" t="s">
        <v>485</v>
      </c>
      <c r="D54" s="143" t="s">
        <v>486</v>
      </c>
    </row>
    <row r="55" spans="1:4" x14ac:dyDescent="0.2">
      <c r="A55" s="155"/>
      <c r="B55" s="156"/>
      <c r="C55" s="143"/>
      <c r="D55" s="155"/>
    </row>
    <row r="56" spans="1:4" x14ac:dyDescent="0.2">
      <c r="A56" s="155"/>
      <c r="B56" s="156"/>
      <c r="C56" s="143"/>
      <c r="D56" s="155"/>
    </row>
    <row r="57" spans="1:4" ht="63.75" x14ac:dyDescent="0.2">
      <c r="A57" s="155" t="s">
        <v>8</v>
      </c>
      <c r="B57" s="156">
        <v>1000000</v>
      </c>
      <c r="C57" s="143"/>
      <c r="D57" s="143" t="s">
        <v>487</v>
      </c>
    </row>
    <row r="58" spans="1:4" x14ac:dyDescent="0.2">
      <c r="A58" s="155"/>
      <c r="B58" s="156"/>
      <c r="C58" s="143"/>
      <c r="D58" s="143"/>
    </row>
    <row r="59" spans="1:4" x14ac:dyDescent="0.2">
      <c r="A59" s="155" t="s">
        <v>36</v>
      </c>
      <c r="B59" s="156">
        <v>10000</v>
      </c>
      <c r="C59" s="143" t="s">
        <v>488</v>
      </c>
      <c r="D59" s="143"/>
    </row>
    <row r="60" spans="1:4" x14ac:dyDescent="0.2">
      <c r="A60" s="155"/>
      <c r="B60" s="156">
        <v>30000</v>
      </c>
      <c r="C60" s="143" t="s">
        <v>390</v>
      </c>
      <c r="D60" s="143"/>
    </row>
    <row r="61" spans="1:4" ht="25.5" x14ac:dyDescent="0.2">
      <c r="A61" s="155"/>
      <c r="B61" s="156">
        <v>100000</v>
      </c>
      <c r="C61" s="143" t="s">
        <v>489</v>
      </c>
      <c r="D61" s="143" t="s">
        <v>490</v>
      </c>
    </row>
    <row r="62" spans="1:4" ht="25.5" x14ac:dyDescent="0.2">
      <c r="A62" s="155"/>
      <c r="B62" s="156">
        <v>100000</v>
      </c>
      <c r="C62" s="143" t="s">
        <v>491</v>
      </c>
      <c r="D62" s="143" t="s">
        <v>492</v>
      </c>
    </row>
    <row r="63" spans="1:4" ht="25.5" x14ac:dyDescent="0.2">
      <c r="A63" s="155"/>
      <c r="B63" s="156">
        <v>20000</v>
      </c>
      <c r="C63" s="143" t="s">
        <v>493</v>
      </c>
      <c r="D63" s="143" t="s">
        <v>494</v>
      </c>
    </row>
    <row r="64" spans="1:4" x14ac:dyDescent="0.2">
      <c r="A64" s="155"/>
      <c r="B64" s="156">
        <v>50000</v>
      </c>
      <c r="C64" s="143" t="s">
        <v>495</v>
      </c>
      <c r="D64" s="143"/>
    </row>
    <row r="65" spans="1:4" x14ac:dyDescent="0.2">
      <c r="A65" s="155"/>
      <c r="B65" s="156">
        <v>50000</v>
      </c>
      <c r="C65" s="143" t="s">
        <v>496</v>
      </c>
      <c r="D65" s="143" t="s">
        <v>497</v>
      </c>
    </row>
    <row r="66" spans="1:4" x14ac:dyDescent="0.2">
      <c r="A66" s="155"/>
      <c r="B66" s="156">
        <v>15000</v>
      </c>
      <c r="C66" s="143" t="s">
        <v>498</v>
      </c>
      <c r="D66" s="143"/>
    </row>
    <row r="67" spans="1:4" x14ac:dyDescent="0.2">
      <c r="A67" s="155"/>
      <c r="B67" s="156">
        <v>20000</v>
      </c>
      <c r="C67" s="143" t="s">
        <v>499</v>
      </c>
      <c r="D67" s="143"/>
    </row>
    <row r="68" spans="1:4" x14ac:dyDescent="0.2">
      <c r="A68" s="155"/>
      <c r="B68" s="156">
        <v>50000</v>
      </c>
      <c r="C68" s="143" t="s">
        <v>500</v>
      </c>
      <c r="D68" s="143"/>
    </row>
    <row r="69" spans="1:4" x14ac:dyDescent="0.2">
      <c r="A69" s="155"/>
      <c r="B69" s="156"/>
      <c r="C69" s="143"/>
      <c r="D69" s="155"/>
    </row>
    <row r="70" spans="1:4" ht="25.5" x14ac:dyDescent="0.2">
      <c r="A70" s="155" t="s">
        <v>80</v>
      </c>
      <c r="B70" s="156">
        <v>200000</v>
      </c>
      <c r="C70" s="143"/>
      <c r="D70" s="143" t="s">
        <v>430</v>
      </c>
    </row>
    <row r="71" spans="1:4" x14ac:dyDescent="0.2">
      <c r="A71" s="155"/>
      <c r="B71" s="156"/>
      <c r="C71" s="143"/>
      <c r="D71" s="155"/>
    </row>
    <row r="72" spans="1:4" x14ac:dyDescent="0.2">
      <c r="B72" s="99">
        <f>SUM(B4:B71)</f>
        <v>24365000</v>
      </c>
    </row>
  </sheetData>
  <pageMargins left="0.25" right="0.25"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J107"/>
  <sheetViews>
    <sheetView workbookViewId="0">
      <selection activeCell="B37" sqref="B37"/>
    </sheetView>
  </sheetViews>
  <sheetFormatPr defaultColWidth="9.140625" defaultRowHeight="12.75" x14ac:dyDescent="0.2"/>
  <cols>
    <col min="1" max="1" width="11.85546875" style="122" customWidth="1"/>
    <col min="2" max="2" width="55.28515625" style="108" customWidth="1"/>
    <col min="3" max="3" width="9.140625" style="109"/>
    <col min="4" max="4" width="9.5703125" style="109" bestFit="1" customWidth="1"/>
    <col min="5" max="5" width="16" style="109" bestFit="1" customWidth="1"/>
    <col min="6" max="16384" width="9.140625" style="109"/>
  </cols>
  <sheetData>
    <row r="1" spans="1:2" x14ac:dyDescent="0.2">
      <c r="A1" s="116" t="s">
        <v>382</v>
      </c>
    </row>
    <row r="3" spans="1:2" x14ac:dyDescent="0.2">
      <c r="A3" s="18" t="s">
        <v>21</v>
      </c>
      <c r="B3" s="131" t="s">
        <v>272</v>
      </c>
    </row>
    <row r="4" spans="1:2" x14ac:dyDescent="0.2">
      <c r="A4" s="114">
        <v>15000</v>
      </c>
      <c r="B4" s="132" t="s">
        <v>294</v>
      </c>
    </row>
    <row r="5" spans="1:2" x14ac:dyDescent="0.2">
      <c r="A5" s="114">
        <v>15000</v>
      </c>
      <c r="B5" s="132" t="s">
        <v>295</v>
      </c>
    </row>
    <row r="6" spans="1:2" x14ac:dyDescent="0.2">
      <c r="A6" s="114">
        <v>20000</v>
      </c>
      <c r="B6" s="132" t="s">
        <v>287</v>
      </c>
    </row>
    <row r="7" spans="1:2" x14ac:dyDescent="0.2">
      <c r="A7" s="114">
        <v>20000</v>
      </c>
      <c r="B7" s="132" t="s">
        <v>297</v>
      </c>
    </row>
    <row r="8" spans="1:2" x14ac:dyDescent="0.2">
      <c r="A8" s="114">
        <v>20000</v>
      </c>
      <c r="B8" s="132" t="s">
        <v>298</v>
      </c>
    </row>
    <row r="9" spans="1:2" x14ac:dyDescent="0.2">
      <c r="A9" s="114">
        <v>20000</v>
      </c>
      <c r="B9" s="132" t="s">
        <v>299</v>
      </c>
    </row>
    <row r="10" spans="1:2" x14ac:dyDescent="0.2">
      <c r="A10" s="114">
        <v>25000</v>
      </c>
      <c r="B10" s="132" t="s">
        <v>267</v>
      </c>
    </row>
    <row r="11" spans="1:2" x14ac:dyDescent="0.2">
      <c r="A11" s="114">
        <v>25000</v>
      </c>
      <c r="B11" s="132" t="s">
        <v>383</v>
      </c>
    </row>
    <row r="12" spans="1:2" x14ac:dyDescent="0.2">
      <c r="A12" s="114">
        <v>25000</v>
      </c>
      <c r="B12" s="132" t="s">
        <v>349</v>
      </c>
    </row>
    <row r="13" spans="1:2" x14ac:dyDescent="0.2">
      <c r="A13" s="114">
        <v>25000</v>
      </c>
      <c r="B13" s="132" t="s">
        <v>352</v>
      </c>
    </row>
    <row r="14" spans="1:2" x14ac:dyDescent="0.2">
      <c r="A14" s="114">
        <v>25000</v>
      </c>
      <c r="B14" s="132" t="s">
        <v>353</v>
      </c>
    </row>
    <row r="15" spans="1:2" ht="25.5" x14ac:dyDescent="0.2">
      <c r="A15" s="121">
        <v>25000</v>
      </c>
      <c r="B15" s="133" t="s">
        <v>325</v>
      </c>
    </row>
    <row r="16" spans="1:2" x14ac:dyDescent="0.2">
      <c r="A16" s="121">
        <v>25000</v>
      </c>
      <c r="B16" s="133" t="s">
        <v>384</v>
      </c>
    </row>
    <row r="17" spans="1:2" x14ac:dyDescent="0.2">
      <c r="A17" s="114">
        <v>45000</v>
      </c>
      <c r="B17" s="132" t="s">
        <v>290</v>
      </c>
    </row>
    <row r="18" spans="1:2" x14ac:dyDescent="0.2">
      <c r="A18" s="114">
        <v>50000</v>
      </c>
      <c r="B18" s="132" t="s">
        <v>288</v>
      </c>
    </row>
    <row r="19" spans="1:2" x14ac:dyDescent="0.2">
      <c r="A19" s="114">
        <v>50000</v>
      </c>
      <c r="B19" s="132" t="s">
        <v>264</v>
      </c>
    </row>
    <row r="20" spans="1:2" x14ac:dyDescent="0.2">
      <c r="A20" s="114">
        <v>50000</v>
      </c>
      <c r="B20" s="132" t="s">
        <v>268</v>
      </c>
    </row>
    <row r="21" spans="1:2" x14ac:dyDescent="0.2">
      <c r="A21" s="114">
        <v>50000</v>
      </c>
      <c r="B21" s="132" t="s">
        <v>385</v>
      </c>
    </row>
    <row r="22" spans="1:2" x14ac:dyDescent="0.2">
      <c r="A22" s="114">
        <v>60000</v>
      </c>
      <c r="B22" s="132" t="s">
        <v>386</v>
      </c>
    </row>
    <row r="23" spans="1:2" x14ac:dyDescent="0.2">
      <c r="A23" s="114">
        <v>75000</v>
      </c>
      <c r="B23" s="132" t="s">
        <v>326</v>
      </c>
    </row>
    <row r="24" spans="1:2" x14ac:dyDescent="0.2">
      <c r="A24" s="114">
        <v>100000</v>
      </c>
      <c r="B24" s="132" t="s">
        <v>387</v>
      </c>
    </row>
    <row r="25" spans="1:2" x14ac:dyDescent="0.2">
      <c r="A25" s="114">
        <v>100000</v>
      </c>
      <c r="B25" s="132" t="s">
        <v>351</v>
      </c>
    </row>
    <row r="26" spans="1:2" x14ac:dyDescent="0.2">
      <c r="A26" s="114">
        <v>100000</v>
      </c>
      <c r="B26" s="132" t="s">
        <v>293</v>
      </c>
    </row>
    <row r="27" spans="1:2" x14ac:dyDescent="0.2">
      <c r="A27" s="114">
        <v>100000</v>
      </c>
      <c r="B27" s="132" t="s">
        <v>265</v>
      </c>
    </row>
    <row r="28" spans="1:2" x14ac:dyDescent="0.2">
      <c r="A28" s="114">
        <v>125000</v>
      </c>
      <c r="B28" s="132" t="s">
        <v>291</v>
      </c>
    </row>
    <row r="29" spans="1:2" x14ac:dyDescent="0.2">
      <c r="A29" s="114">
        <v>150000</v>
      </c>
      <c r="B29" s="132" t="s">
        <v>289</v>
      </c>
    </row>
    <row r="30" spans="1:2" x14ac:dyDescent="0.2">
      <c r="A30" s="114">
        <v>200000</v>
      </c>
      <c r="B30" s="132" t="s">
        <v>292</v>
      </c>
    </row>
    <row r="31" spans="1:2" x14ac:dyDescent="0.2">
      <c r="A31" s="114">
        <v>200000</v>
      </c>
      <c r="B31" s="132" t="s">
        <v>296</v>
      </c>
    </row>
    <row r="32" spans="1:2" x14ac:dyDescent="0.2">
      <c r="A32" s="114">
        <v>250000</v>
      </c>
      <c r="B32" s="132" t="s">
        <v>266</v>
      </c>
    </row>
    <row r="33" spans="1:10" x14ac:dyDescent="0.2">
      <c r="A33" s="115">
        <v>300000</v>
      </c>
      <c r="B33" s="132" t="s">
        <v>350</v>
      </c>
    </row>
    <row r="34" spans="1:10" x14ac:dyDescent="0.2">
      <c r="A34" s="115">
        <v>300000</v>
      </c>
      <c r="B34" s="132" t="s">
        <v>309</v>
      </c>
    </row>
    <row r="35" spans="1:10" x14ac:dyDescent="0.2">
      <c r="A35" s="117">
        <f>SUM(A4:A34)</f>
        <v>2590000</v>
      </c>
      <c r="B35" s="133"/>
    </row>
    <row r="36" spans="1:10" x14ac:dyDescent="0.2">
      <c r="A36" s="117"/>
      <c r="B36" s="133"/>
    </row>
    <row r="37" spans="1:10" x14ac:dyDescent="0.2">
      <c r="A37" s="117"/>
      <c r="B37" s="133"/>
    </row>
    <row r="38" spans="1:10" x14ac:dyDescent="0.2">
      <c r="A38" s="101" t="s">
        <v>44</v>
      </c>
      <c r="B38" s="134" t="s">
        <v>272</v>
      </c>
    </row>
    <row r="39" spans="1:10" x14ac:dyDescent="0.2">
      <c r="A39" s="103">
        <v>300000</v>
      </c>
      <c r="B39" s="133" t="s">
        <v>302</v>
      </c>
    </row>
    <row r="40" spans="1:10" x14ac:dyDescent="0.2">
      <c r="A40" s="117"/>
      <c r="B40" s="133"/>
    </row>
    <row r="41" spans="1:10" x14ac:dyDescent="0.2">
      <c r="A41" s="117"/>
      <c r="B41" s="133"/>
    </row>
    <row r="42" spans="1:10" x14ac:dyDescent="0.2">
      <c r="A42" s="117" t="s">
        <v>354</v>
      </c>
      <c r="B42" s="134" t="s">
        <v>272</v>
      </c>
    </row>
    <row r="43" spans="1:10" ht="25.5" x14ac:dyDescent="0.2">
      <c r="A43" s="115">
        <v>35000</v>
      </c>
      <c r="B43" s="132" t="s">
        <v>388</v>
      </c>
    </row>
    <row r="44" spans="1:10" ht="25.5" x14ac:dyDescent="0.2">
      <c r="A44" s="115">
        <v>50000</v>
      </c>
      <c r="B44" s="132" t="s">
        <v>338</v>
      </c>
    </row>
    <row r="45" spans="1:10" x14ac:dyDescent="0.2">
      <c r="A45" s="115">
        <v>100000</v>
      </c>
      <c r="B45" s="132" t="s">
        <v>339</v>
      </c>
    </row>
    <row r="46" spans="1:10" ht="25.5" x14ac:dyDescent="0.2">
      <c r="A46" s="115">
        <v>150000</v>
      </c>
      <c r="B46" s="132" t="s">
        <v>389</v>
      </c>
    </row>
    <row r="47" spans="1:10" customFormat="1" x14ac:dyDescent="0.2">
      <c r="A47" s="102">
        <v>250000</v>
      </c>
      <c r="B47" s="132" t="s">
        <v>300</v>
      </c>
      <c r="E47" s="108"/>
      <c r="J47" s="108"/>
    </row>
    <row r="48" spans="1:10" x14ac:dyDescent="0.2">
      <c r="A48" s="18">
        <f>SUM(A43:A47)</f>
        <v>585000</v>
      </c>
      <c r="B48" s="132"/>
      <c r="D48" s="124">
        <f>A48-200000</f>
        <v>385000</v>
      </c>
    </row>
    <row r="49" spans="1:10" x14ac:dyDescent="0.2">
      <c r="A49" s="115"/>
      <c r="B49" s="132"/>
    </row>
    <row r="50" spans="1:10" x14ac:dyDescent="0.2">
      <c r="A50" s="117"/>
      <c r="B50" s="133"/>
    </row>
    <row r="51" spans="1:10" x14ac:dyDescent="0.2">
      <c r="A51" s="118" t="s">
        <v>284</v>
      </c>
      <c r="B51" s="131" t="s">
        <v>272</v>
      </c>
    </row>
    <row r="52" spans="1:10" x14ac:dyDescent="0.2">
      <c r="A52" s="115">
        <v>250000</v>
      </c>
      <c r="B52" s="133" t="s">
        <v>273</v>
      </c>
    </row>
    <row r="53" spans="1:10" customFormat="1" x14ac:dyDescent="0.2">
      <c r="A53" s="100">
        <v>50000</v>
      </c>
      <c r="B53" s="133" t="s">
        <v>274</v>
      </c>
      <c r="E53" s="108"/>
      <c r="J53" s="108"/>
    </row>
    <row r="54" spans="1:10" ht="38.25" x14ac:dyDescent="0.2">
      <c r="A54" s="115">
        <v>50000</v>
      </c>
      <c r="B54" s="132" t="s">
        <v>343</v>
      </c>
    </row>
    <row r="55" spans="1:10" x14ac:dyDescent="0.2">
      <c r="A55" s="117">
        <f>SUM(A52:A54)</f>
        <v>350000</v>
      </c>
      <c r="B55" s="133"/>
    </row>
    <row r="56" spans="1:10" x14ac:dyDescent="0.2">
      <c r="A56" s="119"/>
    </row>
    <row r="57" spans="1:10" x14ac:dyDescent="0.2">
      <c r="A57" s="119"/>
    </row>
    <row r="58" spans="1:10" customFormat="1" x14ac:dyDescent="0.2">
      <c r="A58" s="101" t="s">
        <v>20</v>
      </c>
      <c r="B58" s="134" t="s">
        <v>272</v>
      </c>
      <c r="E58" s="108"/>
      <c r="J58" s="108"/>
    </row>
    <row r="59" spans="1:10" customFormat="1" x14ac:dyDescent="0.2">
      <c r="A59" s="103">
        <v>250000</v>
      </c>
      <c r="B59" s="133" t="s">
        <v>286</v>
      </c>
      <c r="E59" s="108"/>
      <c r="J59" s="108"/>
    </row>
    <row r="60" spans="1:10" customFormat="1" x14ac:dyDescent="0.2">
      <c r="A60" s="103"/>
      <c r="B60" s="133"/>
      <c r="E60" s="108"/>
      <c r="J60" s="108"/>
    </row>
    <row r="61" spans="1:10" customFormat="1" x14ac:dyDescent="0.2">
      <c r="A61" s="103"/>
      <c r="B61" s="133"/>
      <c r="E61" s="108"/>
      <c r="J61" s="108"/>
    </row>
    <row r="62" spans="1:10" x14ac:dyDescent="0.2">
      <c r="A62" s="118" t="s">
        <v>6</v>
      </c>
      <c r="B62" s="131" t="s">
        <v>272</v>
      </c>
    </row>
    <row r="63" spans="1:10" x14ac:dyDescent="0.2">
      <c r="A63" s="115">
        <v>150000</v>
      </c>
      <c r="B63" s="133" t="s">
        <v>328</v>
      </c>
    </row>
    <row r="64" spans="1:10" ht="89.25" x14ac:dyDescent="0.2">
      <c r="A64" s="115">
        <v>500000</v>
      </c>
      <c r="B64" s="133" t="s">
        <v>329</v>
      </c>
    </row>
    <row r="65" spans="1:10" x14ac:dyDescent="0.2">
      <c r="A65" s="117">
        <f>SUM(A63:A64)</f>
        <v>650000</v>
      </c>
      <c r="B65" s="133"/>
    </row>
    <row r="66" spans="1:10" x14ac:dyDescent="0.2">
      <c r="A66" s="119"/>
    </row>
    <row r="67" spans="1:10" x14ac:dyDescent="0.2">
      <c r="A67" s="119"/>
    </row>
    <row r="68" spans="1:10" customFormat="1" x14ac:dyDescent="0.2">
      <c r="A68" s="101" t="s">
        <v>48</v>
      </c>
      <c r="B68" s="135" t="s">
        <v>272</v>
      </c>
      <c r="E68" s="108"/>
      <c r="J68" s="108"/>
    </row>
    <row r="69" spans="1:10" customFormat="1" x14ac:dyDescent="0.2">
      <c r="A69" s="105">
        <v>100000</v>
      </c>
      <c r="B69" s="136" t="s">
        <v>278</v>
      </c>
      <c r="E69" s="108"/>
      <c r="J69" s="108"/>
    </row>
    <row r="70" spans="1:10" customFormat="1" x14ac:dyDescent="0.2">
      <c r="A70" s="99"/>
      <c r="B70" s="108"/>
      <c r="E70" s="108"/>
      <c r="J70" s="108"/>
    </row>
    <row r="71" spans="1:10" customFormat="1" x14ac:dyDescent="0.2">
      <c r="A71" s="99"/>
      <c r="B71" s="108"/>
      <c r="E71" s="108"/>
      <c r="J71" s="108"/>
    </row>
    <row r="72" spans="1:10" x14ac:dyDescent="0.2">
      <c r="A72" s="110" t="s">
        <v>74</v>
      </c>
      <c r="B72" s="134" t="s">
        <v>272</v>
      </c>
    </row>
    <row r="73" spans="1:10" x14ac:dyDescent="0.2">
      <c r="A73" s="111">
        <v>15000</v>
      </c>
      <c r="B73" s="132" t="s">
        <v>356</v>
      </c>
    </row>
    <row r="74" spans="1:10" x14ac:dyDescent="0.2">
      <c r="A74" s="109"/>
    </row>
    <row r="75" spans="1:10" x14ac:dyDescent="0.2">
      <c r="A75" s="109"/>
    </row>
    <row r="76" spans="1:10" customFormat="1" x14ac:dyDescent="0.2">
      <c r="A76" s="101" t="s">
        <v>100</v>
      </c>
      <c r="B76" s="134" t="s">
        <v>272</v>
      </c>
      <c r="E76" s="108"/>
      <c r="J76" s="108"/>
    </row>
    <row r="77" spans="1:10" customFormat="1" x14ac:dyDescent="0.2">
      <c r="A77" s="103">
        <v>200000</v>
      </c>
      <c r="B77" s="133" t="s">
        <v>303</v>
      </c>
      <c r="E77" s="108"/>
      <c r="J77" s="108"/>
    </row>
    <row r="78" spans="1:10" customFormat="1" x14ac:dyDescent="0.2">
      <c r="A78" s="112"/>
      <c r="B78" s="113"/>
      <c r="E78" s="108"/>
      <c r="J78" s="108"/>
    </row>
    <row r="79" spans="1:10" customFormat="1" x14ac:dyDescent="0.2">
      <c r="E79" s="108"/>
      <c r="J79" s="108"/>
    </row>
    <row r="80" spans="1:10" x14ac:dyDescent="0.2">
      <c r="A80" s="120" t="s">
        <v>30</v>
      </c>
      <c r="B80" s="134" t="s">
        <v>272</v>
      </c>
    </row>
    <row r="81" spans="1:10" x14ac:dyDescent="0.2">
      <c r="A81" s="121">
        <v>250000</v>
      </c>
      <c r="B81" s="132" t="s">
        <v>312</v>
      </c>
    </row>
    <row r="82" spans="1:10" x14ac:dyDescent="0.2">
      <c r="A82" s="121">
        <v>75000</v>
      </c>
      <c r="B82" s="132" t="s">
        <v>313</v>
      </c>
    </row>
    <row r="83" spans="1:10" x14ac:dyDescent="0.2">
      <c r="A83" s="121">
        <v>75000</v>
      </c>
      <c r="B83" s="132" t="s">
        <v>314</v>
      </c>
    </row>
    <row r="84" spans="1:10" x14ac:dyDescent="0.2">
      <c r="A84" s="18">
        <f>SUM(A81:A83)</f>
        <v>400000</v>
      </c>
      <c r="B84" s="133"/>
    </row>
    <row r="87" spans="1:10" x14ac:dyDescent="0.2">
      <c r="A87" s="120" t="s">
        <v>36</v>
      </c>
      <c r="B87" s="137" t="s">
        <v>272</v>
      </c>
    </row>
    <row r="88" spans="1:10" customFormat="1" ht="25.5" x14ac:dyDescent="0.2">
      <c r="A88" s="121">
        <v>15000</v>
      </c>
      <c r="B88" s="29" t="s">
        <v>337</v>
      </c>
      <c r="E88" s="108"/>
      <c r="J88" s="108"/>
    </row>
    <row r="89" spans="1:10" customFormat="1" x14ac:dyDescent="0.2">
      <c r="A89" s="104">
        <v>20000</v>
      </c>
      <c r="B89" s="138" t="s">
        <v>332</v>
      </c>
      <c r="E89" s="108"/>
      <c r="J89" s="108"/>
    </row>
    <row r="90" spans="1:10" customFormat="1" x14ac:dyDescent="0.2">
      <c r="A90" s="121">
        <v>20000</v>
      </c>
      <c r="B90" s="29" t="s">
        <v>331</v>
      </c>
      <c r="E90" s="108"/>
      <c r="J90" s="108"/>
    </row>
    <row r="91" spans="1:10" customFormat="1" x14ac:dyDescent="0.2">
      <c r="A91" s="104">
        <v>25000</v>
      </c>
      <c r="B91" s="139" t="s">
        <v>281</v>
      </c>
      <c r="E91" s="108"/>
      <c r="J91" s="108"/>
    </row>
    <row r="92" spans="1:10" customFormat="1" x14ac:dyDescent="0.2">
      <c r="A92" s="104">
        <v>25000</v>
      </c>
      <c r="B92" s="138" t="s">
        <v>357</v>
      </c>
      <c r="E92" s="108"/>
      <c r="J92" s="108"/>
    </row>
    <row r="93" spans="1:10" customFormat="1" x14ac:dyDescent="0.2">
      <c r="A93" s="121">
        <v>25000</v>
      </c>
      <c r="B93" s="29" t="s">
        <v>315</v>
      </c>
      <c r="E93" s="108"/>
      <c r="J93" s="108"/>
    </row>
    <row r="94" spans="1:10" x14ac:dyDescent="0.2">
      <c r="A94" s="114">
        <v>30000</v>
      </c>
      <c r="B94" s="140" t="s">
        <v>390</v>
      </c>
    </row>
    <row r="95" spans="1:10" ht="25.5" x14ac:dyDescent="0.2">
      <c r="A95" s="121">
        <v>50000</v>
      </c>
      <c r="B95" s="29" t="s">
        <v>358</v>
      </c>
    </row>
    <row r="96" spans="1:10" ht="25.5" x14ac:dyDescent="0.2">
      <c r="A96" s="121">
        <v>60000</v>
      </c>
      <c r="B96" s="29" t="s">
        <v>336</v>
      </c>
    </row>
    <row r="97" spans="1:7" x14ac:dyDescent="0.2">
      <c r="A97" s="104">
        <v>100000</v>
      </c>
      <c r="B97" s="141" t="s">
        <v>279</v>
      </c>
      <c r="D97" s="119"/>
      <c r="E97" s="119"/>
      <c r="F97" s="119"/>
      <c r="G97" s="119"/>
    </row>
    <row r="98" spans="1:7" ht="25.5" x14ac:dyDescent="0.2">
      <c r="A98" s="104">
        <v>100000</v>
      </c>
      <c r="B98" s="142" t="s">
        <v>280</v>
      </c>
      <c r="D98" s="119"/>
      <c r="E98" s="119"/>
      <c r="F98" s="119"/>
      <c r="G98" s="119"/>
    </row>
    <row r="99" spans="1:7" x14ac:dyDescent="0.2">
      <c r="A99" s="121">
        <v>100000</v>
      </c>
      <c r="B99" s="29" t="s">
        <v>316</v>
      </c>
      <c r="D99" s="119"/>
      <c r="E99" s="119"/>
      <c r="F99" s="119"/>
      <c r="G99" s="119"/>
    </row>
    <row r="100" spans="1:7" ht="38.25" x14ac:dyDescent="0.2">
      <c r="A100" s="121">
        <v>100000</v>
      </c>
      <c r="B100" s="29" t="s">
        <v>333</v>
      </c>
      <c r="D100" s="119"/>
      <c r="E100" s="119"/>
      <c r="F100" s="119"/>
      <c r="G100" s="119"/>
    </row>
    <row r="101" spans="1:7" ht="25.5" x14ac:dyDescent="0.2">
      <c r="A101" s="121">
        <v>100000</v>
      </c>
      <c r="B101" s="29" t="s">
        <v>334</v>
      </c>
      <c r="D101" s="119"/>
      <c r="E101" s="119"/>
      <c r="F101" s="119"/>
      <c r="G101" s="119"/>
    </row>
    <row r="102" spans="1:7" x14ac:dyDescent="0.2">
      <c r="A102" s="121">
        <v>200000</v>
      </c>
      <c r="B102" s="29" t="s">
        <v>282</v>
      </c>
      <c r="D102" s="119"/>
      <c r="E102" s="119"/>
      <c r="F102" s="119"/>
      <c r="G102" s="119"/>
    </row>
    <row r="103" spans="1:7" ht="51" x14ac:dyDescent="0.2">
      <c r="A103" s="121">
        <v>200000</v>
      </c>
      <c r="B103" s="29" t="s">
        <v>335</v>
      </c>
      <c r="D103" s="119"/>
      <c r="E103" s="119"/>
      <c r="F103" s="119"/>
      <c r="G103" s="119"/>
    </row>
    <row r="104" spans="1:7" x14ac:dyDescent="0.2">
      <c r="A104" s="18">
        <f>SUM(A88:A103)</f>
        <v>1170000</v>
      </c>
      <c r="B104" s="143"/>
      <c r="D104" s="119"/>
      <c r="E104" s="119"/>
      <c r="F104" s="119"/>
      <c r="G104" s="119"/>
    </row>
    <row r="105" spans="1:7" x14ac:dyDescent="0.2">
      <c r="D105" s="119"/>
      <c r="E105" s="119"/>
      <c r="F105" s="119"/>
      <c r="G105" s="119"/>
    </row>
    <row r="106" spans="1:7" x14ac:dyDescent="0.2">
      <c r="D106" s="119"/>
      <c r="E106" s="119"/>
      <c r="F106" s="119"/>
      <c r="G106" s="119"/>
    </row>
    <row r="107" spans="1:7" x14ac:dyDescent="0.2">
      <c r="D107" s="119"/>
      <c r="E107" s="119"/>
      <c r="F107" s="119"/>
      <c r="G107" s="119"/>
    </row>
  </sheetData>
  <sortState ref="A89:B108">
    <sortCondition ref="A89:A108"/>
  </sortState>
  <pageMargins left="0.25" right="0.25" top="0.75" bottom="0.75" header="0.3" footer="0.3"/>
  <pageSetup scale="95" fitToWidth="2"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DESE-231-50552</_dlc_DocId>
    <_dlc_DocIdUrl xmlns="733efe1c-5bbe-4968-87dc-d400e65c879f">
      <Url>https://sharepoint.doemass.org/ese/webteam/cps/_layouts/DocIdRedir.aspx?ID=DESE-231-50552</Url>
      <Description>DESE-231-50552</Description>
    </_dlc_DocIdUrl>
  </documentManagement>
</p:properties>
</file>

<file path=customXml/itemProps1.xml><?xml version="1.0" encoding="utf-8"?>
<ds:datastoreItem xmlns:ds="http://schemas.openxmlformats.org/officeDocument/2006/customXml" ds:itemID="{53297731-C956-456F-B687-FCDA83BA820F}">
  <ds:schemaRefs>
    <ds:schemaRef ds:uri="http://schemas.microsoft.com/sharepoint/v3/contenttype/forms"/>
  </ds:schemaRefs>
</ds:datastoreItem>
</file>

<file path=customXml/itemProps2.xml><?xml version="1.0" encoding="utf-8"?>
<ds:datastoreItem xmlns:ds="http://schemas.openxmlformats.org/officeDocument/2006/customXml" ds:itemID="{ECCCF58E-D7CD-4972-9C4E-4B25892F02F3}">
  <ds:schemaRefs>
    <ds:schemaRef ds:uri="http://schemas.microsoft.com/sharepoint/events"/>
  </ds:schemaRefs>
</ds:datastoreItem>
</file>

<file path=customXml/itemProps3.xml><?xml version="1.0" encoding="utf-8"?>
<ds:datastoreItem xmlns:ds="http://schemas.openxmlformats.org/officeDocument/2006/customXml" ds:itemID="{F345EB22-27D5-45EA-BC13-704136668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B474C4-A29A-4AB4-98C9-990F355F3C3F}">
  <ds:schemaRefs>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HWM earmarks</vt:lpstr>
      <vt:lpstr>FY19 GAA Earmarks</vt:lpstr>
      <vt:lpstr>Senate Earmarks</vt:lpstr>
      <vt:lpstr>House Earmarks</vt:lpstr>
      <vt:lpstr>FY18 earmarks</vt:lpstr>
      <vt:lpstr>'Senate Earmarks'!OLE_LINK7</vt:lpstr>
      <vt:lpstr>Summary!Print_Area</vt:lpstr>
      <vt:lpstr>'FY19 GAA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April 2019 Item 3 Attachment: FY20 HWM Budget Summary</dc:title>
  <dc:creator>DESE</dc:creator>
  <cp:lastModifiedBy>Zou, Dong (EOE)</cp:lastModifiedBy>
  <cp:lastPrinted>2019-04-16T19:55:15Z</cp:lastPrinted>
  <dcterms:created xsi:type="dcterms:W3CDTF">2003-04-23T14:43:01Z</dcterms:created>
  <dcterms:modified xsi:type="dcterms:W3CDTF">2019-04-25T16:02:38Z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16 2019</vt:lpwstr>
  </property>
</Properties>
</file>