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FY11" sheetId="4" r:id="rId1"/>
    <sheet name="FY12" sheetId="1" r:id="rId2"/>
  </sheets>
  <definedNames>
    <definedName name="_xlnm.Print_Area" localSheetId="1">'FY12'!$A$1:$J$63</definedName>
  </definedNames>
  <calcPr calcId="145621"/>
</workbook>
</file>

<file path=xl/calcChain.xml><?xml version="1.0" encoding="utf-8"?>
<calcChain xmlns="http://schemas.openxmlformats.org/spreadsheetml/2006/main">
  <c r="G3" i="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H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" i="1" l="1"/>
  <c r="H63"/>
  <c r="E63"/>
  <c r="G63" s="1"/>
  <c r="I63" s="1"/>
  <c r="H62"/>
  <c r="E62"/>
  <c r="G62" s="1"/>
  <c r="H61"/>
  <c r="F61"/>
  <c r="E61"/>
  <c r="H60"/>
  <c r="F60"/>
  <c r="E60"/>
  <c r="H59"/>
  <c r="F59"/>
  <c r="E59"/>
  <c r="H58"/>
  <c r="F58"/>
  <c r="E58"/>
  <c r="H57"/>
  <c r="E57"/>
  <c r="G57" s="1"/>
  <c r="H56"/>
  <c r="E56"/>
  <c r="G56" s="1"/>
  <c r="I56" s="1"/>
  <c r="H55"/>
  <c r="E55"/>
  <c r="G55" s="1"/>
  <c r="H54"/>
  <c r="E54"/>
  <c r="G54" s="1"/>
  <c r="I54" s="1"/>
  <c r="H52"/>
  <c r="F52"/>
  <c r="E52"/>
  <c r="H47"/>
  <c r="E47"/>
  <c r="G47" s="1"/>
  <c r="H46"/>
  <c r="E46"/>
  <c r="G46" s="1"/>
  <c r="H44"/>
  <c r="E44"/>
  <c r="G44" s="1"/>
  <c r="I44" s="1"/>
  <c r="H43"/>
  <c r="E43"/>
  <c r="G43" s="1"/>
  <c r="H41"/>
  <c r="E41"/>
  <c r="G41" s="1"/>
  <c r="H40"/>
  <c r="E40"/>
  <c r="G40" s="1"/>
  <c r="H36"/>
  <c r="E36"/>
  <c r="G36" s="1"/>
  <c r="H35"/>
  <c r="E35"/>
  <c r="G35" s="1"/>
  <c r="H33"/>
  <c r="E33"/>
  <c r="G33" s="1"/>
  <c r="H31"/>
  <c r="E31"/>
  <c r="G31" s="1"/>
  <c r="H30"/>
  <c r="F30"/>
  <c r="E30"/>
  <c r="H29"/>
  <c r="F29"/>
  <c r="E29"/>
  <c r="H28"/>
  <c r="E28"/>
  <c r="G28" s="1"/>
  <c r="H27"/>
  <c r="F27"/>
  <c r="E27"/>
  <c r="H25"/>
  <c r="F25"/>
  <c r="E25"/>
  <c r="H24"/>
  <c r="G17"/>
  <c r="I17" s="1"/>
  <c r="E24"/>
  <c r="G24" s="1"/>
  <c r="H22"/>
  <c r="F22"/>
  <c r="E22"/>
  <c r="H21"/>
  <c r="E21"/>
  <c r="G21" s="1"/>
  <c r="I21" s="1"/>
  <c r="H20"/>
  <c r="E20"/>
  <c r="G20" s="1"/>
  <c r="I20" s="1"/>
  <c r="G32"/>
  <c r="I32" s="1"/>
  <c r="G34"/>
  <c r="I34" s="1"/>
  <c r="G37"/>
  <c r="I37" s="1"/>
  <c r="G38"/>
  <c r="I38" s="1"/>
  <c r="G39"/>
  <c r="I39" s="1"/>
  <c r="G42"/>
  <c r="I42" s="1"/>
  <c r="G45"/>
  <c r="I45" s="1"/>
  <c r="G48"/>
  <c r="I48" s="1"/>
  <c r="G49"/>
  <c r="G50"/>
  <c r="I50" s="1"/>
  <c r="G51"/>
  <c r="G53"/>
  <c r="G23"/>
  <c r="I23" s="1"/>
  <c r="G26"/>
  <c r="I26" s="1"/>
  <c r="H19"/>
  <c r="E19"/>
  <c r="G19" s="1"/>
  <c r="F18"/>
  <c r="E18"/>
  <c r="G6"/>
  <c r="I6" s="1"/>
  <c r="G7"/>
  <c r="I7" s="1"/>
  <c r="G8"/>
  <c r="I8" s="1"/>
  <c r="G9"/>
  <c r="I9" s="1"/>
  <c r="G10"/>
  <c r="I10" s="1"/>
  <c r="G11"/>
  <c r="I11" s="1"/>
  <c r="G12"/>
  <c r="I12" s="1"/>
  <c r="G13"/>
  <c r="I13" s="1"/>
  <c r="G14"/>
  <c r="I14" s="1"/>
  <c r="G15"/>
  <c r="I15" s="1"/>
  <c r="G16"/>
  <c r="I16" s="1"/>
  <c r="G4"/>
  <c r="I4" s="1"/>
  <c r="G5"/>
  <c r="I5" s="1"/>
  <c r="G59" l="1"/>
  <c r="G60"/>
  <c r="G25"/>
  <c r="I25" s="1"/>
  <c r="I36"/>
  <c r="G29"/>
  <c r="I33"/>
  <c r="I43"/>
  <c r="G18"/>
  <c r="I18" s="1"/>
  <c r="I41"/>
  <c r="G22"/>
  <c r="I22" s="1"/>
  <c r="I19"/>
  <c r="I24"/>
  <c r="I31"/>
  <c r="I57"/>
  <c r="I55"/>
  <c r="I53"/>
  <c r="I51"/>
  <c r="I49"/>
  <c r="I46"/>
  <c r="I40"/>
  <c r="G52"/>
  <c r="G58"/>
  <c r="G61"/>
  <c r="I35"/>
  <c r="I28"/>
  <c r="I62"/>
  <c r="I47"/>
  <c r="G27"/>
  <c r="I3"/>
  <c r="G30"/>
  <c r="I59" l="1"/>
  <c r="I60"/>
  <c r="I29"/>
  <c r="I61"/>
  <c r="I52"/>
  <c r="I30"/>
  <c r="I27"/>
  <c r="I58"/>
</calcChain>
</file>

<file path=xl/comments1.xml><?xml version="1.0" encoding="utf-8"?>
<comments xmlns="http://schemas.openxmlformats.org/spreadsheetml/2006/main">
  <authors>
    <author>cchuang</author>
  </authors>
  <commentList>
    <comment ref="B32" authorId="0">
      <text>
        <r>
          <rPr>
            <b/>
            <sz val="9"/>
            <color indexed="81"/>
            <rFont val="Tahoma"/>
            <charset val="1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Grove Hall Preparatory Charter School was consolidated into Roxbury Preparatory Charter School at the close of FY12 and will not appear discretely in future years.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<sst xmlns="http://schemas.openxmlformats.org/spreadsheetml/2006/main" count="138" uniqueCount="76">
  <si>
    <t>Abby Kelley Foster Charter Public School</t>
  </si>
  <si>
    <t>Academy of the Pacific Rim Charter Public School</t>
  </si>
  <si>
    <t>Advanced Math and Science Academy Charter School</t>
  </si>
  <si>
    <t>Alma del Mar Charter School</t>
  </si>
  <si>
    <t>Atlantis Charter School</t>
  </si>
  <si>
    <t>Benjamin Banneker Charter Public School</t>
  </si>
  <si>
    <t>Benjamin Franklin Classical Charter Public School</t>
  </si>
  <si>
    <t>Berkshire Arts and Technology Charter Public School</t>
  </si>
  <si>
    <t>Boston Collegiate Charter School</t>
  </si>
  <si>
    <t>Boston Preparatory Charter Public School</t>
  </si>
  <si>
    <t>Boston Renaissance Charter Public School</t>
  </si>
  <si>
    <t>Bridge Boston Charter School</t>
  </si>
  <si>
    <t>Cape Cod Lighthouse Charter School</t>
  </si>
  <si>
    <t>Christa McAuliffe Regional Charter Public School</t>
  </si>
  <si>
    <t>City On A Hill Charter Public School</t>
  </si>
  <si>
    <t>Codman Academy Charter Public School</t>
  </si>
  <si>
    <t>Community Charter School of Cambridge</t>
  </si>
  <si>
    <t>Community Day Charter Public School</t>
  </si>
  <si>
    <t>Conservatory Lab Charter School</t>
  </si>
  <si>
    <t>Dorchester Collegiate Academy Charter School</t>
  </si>
  <si>
    <t>Edward W. Brooke Charter School 2</t>
  </si>
  <si>
    <t>Excel Academy Charter School</t>
  </si>
  <si>
    <t>Excel Academy Charter School - Chelsea</t>
  </si>
  <si>
    <t>Four Rivers Charter Public School</t>
  </si>
  <si>
    <t>Foxborough Regional Charter School</t>
  </si>
  <si>
    <t>Francis W. Parker Charter Essential School</t>
  </si>
  <si>
    <t>Global Learning Charter Public School</t>
  </si>
  <si>
    <t>Gloucester Community Arts Charter School</t>
  </si>
  <si>
    <t>Hampden Charter School of Science</t>
  </si>
  <si>
    <t>Hilltown Cooperative Charter Public School</t>
  </si>
  <si>
    <t>Holyoke Community Charter School</t>
  </si>
  <si>
    <t>Innovation Academy Charter School</t>
  </si>
  <si>
    <t>KIPP Academy Lynn Charter School</t>
  </si>
  <si>
    <t>Lawrence Family Development Charter School</t>
  </si>
  <si>
    <t>Lowell Community Charter Public School</t>
  </si>
  <si>
    <t>Lowell Middlesex Academy Charter School</t>
  </si>
  <si>
    <t>Marblehead Community Charter Public School</t>
  </si>
  <si>
    <t>Martha's Vineyard Public Charter School</t>
  </si>
  <si>
    <t>Martin Luther King, Jr. Charter School of Excellence</t>
  </si>
  <si>
    <t>MATCH Charter Public School</t>
  </si>
  <si>
    <t>MATCH Community Day Charter Public School</t>
  </si>
  <si>
    <t>Mystic Valley Regional Charter School</t>
  </si>
  <si>
    <t>Neighborhood House Charter School</t>
  </si>
  <si>
    <t>North Central Charter Essential School</t>
  </si>
  <si>
    <t>Phoenix Charter Academy</t>
  </si>
  <si>
    <t>Pioneer Charter School of Science</t>
  </si>
  <si>
    <t>Pioneer Valley Chinese Immersion Charter School</t>
  </si>
  <si>
    <t>Pioneer Valley Performing Arts Charter Public School</t>
  </si>
  <si>
    <t>Prospect Hill Academy Charter School</t>
  </si>
  <si>
    <t>Rising Tide Charter Public School</t>
  </si>
  <si>
    <t>River Valley Charter School</t>
  </si>
  <si>
    <t>Roxbury Preparatory Charter School</t>
  </si>
  <si>
    <t>Sabis International Charter School</t>
  </si>
  <si>
    <t>Salem Academy Charter School</t>
  </si>
  <si>
    <t>Seven Hills Charter Public School</t>
  </si>
  <si>
    <t>Smith Leadership Academy Charter Public School</t>
  </si>
  <si>
    <t>South Shore Charter Public School</t>
  </si>
  <si>
    <t>Spirit of Knowledge Charter School</t>
  </si>
  <si>
    <t>Sturgis Charter Public School</t>
  </si>
  <si>
    <t>Subtotal of adjustments</t>
  </si>
  <si>
    <t>Allowable Carryover</t>
  </si>
  <si>
    <t>Excess Surplus</t>
  </si>
  <si>
    <t>Change in net assets</t>
  </si>
  <si>
    <t>Subtotal of Fundraising, Dep. Other</t>
  </si>
  <si>
    <t>Actual Carryover from FY11</t>
  </si>
  <si>
    <t>Actual Carryover to FY13</t>
  </si>
  <si>
    <t>Edward W. Brooke Charter School</t>
  </si>
  <si>
    <t>Cumulative (total) surplus</t>
  </si>
  <si>
    <t>Grove Hall Preparatory Charter School</t>
  </si>
  <si>
    <t>LEA Code</t>
  </si>
  <si>
    <t>FY2012 Massachusetts Commonwealth Charter Schools Excess Surplus Report</t>
  </si>
  <si>
    <t>School Name</t>
  </si>
  <si>
    <t xml:space="preserve">Edward W. Brooke Charter School </t>
  </si>
  <si>
    <t>Actual carryover to  FY 12</t>
  </si>
  <si>
    <t>Surplus carryover from 2010</t>
  </si>
  <si>
    <t>FY2011 Massachusetts Commonwealth Charter Schools Excess Surplus Report</t>
  </si>
</sst>
</file>

<file path=xl/styles.xml><?xml version="1.0" encoding="utf-8"?>
<styleSheet xmlns="http://schemas.openxmlformats.org/spreadsheetml/2006/main">
  <numFmts count="1">
    <numFmt numFmtId="164" formatCode="0###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9"/>
      <name val="Geneva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14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protection locked="0"/>
    </xf>
  </cellStyleXfs>
  <cellXfs count="36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38" fontId="4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1" applyFont="1" applyFill="1" applyBorder="1" applyAlignment="1">
      <alignment horizontal="left" vertical="top" wrapText="1"/>
    </xf>
    <xf numFmtId="1" fontId="3" fillId="0" borderId="0" xfId="0" applyNumberFormat="1" applyFont="1" applyAlignment="1">
      <alignment horizontal="right"/>
    </xf>
    <xf numFmtId="3" fontId="6" fillId="0" borderId="1" xfId="1" applyNumberFormat="1" applyFont="1" applyFill="1" applyBorder="1" applyAlignment="1">
      <alignment horizontal="right" vertical="top" wrapText="1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1" xfId="0" applyFont="1" applyFill="1" applyBorder="1"/>
    <xf numFmtId="38" fontId="3" fillId="0" borderId="1" xfId="0" applyNumberFormat="1" applyFont="1" applyBorder="1" applyAlignment="1">
      <alignment horizontal="center"/>
    </xf>
    <xf numFmtId="38" fontId="3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38" fontId="3" fillId="0" borderId="0" xfId="0" applyNumberFormat="1" applyFont="1"/>
    <xf numFmtId="38" fontId="3" fillId="0" borderId="1" xfId="0" applyNumberFormat="1" applyFont="1" applyBorder="1"/>
    <xf numFmtId="0" fontId="5" fillId="0" borderId="5" xfId="1" applyFont="1" applyFill="1" applyBorder="1" applyAlignment="1">
      <alignment horizontal="center" vertical="top" wrapText="1"/>
    </xf>
    <xf numFmtId="164" fontId="5" fillId="0" borderId="6" xfId="1" applyNumberFormat="1" applyFont="1" applyFill="1" applyBorder="1" applyAlignment="1">
      <alignment horizontal="left" vertical="top"/>
    </xf>
    <xf numFmtId="3" fontId="3" fillId="0" borderId="5" xfId="0" applyNumberFormat="1" applyFont="1" applyBorder="1"/>
    <xf numFmtId="164" fontId="5" fillId="0" borderId="7" xfId="1" applyNumberFormat="1" applyFont="1" applyFill="1" applyBorder="1" applyAlignment="1">
      <alignment horizontal="left" vertical="top"/>
    </xf>
    <xf numFmtId="164" fontId="5" fillId="0" borderId="2" xfId="1" applyNumberFormat="1" applyFont="1" applyFill="1" applyBorder="1" applyAlignment="1">
      <alignment horizontal="left" vertical="top"/>
    </xf>
    <xf numFmtId="0" fontId="3" fillId="0" borderId="0" xfId="0" applyFont="1" applyBorder="1"/>
    <xf numFmtId="3" fontId="3" fillId="2" borderId="1" xfId="0" applyNumberFormat="1" applyFont="1" applyFill="1" applyBorder="1"/>
    <xf numFmtId="0" fontId="5" fillId="0" borderId="5" xfId="1" applyFont="1" applyFill="1" applyBorder="1" applyAlignment="1">
      <alignment horizontal="left" vertical="top" wrapText="1"/>
    </xf>
    <xf numFmtId="164" fontId="5" fillId="0" borderId="8" xfId="1" applyNumberFormat="1" applyFont="1" applyFill="1" applyBorder="1" applyAlignment="1">
      <alignment horizontal="left" vertical="top"/>
    </xf>
    <xf numFmtId="0" fontId="3" fillId="0" borderId="1" xfId="0" applyFont="1" applyBorder="1"/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0" fillId="0" borderId="2" xfId="0" applyBorder="1"/>
    <xf numFmtId="0" fontId="0" fillId="0" borderId="4" xfId="0" applyBorder="1"/>
  </cellXfs>
  <cellStyles count="3">
    <cellStyle name="Default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H57"/>
  <sheetViews>
    <sheetView tabSelected="1" workbookViewId="0">
      <selection activeCell="B5" sqref="B5"/>
    </sheetView>
  </sheetViews>
  <sheetFormatPr defaultColWidth="9.140625" defaultRowHeight="12.75"/>
  <cols>
    <col min="1" max="1" width="5" style="1" bestFit="1" customWidth="1"/>
    <col min="2" max="2" width="43.28515625" style="1" customWidth="1"/>
    <col min="3" max="3" width="11" style="1" customWidth="1"/>
    <col min="4" max="4" width="10.7109375" style="1" customWidth="1"/>
    <col min="5" max="5" width="11.28515625" style="1" customWidth="1"/>
    <col min="6" max="6" width="11.5703125" style="1" customWidth="1"/>
    <col min="7" max="7" width="12" style="1" customWidth="1"/>
    <col min="8" max="8" width="11" style="1" customWidth="1"/>
    <col min="9" max="9" width="11.28515625" style="1" customWidth="1"/>
    <col min="10" max="10" width="12" style="19" bestFit="1" customWidth="1"/>
    <col min="11" max="16384" width="9.140625" style="1"/>
  </cols>
  <sheetData>
    <row r="1" spans="1:138" s="11" customFormat="1" ht="22.15" customHeight="1">
      <c r="A1" s="33" t="s">
        <v>75</v>
      </c>
      <c r="B1" s="34"/>
      <c r="C1" s="34"/>
      <c r="D1" s="34"/>
      <c r="E1" s="34"/>
      <c r="F1" s="34"/>
      <c r="G1" s="34"/>
      <c r="H1" s="34"/>
      <c r="I1" s="34"/>
      <c r="J1" s="35"/>
    </row>
    <row r="2" spans="1:138" s="30" customFormat="1" ht="44.25" customHeight="1">
      <c r="A2" s="32" t="s">
        <v>69</v>
      </c>
      <c r="B2" s="2" t="s">
        <v>71</v>
      </c>
      <c r="C2" s="3" t="s">
        <v>74</v>
      </c>
      <c r="D2" s="3" t="s">
        <v>62</v>
      </c>
      <c r="E2" s="3" t="s">
        <v>59</v>
      </c>
      <c r="F2" s="3" t="s">
        <v>63</v>
      </c>
      <c r="G2" s="3" t="s">
        <v>67</v>
      </c>
      <c r="H2" s="3" t="s">
        <v>60</v>
      </c>
      <c r="I2" s="31" t="s">
        <v>73</v>
      </c>
      <c r="J2" s="4" t="s">
        <v>61</v>
      </c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</row>
    <row r="3" spans="1:138">
      <c r="A3" s="29">
        <v>445</v>
      </c>
      <c r="B3" s="28" t="s">
        <v>0</v>
      </c>
      <c r="C3" s="21">
        <v>0</v>
      </c>
      <c r="D3" s="5">
        <v>505387</v>
      </c>
      <c r="E3" s="5">
        <v>1151887</v>
      </c>
      <c r="F3" s="5">
        <v>59606</v>
      </c>
      <c r="G3" s="5">
        <f t="shared" ref="G3:G34" si="0">D3-E3+F3</f>
        <v>-586894</v>
      </c>
      <c r="H3" s="5">
        <v>6743916</v>
      </c>
      <c r="I3" s="27">
        <v>0</v>
      </c>
      <c r="J3" s="20">
        <v>0</v>
      </c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</row>
    <row r="4" spans="1:138">
      <c r="A4" s="25">
        <v>412</v>
      </c>
      <c r="B4" s="6" t="s">
        <v>1</v>
      </c>
      <c r="C4" s="21">
        <v>0</v>
      </c>
      <c r="D4" s="5">
        <v>598336</v>
      </c>
      <c r="E4" s="5">
        <v>1071123</v>
      </c>
      <c r="F4" s="5">
        <v>6845</v>
      </c>
      <c r="G4" s="5">
        <f t="shared" si="0"/>
        <v>-465942</v>
      </c>
      <c r="H4" s="5">
        <v>3056474</v>
      </c>
      <c r="I4" s="5">
        <v>0</v>
      </c>
      <c r="J4" s="20">
        <v>0</v>
      </c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</row>
    <row r="5" spans="1:138" ht="25.5">
      <c r="A5" s="25">
        <v>430</v>
      </c>
      <c r="B5" s="6" t="s">
        <v>2</v>
      </c>
      <c r="C5" s="21">
        <v>0</v>
      </c>
      <c r="D5" s="5">
        <v>1501869</v>
      </c>
      <c r="E5" s="5">
        <v>333097</v>
      </c>
      <c r="F5" s="5">
        <v>51807</v>
      </c>
      <c r="G5" s="5">
        <f t="shared" si="0"/>
        <v>1220579</v>
      </c>
      <c r="H5" s="5">
        <v>4895451</v>
      </c>
      <c r="I5" s="5">
        <v>1220579</v>
      </c>
      <c r="J5" s="20">
        <v>0</v>
      </c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</row>
    <row r="6" spans="1:138">
      <c r="A6" s="25">
        <v>491</v>
      </c>
      <c r="B6" s="6" t="s">
        <v>4</v>
      </c>
      <c r="C6" s="21">
        <v>0</v>
      </c>
      <c r="D6" s="5">
        <v>340069</v>
      </c>
      <c r="E6" s="5">
        <v>231024</v>
      </c>
      <c r="F6" s="5">
        <v>41802</v>
      </c>
      <c r="G6" s="5">
        <f t="shared" si="0"/>
        <v>150847</v>
      </c>
      <c r="H6" s="5">
        <v>3973007</v>
      </c>
      <c r="I6" s="5">
        <v>150847</v>
      </c>
      <c r="J6" s="20">
        <v>0</v>
      </c>
    </row>
    <row r="7" spans="1:138">
      <c r="A7" s="25">
        <v>420</v>
      </c>
      <c r="B7" s="6" t="s">
        <v>5</v>
      </c>
      <c r="C7" s="21">
        <v>0</v>
      </c>
      <c r="D7" s="5">
        <v>169214</v>
      </c>
      <c r="E7" s="5">
        <v>23588</v>
      </c>
      <c r="F7" s="5">
        <v>1703</v>
      </c>
      <c r="G7" s="5">
        <f t="shared" si="0"/>
        <v>147329</v>
      </c>
      <c r="H7" s="5">
        <v>2710533</v>
      </c>
      <c r="I7" s="5">
        <v>147329</v>
      </c>
      <c r="J7" s="20">
        <v>0</v>
      </c>
    </row>
    <row r="8" spans="1:138">
      <c r="A8" s="25">
        <v>447</v>
      </c>
      <c r="B8" s="6" t="s">
        <v>6</v>
      </c>
      <c r="C8" s="21">
        <v>0</v>
      </c>
      <c r="D8" s="5">
        <v>111802</v>
      </c>
      <c r="E8" s="5">
        <v>71499</v>
      </c>
      <c r="F8" s="5">
        <v>5289</v>
      </c>
      <c r="G8" s="5">
        <f t="shared" si="0"/>
        <v>45592</v>
      </c>
      <c r="H8" s="5">
        <v>1910735</v>
      </c>
      <c r="I8" s="5">
        <v>76788</v>
      </c>
      <c r="J8" s="20">
        <v>0</v>
      </c>
    </row>
    <row r="9" spans="1:138">
      <c r="A9" s="25">
        <v>414</v>
      </c>
      <c r="B9" s="6" t="s">
        <v>7</v>
      </c>
      <c r="C9" s="21">
        <v>0</v>
      </c>
      <c r="D9" s="5">
        <v>134181</v>
      </c>
      <c r="E9" s="5">
        <v>264342</v>
      </c>
      <c r="F9" s="5">
        <v>39766</v>
      </c>
      <c r="G9" s="5">
        <f t="shared" si="0"/>
        <v>-90395</v>
      </c>
      <c r="H9" s="5">
        <v>1594262</v>
      </c>
      <c r="I9" s="5">
        <v>0</v>
      </c>
      <c r="J9" s="20">
        <v>0</v>
      </c>
    </row>
    <row r="10" spans="1:138">
      <c r="A10" s="25">
        <v>449</v>
      </c>
      <c r="B10" s="6" t="s">
        <v>8</v>
      </c>
      <c r="C10" s="21">
        <v>0</v>
      </c>
      <c r="D10" s="5">
        <v>-850018</v>
      </c>
      <c r="E10" s="5">
        <v>389350</v>
      </c>
      <c r="F10" s="5">
        <v>12665</v>
      </c>
      <c r="G10" s="5">
        <f t="shared" si="0"/>
        <v>-1226703</v>
      </c>
      <c r="H10" s="5">
        <v>3217801</v>
      </c>
      <c r="I10" s="5">
        <v>503524</v>
      </c>
      <c r="J10" s="20">
        <v>0</v>
      </c>
    </row>
    <row r="11" spans="1:138">
      <c r="A11" s="25">
        <v>416</v>
      </c>
      <c r="B11" s="6" t="s">
        <v>9</v>
      </c>
      <c r="C11" s="21">
        <v>0</v>
      </c>
      <c r="D11" s="5">
        <v>673821</v>
      </c>
      <c r="E11" s="5">
        <v>154012</v>
      </c>
      <c r="F11" s="5">
        <v>102125</v>
      </c>
      <c r="G11" s="5">
        <f t="shared" si="0"/>
        <v>621934</v>
      </c>
      <c r="H11" s="5">
        <v>2242515</v>
      </c>
      <c r="I11" s="5">
        <v>621934</v>
      </c>
      <c r="J11" s="20">
        <v>0</v>
      </c>
    </row>
    <row r="12" spans="1:138">
      <c r="A12" s="25">
        <v>481</v>
      </c>
      <c r="B12" s="6" t="s">
        <v>10</v>
      </c>
      <c r="C12" s="21">
        <v>0</v>
      </c>
      <c r="D12" s="5">
        <v>24405043</v>
      </c>
      <c r="E12" s="5">
        <v>33800915</v>
      </c>
      <c r="F12" s="5">
        <v>1013725</v>
      </c>
      <c r="G12" s="5">
        <f t="shared" si="0"/>
        <v>-8382147</v>
      </c>
      <c r="H12" s="5">
        <v>6150761</v>
      </c>
      <c r="I12" s="5">
        <v>0</v>
      </c>
      <c r="J12" s="20">
        <v>0</v>
      </c>
    </row>
    <row r="13" spans="1:138">
      <c r="A13" s="22">
        <v>432</v>
      </c>
      <c r="B13" s="6" t="s">
        <v>12</v>
      </c>
      <c r="C13" s="21">
        <v>0</v>
      </c>
      <c r="D13" s="5">
        <v>145058</v>
      </c>
      <c r="E13" s="5">
        <v>48099</v>
      </c>
      <c r="F13" s="5">
        <v>7759</v>
      </c>
      <c r="G13" s="5">
        <f t="shared" si="0"/>
        <v>104718</v>
      </c>
      <c r="H13" s="5">
        <v>1346098</v>
      </c>
      <c r="I13" s="5">
        <v>104718</v>
      </c>
      <c r="J13" s="20">
        <v>0</v>
      </c>
    </row>
    <row r="14" spans="1:138">
      <c r="A14" s="22">
        <v>418</v>
      </c>
      <c r="B14" s="6" t="s">
        <v>13</v>
      </c>
      <c r="C14" s="21">
        <v>0</v>
      </c>
      <c r="D14" s="5">
        <v>315029</v>
      </c>
      <c r="E14" s="5">
        <v>88587</v>
      </c>
      <c r="F14" s="5">
        <v>4958</v>
      </c>
      <c r="G14" s="5">
        <f t="shared" si="0"/>
        <v>231400</v>
      </c>
      <c r="H14" s="5">
        <v>1387271</v>
      </c>
      <c r="I14" s="5">
        <v>231400</v>
      </c>
      <c r="J14" s="20">
        <v>0</v>
      </c>
    </row>
    <row r="15" spans="1:138">
      <c r="A15" s="22">
        <v>437</v>
      </c>
      <c r="B15" s="6" t="s">
        <v>14</v>
      </c>
      <c r="C15" s="21">
        <v>0</v>
      </c>
      <c r="D15" s="5">
        <v>3757</v>
      </c>
      <c r="E15" s="5">
        <v>7065</v>
      </c>
      <c r="F15" s="5">
        <v>673</v>
      </c>
      <c r="G15" s="5">
        <f t="shared" si="0"/>
        <v>-2635</v>
      </c>
      <c r="H15" s="5">
        <v>1849143</v>
      </c>
      <c r="I15" s="5">
        <v>0</v>
      </c>
      <c r="J15" s="20">
        <v>0</v>
      </c>
    </row>
    <row r="16" spans="1:138">
      <c r="A16" s="22">
        <v>438</v>
      </c>
      <c r="B16" s="6" t="s">
        <v>15</v>
      </c>
      <c r="C16" s="21">
        <v>0</v>
      </c>
      <c r="D16" s="5">
        <v>1579</v>
      </c>
      <c r="E16" s="5">
        <v>388827</v>
      </c>
      <c r="F16" s="5">
        <v>597</v>
      </c>
      <c r="G16" s="5">
        <f t="shared" si="0"/>
        <v>-386651</v>
      </c>
      <c r="H16" s="5">
        <v>933739</v>
      </c>
      <c r="I16" s="5">
        <v>0</v>
      </c>
      <c r="J16" s="20">
        <v>0</v>
      </c>
    </row>
    <row r="17" spans="1:10">
      <c r="A17" s="22">
        <v>436</v>
      </c>
      <c r="B17" s="6" t="s">
        <v>16</v>
      </c>
      <c r="C17" s="21">
        <v>0</v>
      </c>
      <c r="D17" s="5">
        <v>956631</v>
      </c>
      <c r="E17" s="5">
        <v>301444</v>
      </c>
      <c r="F17" s="5">
        <v>247267</v>
      </c>
      <c r="G17" s="5">
        <f t="shared" si="0"/>
        <v>902454</v>
      </c>
      <c r="H17" s="5">
        <v>2504445</v>
      </c>
      <c r="I17" s="5">
        <v>902454</v>
      </c>
      <c r="J17" s="20">
        <v>0</v>
      </c>
    </row>
    <row r="18" spans="1:10">
      <c r="A18" s="22">
        <v>440</v>
      </c>
      <c r="B18" s="6" t="s">
        <v>17</v>
      </c>
      <c r="C18" s="21">
        <v>0</v>
      </c>
      <c r="D18" s="5">
        <v>17536</v>
      </c>
      <c r="E18" s="5">
        <v>51874</v>
      </c>
      <c r="F18" s="5">
        <v>0</v>
      </c>
      <c r="G18" s="5">
        <f t="shared" si="0"/>
        <v>-34338</v>
      </c>
      <c r="H18" s="5">
        <v>1755014</v>
      </c>
      <c r="I18" s="5">
        <v>0</v>
      </c>
      <c r="J18" s="20">
        <v>0</v>
      </c>
    </row>
    <row r="19" spans="1:10">
      <c r="A19" s="22">
        <v>439</v>
      </c>
      <c r="B19" s="6" t="s">
        <v>18</v>
      </c>
      <c r="C19" s="21">
        <v>0</v>
      </c>
      <c r="D19" s="5">
        <v>22602</v>
      </c>
      <c r="E19" s="5">
        <v>247827</v>
      </c>
      <c r="F19" s="5">
        <v>26500</v>
      </c>
      <c r="G19" s="5">
        <f t="shared" si="0"/>
        <v>-198725</v>
      </c>
      <c r="H19" s="5">
        <v>971764</v>
      </c>
      <c r="I19" s="5">
        <v>0</v>
      </c>
      <c r="J19" s="20">
        <v>0</v>
      </c>
    </row>
    <row r="20" spans="1:10">
      <c r="A20" s="22">
        <v>475</v>
      </c>
      <c r="B20" s="6" t="s">
        <v>19</v>
      </c>
      <c r="C20" s="21">
        <v>0</v>
      </c>
      <c r="D20" s="5">
        <v>154602</v>
      </c>
      <c r="E20" s="5">
        <v>170375</v>
      </c>
      <c r="F20" s="5">
        <v>24199</v>
      </c>
      <c r="G20" s="5">
        <f t="shared" si="0"/>
        <v>8426</v>
      </c>
      <c r="H20" s="5">
        <v>545618</v>
      </c>
      <c r="I20" s="5">
        <v>8426</v>
      </c>
      <c r="J20" s="20">
        <v>0</v>
      </c>
    </row>
    <row r="21" spans="1:10">
      <c r="A21" s="22">
        <v>443</v>
      </c>
      <c r="B21" s="6" t="s">
        <v>72</v>
      </c>
      <c r="C21" s="21">
        <v>0</v>
      </c>
      <c r="D21" s="5">
        <v>743456</v>
      </c>
      <c r="E21" s="5">
        <v>351052</v>
      </c>
      <c r="F21" s="5">
        <v>21334</v>
      </c>
      <c r="G21" s="5">
        <f t="shared" si="0"/>
        <v>413738</v>
      </c>
      <c r="H21" s="5">
        <v>2775591</v>
      </c>
      <c r="I21" s="5">
        <v>413738</v>
      </c>
      <c r="J21" s="20">
        <v>0</v>
      </c>
    </row>
    <row r="22" spans="1:10">
      <c r="A22" s="22">
        <v>410</v>
      </c>
      <c r="B22" s="6" t="s">
        <v>21</v>
      </c>
      <c r="C22" s="21">
        <v>0</v>
      </c>
      <c r="D22" s="5">
        <v>117395</v>
      </c>
      <c r="E22" s="5">
        <v>127627</v>
      </c>
      <c r="F22" s="5">
        <v>15580</v>
      </c>
      <c r="G22" s="5">
        <f t="shared" si="0"/>
        <v>5348</v>
      </c>
      <c r="H22" s="5">
        <v>1194521</v>
      </c>
      <c r="I22" s="5">
        <v>5348</v>
      </c>
      <c r="J22" s="20">
        <v>0</v>
      </c>
    </row>
    <row r="23" spans="1:10">
      <c r="A23" s="22">
        <v>413</v>
      </c>
      <c r="B23" s="6" t="s">
        <v>23</v>
      </c>
      <c r="C23" s="21">
        <v>0</v>
      </c>
      <c r="D23" s="5">
        <v>30603</v>
      </c>
      <c r="E23" s="5">
        <v>93921</v>
      </c>
      <c r="F23" s="5">
        <v>29410</v>
      </c>
      <c r="G23" s="5">
        <f t="shared" si="0"/>
        <v>-33908</v>
      </c>
      <c r="H23" s="5">
        <v>1183092</v>
      </c>
      <c r="I23" s="5">
        <v>0</v>
      </c>
      <c r="J23" s="20">
        <v>0</v>
      </c>
    </row>
    <row r="24" spans="1:10">
      <c r="A24" s="22">
        <v>446</v>
      </c>
      <c r="B24" s="6" t="s">
        <v>24</v>
      </c>
      <c r="C24" s="21">
        <v>0</v>
      </c>
      <c r="D24" s="5">
        <v>137439</v>
      </c>
      <c r="E24" s="5">
        <v>15894838</v>
      </c>
      <c r="F24" s="5">
        <v>62056</v>
      </c>
      <c r="G24" s="5">
        <f t="shared" si="0"/>
        <v>-15695343</v>
      </c>
      <c r="H24" s="5">
        <v>5561116</v>
      </c>
      <c r="I24" s="5">
        <v>0</v>
      </c>
      <c r="J24" s="20">
        <v>0</v>
      </c>
    </row>
    <row r="25" spans="1:10">
      <c r="A25" s="24">
        <v>478</v>
      </c>
      <c r="B25" s="6" t="s">
        <v>25</v>
      </c>
      <c r="C25" s="21">
        <v>0</v>
      </c>
      <c r="D25" s="5">
        <v>191</v>
      </c>
      <c r="E25" s="5">
        <v>82106</v>
      </c>
      <c r="F25" s="5">
        <v>82956</v>
      </c>
      <c r="G25" s="5">
        <f t="shared" si="0"/>
        <v>1041</v>
      </c>
      <c r="H25" s="5">
        <v>2031639</v>
      </c>
      <c r="I25" s="5">
        <v>1041</v>
      </c>
      <c r="J25" s="20">
        <v>0</v>
      </c>
    </row>
    <row r="26" spans="1:10">
      <c r="A26" s="22">
        <v>496</v>
      </c>
      <c r="B26" s="6" t="s">
        <v>26</v>
      </c>
      <c r="C26" s="21">
        <v>0</v>
      </c>
      <c r="D26" s="5">
        <v>533912</v>
      </c>
      <c r="E26" s="5">
        <v>971804</v>
      </c>
      <c r="F26" s="5">
        <v>426131</v>
      </c>
      <c r="G26" s="5">
        <f t="shared" si="0"/>
        <v>-11761</v>
      </c>
      <c r="H26" s="5">
        <v>2349326</v>
      </c>
      <c r="I26" s="5">
        <v>0</v>
      </c>
      <c r="J26" s="20">
        <v>0</v>
      </c>
    </row>
    <row r="27" spans="1:10">
      <c r="A27" s="22">
        <v>448</v>
      </c>
      <c r="B27" s="6" t="s">
        <v>27</v>
      </c>
      <c r="C27" s="21">
        <v>0</v>
      </c>
      <c r="D27" s="5">
        <v>-132060</v>
      </c>
      <c r="E27" s="5">
        <v>1220</v>
      </c>
      <c r="F27" s="5">
        <v>0</v>
      </c>
      <c r="G27" s="5">
        <f t="shared" si="0"/>
        <v>-133280</v>
      </c>
      <c r="H27" s="5">
        <v>711835</v>
      </c>
      <c r="I27" s="5">
        <v>0</v>
      </c>
      <c r="J27" s="20">
        <v>0</v>
      </c>
    </row>
    <row r="28" spans="1:10">
      <c r="A28" s="22">
        <v>499</v>
      </c>
      <c r="B28" s="6" t="s">
        <v>28</v>
      </c>
      <c r="C28" s="21">
        <v>0</v>
      </c>
      <c r="D28" s="5">
        <v>43488</v>
      </c>
      <c r="E28" s="5">
        <v>80870</v>
      </c>
      <c r="F28" s="5">
        <v>8814</v>
      </c>
      <c r="G28" s="5">
        <f t="shared" si="0"/>
        <v>-28568</v>
      </c>
      <c r="H28" s="5">
        <v>1215240</v>
      </c>
      <c r="I28" s="5">
        <v>0</v>
      </c>
      <c r="J28" s="20">
        <v>0</v>
      </c>
    </row>
    <row r="29" spans="1:10">
      <c r="A29" s="22">
        <v>450</v>
      </c>
      <c r="B29" s="6" t="s">
        <v>29</v>
      </c>
      <c r="C29" s="21">
        <v>0</v>
      </c>
      <c r="D29" s="5">
        <v>-7137</v>
      </c>
      <c r="E29" s="5">
        <v>46658</v>
      </c>
      <c r="F29" s="5">
        <v>30490</v>
      </c>
      <c r="G29" s="5">
        <f t="shared" si="0"/>
        <v>-23305</v>
      </c>
      <c r="H29" s="5">
        <v>833230</v>
      </c>
      <c r="I29" s="5">
        <v>0</v>
      </c>
      <c r="J29" s="20">
        <v>0</v>
      </c>
    </row>
    <row r="30" spans="1:10">
      <c r="A30" s="22">
        <v>453</v>
      </c>
      <c r="B30" s="6" t="s">
        <v>30</v>
      </c>
      <c r="C30" s="21">
        <v>0</v>
      </c>
      <c r="D30" s="5">
        <v>1821665</v>
      </c>
      <c r="E30" s="5">
        <v>2334087</v>
      </c>
      <c r="F30" s="5">
        <v>5184</v>
      </c>
      <c r="G30" s="5">
        <f t="shared" si="0"/>
        <v>-507238</v>
      </c>
      <c r="H30" s="5">
        <v>3960296</v>
      </c>
      <c r="I30" s="5">
        <v>0</v>
      </c>
      <c r="J30" s="20">
        <v>0</v>
      </c>
    </row>
    <row r="31" spans="1:10">
      <c r="A31" s="22">
        <v>435</v>
      </c>
      <c r="B31" s="6" t="s">
        <v>31</v>
      </c>
      <c r="C31" s="21">
        <v>0</v>
      </c>
      <c r="D31" s="5">
        <v>421258</v>
      </c>
      <c r="E31" s="5">
        <v>248083</v>
      </c>
      <c r="F31" s="5">
        <v>248988</v>
      </c>
      <c r="G31" s="5">
        <f t="shared" si="0"/>
        <v>422163</v>
      </c>
      <c r="H31" s="5">
        <v>2814965</v>
      </c>
      <c r="I31" s="5">
        <v>422163</v>
      </c>
      <c r="J31" s="20">
        <v>0</v>
      </c>
    </row>
    <row r="32" spans="1:10">
      <c r="A32" s="22">
        <v>429</v>
      </c>
      <c r="B32" s="6" t="s">
        <v>32</v>
      </c>
      <c r="C32" s="21">
        <v>0</v>
      </c>
      <c r="D32" s="5">
        <v>216273</v>
      </c>
      <c r="E32" s="5">
        <v>963426</v>
      </c>
      <c r="F32" s="5">
        <v>45971</v>
      </c>
      <c r="G32" s="5">
        <f t="shared" si="0"/>
        <v>-701182</v>
      </c>
      <c r="H32" s="5">
        <v>2146594</v>
      </c>
      <c r="I32" s="5">
        <v>0</v>
      </c>
      <c r="J32" s="20">
        <v>0</v>
      </c>
    </row>
    <row r="33" spans="1:10">
      <c r="A33" s="22">
        <v>454</v>
      </c>
      <c r="B33" s="6" t="s">
        <v>33</v>
      </c>
      <c r="C33" s="21">
        <v>0</v>
      </c>
      <c r="D33" s="5">
        <v>64531</v>
      </c>
      <c r="E33" s="5">
        <v>172663</v>
      </c>
      <c r="F33" s="5">
        <v>12781</v>
      </c>
      <c r="G33" s="5">
        <f t="shared" si="0"/>
        <v>-95351</v>
      </c>
      <c r="H33" s="5">
        <v>3512639</v>
      </c>
      <c r="I33" s="5">
        <v>0</v>
      </c>
      <c r="J33" s="20">
        <v>0</v>
      </c>
    </row>
    <row r="34" spans="1:10">
      <c r="A34" s="22">
        <v>456</v>
      </c>
      <c r="B34" s="6" t="s">
        <v>34</v>
      </c>
      <c r="C34" s="21">
        <v>0</v>
      </c>
      <c r="D34" s="5">
        <v>111602</v>
      </c>
      <c r="E34" s="5">
        <v>-229535</v>
      </c>
      <c r="F34" s="10">
        <v>0</v>
      </c>
      <c r="G34" s="5">
        <f t="shared" si="0"/>
        <v>341137</v>
      </c>
      <c r="H34" s="5">
        <v>3942980</v>
      </c>
      <c r="I34" s="5">
        <v>341137</v>
      </c>
      <c r="J34" s="20">
        <v>0</v>
      </c>
    </row>
    <row r="35" spans="1:10">
      <c r="A35" s="22">
        <v>458</v>
      </c>
      <c r="B35" s="6" t="s">
        <v>35</v>
      </c>
      <c r="C35" s="21">
        <v>0</v>
      </c>
      <c r="D35" s="5">
        <v>59770</v>
      </c>
      <c r="E35" s="5">
        <v>393742</v>
      </c>
      <c r="F35" s="5">
        <v>61661</v>
      </c>
      <c r="G35" s="5">
        <f t="shared" ref="G35:G57" si="1">D35-E35+F35</f>
        <v>-272311</v>
      </c>
      <c r="H35" s="5">
        <v>768743</v>
      </c>
      <c r="I35" s="5">
        <v>0</v>
      </c>
      <c r="J35" s="20">
        <v>0</v>
      </c>
    </row>
    <row r="36" spans="1:10">
      <c r="A36" s="22">
        <v>464</v>
      </c>
      <c r="B36" s="6" t="s">
        <v>36</v>
      </c>
      <c r="C36" s="21">
        <v>0</v>
      </c>
      <c r="D36" s="5">
        <v>-49881</v>
      </c>
      <c r="E36" s="5">
        <v>55751</v>
      </c>
      <c r="F36" s="10">
        <v>0</v>
      </c>
      <c r="G36" s="5">
        <f t="shared" si="1"/>
        <v>-105632</v>
      </c>
      <c r="H36" s="5">
        <v>1103736</v>
      </c>
      <c r="I36" s="5">
        <v>0</v>
      </c>
      <c r="J36" s="20">
        <v>0</v>
      </c>
    </row>
    <row r="37" spans="1:10">
      <c r="A37" s="22">
        <v>466</v>
      </c>
      <c r="B37" s="6" t="s">
        <v>37</v>
      </c>
      <c r="C37" s="21">
        <v>0</v>
      </c>
      <c r="D37" s="5">
        <v>16113</v>
      </c>
      <c r="E37" s="5">
        <v>857518</v>
      </c>
      <c r="F37" s="5">
        <v>19132</v>
      </c>
      <c r="G37" s="5">
        <f t="shared" si="1"/>
        <v>-822273</v>
      </c>
      <c r="H37" s="5">
        <v>1564737</v>
      </c>
      <c r="I37" s="5">
        <v>0</v>
      </c>
      <c r="J37" s="20">
        <v>0</v>
      </c>
    </row>
    <row r="38" spans="1:10">
      <c r="A38" s="22">
        <v>492</v>
      </c>
      <c r="B38" s="6" t="s">
        <v>38</v>
      </c>
      <c r="C38" s="21">
        <v>0</v>
      </c>
      <c r="D38" s="5">
        <v>151764</v>
      </c>
      <c r="E38" s="5">
        <v>172116</v>
      </c>
      <c r="F38" s="5">
        <v>7844</v>
      </c>
      <c r="G38" s="5">
        <f t="shared" si="1"/>
        <v>-12508</v>
      </c>
      <c r="H38" s="5">
        <v>1985618</v>
      </c>
      <c r="I38" s="5">
        <v>0</v>
      </c>
      <c r="J38" s="20">
        <v>0</v>
      </c>
    </row>
    <row r="39" spans="1:10">
      <c r="A39" s="22">
        <v>469</v>
      </c>
      <c r="B39" s="6" t="s">
        <v>39</v>
      </c>
      <c r="C39" s="21">
        <v>0</v>
      </c>
      <c r="D39" s="5">
        <v>106178</v>
      </c>
      <c r="E39" s="5">
        <v>120844</v>
      </c>
      <c r="F39" s="5">
        <v>9583</v>
      </c>
      <c r="G39" s="5">
        <f t="shared" si="1"/>
        <v>-5083</v>
      </c>
      <c r="H39" s="5">
        <f>2913411+86667</f>
        <v>3000078</v>
      </c>
      <c r="I39" s="5">
        <v>0</v>
      </c>
      <c r="J39" s="20">
        <v>0</v>
      </c>
    </row>
    <row r="40" spans="1:10">
      <c r="A40" s="22">
        <v>470</v>
      </c>
      <c r="B40" s="6" t="s">
        <v>41</v>
      </c>
      <c r="C40" s="21">
        <v>0</v>
      </c>
      <c r="D40" s="23">
        <v>1956287</v>
      </c>
      <c r="E40" s="23">
        <v>706863</v>
      </c>
      <c r="F40" s="23">
        <v>47720</v>
      </c>
      <c r="G40" s="5">
        <f t="shared" si="1"/>
        <v>1297144</v>
      </c>
      <c r="H40" s="23">
        <v>6728734</v>
      </c>
      <c r="I40" s="5">
        <v>1297144</v>
      </c>
      <c r="J40" s="20">
        <v>0</v>
      </c>
    </row>
    <row r="41" spans="1:10">
      <c r="A41" s="22">
        <v>444</v>
      </c>
      <c r="B41" s="6" t="s">
        <v>42</v>
      </c>
      <c r="C41" s="21">
        <v>0</v>
      </c>
      <c r="D41" s="5">
        <v>175140</v>
      </c>
      <c r="E41" s="5">
        <v>971770</v>
      </c>
      <c r="F41" s="5">
        <v>330989</v>
      </c>
      <c r="G41" s="5">
        <f t="shared" si="1"/>
        <v>-465641</v>
      </c>
      <c r="H41" s="5">
        <v>2452122</v>
      </c>
      <c r="I41" s="5">
        <v>0</v>
      </c>
      <c r="J41" s="20">
        <v>0</v>
      </c>
    </row>
    <row r="42" spans="1:10">
      <c r="A42" s="22">
        <v>474</v>
      </c>
      <c r="B42" s="6" t="s">
        <v>43</v>
      </c>
      <c r="C42" s="21">
        <v>0</v>
      </c>
      <c r="D42" s="5">
        <v>111407</v>
      </c>
      <c r="E42" s="5">
        <v>17644</v>
      </c>
      <c r="F42" s="5">
        <v>797</v>
      </c>
      <c r="G42" s="5">
        <f t="shared" si="1"/>
        <v>94560</v>
      </c>
      <c r="H42" s="5">
        <v>1851537</v>
      </c>
      <c r="I42" s="5">
        <v>94560</v>
      </c>
      <c r="J42" s="20">
        <v>0</v>
      </c>
    </row>
    <row r="43" spans="1:10">
      <c r="A43" s="22">
        <v>493</v>
      </c>
      <c r="B43" s="6" t="s">
        <v>44</v>
      </c>
      <c r="C43" s="21">
        <v>0</v>
      </c>
      <c r="D43" s="5">
        <v>19927</v>
      </c>
      <c r="E43" s="5">
        <v>137800</v>
      </c>
      <c r="F43" s="5">
        <v>17385</v>
      </c>
      <c r="G43" s="5">
        <f t="shared" si="1"/>
        <v>-100488</v>
      </c>
      <c r="H43" s="5">
        <v>1015751</v>
      </c>
      <c r="I43" s="5">
        <v>0</v>
      </c>
      <c r="J43" s="20">
        <v>0</v>
      </c>
    </row>
    <row r="44" spans="1:10">
      <c r="A44" s="22">
        <v>494</v>
      </c>
      <c r="B44" s="6" t="s">
        <v>45</v>
      </c>
      <c r="C44" s="21">
        <v>0</v>
      </c>
      <c r="D44" s="5">
        <v>138173</v>
      </c>
      <c r="E44" s="5">
        <v>169051</v>
      </c>
      <c r="F44" s="5">
        <v>39452</v>
      </c>
      <c r="G44" s="5">
        <f t="shared" si="1"/>
        <v>8574</v>
      </c>
      <c r="H44" s="5">
        <v>1526551</v>
      </c>
      <c r="I44" s="5">
        <v>8574</v>
      </c>
      <c r="J44" s="20">
        <v>0</v>
      </c>
    </row>
    <row r="45" spans="1:10">
      <c r="A45" s="22">
        <v>497</v>
      </c>
      <c r="B45" s="6" t="s">
        <v>46</v>
      </c>
      <c r="C45" s="21">
        <v>0</v>
      </c>
      <c r="D45" s="5">
        <v>280748</v>
      </c>
      <c r="E45" s="5">
        <v>63364</v>
      </c>
      <c r="F45" s="5">
        <v>2509</v>
      </c>
      <c r="G45" s="5">
        <f t="shared" si="1"/>
        <v>219893</v>
      </c>
      <c r="H45" s="5">
        <v>1159239</v>
      </c>
      <c r="I45" s="5">
        <v>219893</v>
      </c>
      <c r="J45" s="20">
        <v>0</v>
      </c>
    </row>
    <row r="46" spans="1:10">
      <c r="A46" s="22">
        <v>479</v>
      </c>
      <c r="B46" s="6" t="s">
        <v>47</v>
      </c>
      <c r="C46" s="21">
        <v>0</v>
      </c>
      <c r="D46" s="5">
        <v>-71200</v>
      </c>
      <c r="E46" s="5">
        <v>126155</v>
      </c>
      <c r="F46" s="5">
        <v>13558</v>
      </c>
      <c r="G46" s="5">
        <f t="shared" si="1"/>
        <v>-183797</v>
      </c>
      <c r="H46" s="5">
        <v>2079980</v>
      </c>
      <c r="I46" s="5">
        <v>0</v>
      </c>
      <c r="J46" s="20">
        <v>0</v>
      </c>
    </row>
    <row r="47" spans="1:10">
      <c r="A47" s="22">
        <v>487</v>
      </c>
      <c r="B47" s="6" t="s">
        <v>48</v>
      </c>
      <c r="C47" s="21">
        <v>0</v>
      </c>
      <c r="D47" s="5">
        <v>2016504</v>
      </c>
      <c r="E47" s="5">
        <v>1560365</v>
      </c>
      <c r="F47" s="10">
        <v>0</v>
      </c>
      <c r="G47" s="5">
        <f t="shared" si="1"/>
        <v>456139</v>
      </c>
      <c r="H47" s="5">
        <v>7435968</v>
      </c>
      <c r="I47" s="5">
        <v>1111955</v>
      </c>
      <c r="J47" s="20">
        <v>0</v>
      </c>
    </row>
    <row r="48" spans="1:10">
      <c r="A48" s="22">
        <v>483</v>
      </c>
      <c r="B48" s="6" t="s">
        <v>49</v>
      </c>
      <c r="C48" s="21">
        <v>0</v>
      </c>
      <c r="D48" s="5">
        <v>199501</v>
      </c>
      <c r="E48" s="5">
        <v>157093</v>
      </c>
      <c r="F48" s="5">
        <v>6334</v>
      </c>
      <c r="G48" s="5">
        <f t="shared" si="1"/>
        <v>48742</v>
      </c>
      <c r="H48" s="5">
        <v>1633303</v>
      </c>
      <c r="I48" s="5">
        <v>48742</v>
      </c>
      <c r="J48" s="20">
        <v>0</v>
      </c>
    </row>
    <row r="49" spans="1:10">
      <c r="A49" s="22">
        <v>482</v>
      </c>
      <c r="B49" s="6" t="s">
        <v>50</v>
      </c>
      <c r="C49" s="21">
        <v>0</v>
      </c>
      <c r="D49" s="5">
        <v>48570</v>
      </c>
      <c r="E49" s="5">
        <v>537010</v>
      </c>
      <c r="F49" s="5">
        <v>13963</v>
      </c>
      <c r="G49" s="5">
        <f t="shared" si="1"/>
        <v>-474477</v>
      </c>
      <c r="H49" s="5">
        <v>1426808</v>
      </c>
      <c r="I49" s="5">
        <v>0</v>
      </c>
      <c r="J49" s="20">
        <v>0</v>
      </c>
    </row>
    <row r="50" spans="1:10">
      <c r="A50" s="22">
        <v>484</v>
      </c>
      <c r="B50" s="6" t="s">
        <v>51</v>
      </c>
      <c r="C50" s="21">
        <v>0</v>
      </c>
      <c r="D50" s="5">
        <v>-664668</v>
      </c>
      <c r="E50" s="5">
        <v>496172</v>
      </c>
      <c r="F50" s="5">
        <v>36224</v>
      </c>
      <c r="G50" s="5">
        <f t="shared" si="1"/>
        <v>-1124616</v>
      </c>
      <c r="H50" s="5">
        <v>1476546</v>
      </c>
      <c r="I50" s="5">
        <v>0</v>
      </c>
      <c r="J50" s="20">
        <v>0</v>
      </c>
    </row>
    <row r="51" spans="1:10">
      <c r="A51" s="22">
        <v>441</v>
      </c>
      <c r="B51" s="6" t="s">
        <v>52</v>
      </c>
      <c r="C51" s="21">
        <v>0</v>
      </c>
      <c r="D51" s="5">
        <v>650090</v>
      </c>
      <c r="E51" s="5">
        <v>746974</v>
      </c>
      <c r="F51" s="5">
        <v>21983</v>
      </c>
      <c r="G51" s="5">
        <f t="shared" si="1"/>
        <v>-74901</v>
      </c>
      <c r="H51" s="5">
        <v>7466116</v>
      </c>
      <c r="I51" s="5">
        <v>0</v>
      </c>
      <c r="J51" s="20">
        <v>0</v>
      </c>
    </row>
    <row r="52" spans="1:10">
      <c r="A52" s="22">
        <v>485</v>
      </c>
      <c r="B52" s="6" t="s">
        <v>53</v>
      </c>
      <c r="C52" s="21">
        <v>0</v>
      </c>
      <c r="D52" s="5">
        <v>-358219</v>
      </c>
      <c r="E52" s="5">
        <v>481271</v>
      </c>
      <c r="F52" s="5">
        <v>34010</v>
      </c>
      <c r="G52" s="5">
        <f t="shared" si="1"/>
        <v>-805480</v>
      </c>
      <c r="H52" s="5">
        <v>1548562</v>
      </c>
      <c r="I52" s="5">
        <v>0</v>
      </c>
      <c r="J52" s="20">
        <v>0</v>
      </c>
    </row>
    <row r="53" spans="1:10">
      <c r="A53" s="22">
        <v>486</v>
      </c>
      <c r="B53" s="6" t="s">
        <v>54</v>
      </c>
      <c r="C53" s="21">
        <v>0</v>
      </c>
      <c r="D53" s="5">
        <v>192481</v>
      </c>
      <c r="E53" s="5">
        <v>1190677</v>
      </c>
      <c r="F53" s="5">
        <v>32467</v>
      </c>
      <c r="G53" s="5">
        <f t="shared" si="1"/>
        <v>-965729</v>
      </c>
      <c r="H53" s="5">
        <v>3399003</v>
      </c>
      <c r="I53" s="5">
        <v>0</v>
      </c>
      <c r="J53" s="20">
        <v>0</v>
      </c>
    </row>
    <row r="54" spans="1:10">
      <c r="A54" s="22">
        <v>419</v>
      </c>
      <c r="B54" s="6" t="s">
        <v>55</v>
      </c>
      <c r="C54" s="21">
        <v>0</v>
      </c>
      <c r="D54" s="5">
        <v>28591</v>
      </c>
      <c r="E54" s="5">
        <v>121354</v>
      </c>
      <c r="F54" s="5">
        <v>36435</v>
      </c>
      <c r="G54" s="5">
        <f t="shared" si="1"/>
        <v>-56328</v>
      </c>
      <c r="H54" s="5">
        <v>1183273</v>
      </c>
      <c r="I54" s="5">
        <v>0</v>
      </c>
      <c r="J54" s="20">
        <v>0</v>
      </c>
    </row>
    <row r="55" spans="1:10">
      <c r="A55" s="22">
        <v>488</v>
      </c>
      <c r="B55" s="6" t="s">
        <v>56</v>
      </c>
      <c r="C55" s="21">
        <v>0</v>
      </c>
      <c r="D55" s="5">
        <v>419745</v>
      </c>
      <c r="E55" s="5">
        <v>970766</v>
      </c>
      <c r="F55" s="5">
        <v>66807</v>
      </c>
      <c r="G55" s="5">
        <f t="shared" si="1"/>
        <v>-484214</v>
      </c>
      <c r="H55" s="5">
        <v>2671209</v>
      </c>
      <c r="I55" s="5">
        <v>0</v>
      </c>
      <c r="J55" s="20">
        <v>0</v>
      </c>
    </row>
    <row r="56" spans="1:10">
      <c r="A56" s="22">
        <v>476</v>
      </c>
      <c r="B56" s="6" t="s">
        <v>57</v>
      </c>
      <c r="C56" s="21">
        <v>0</v>
      </c>
      <c r="D56" s="5">
        <v>38097</v>
      </c>
      <c r="E56" s="5">
        <v>75781</v>
      </c>
      <c r="F56" s="5">
        <v>33540</v>
      </c>
      <c r="G56" s="5">
        <f t="shared" si="1"/>
        <v>-4144</v>
      </c>
      <c r="H56" s="5">
        <v>741043</v>
      </c>
      <c r="I56" s="5">
        <v>0</v>
      </c>
      <c r="J56" s="20">
        <v>0</v>
      </c>
    </row>
    <row r="57" spans="1:10">
      <c r="A57" s="22">
        <v>489</v>
      </c>
      <c r="B57" s="6" t="s">
        <v>58</v>
      </c>
      <c r="C57" s="21">
        <v>0</v>
      </c>
      <c r="D57" s="5">
        <v>34148</v>
      </c>
      <c r="E57" s="5">
        <v>370220</v>
      </c>
      <c r="F57" s="5">
        <v>0</v>
      </c>
      <c r="G57" s="5">
        <f t="shared" si="1"/>
        <v>-336072</v>
      </c>
      <c r="H57" s="5">
        <v>2913892</v>
      </c>
      <c r="I57" s="5">
        <v>0</v>
      </c>
      <c r="J57" s="20">
        <v>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F64"/>
  <sheetViews>
    <sheetView zoomScaleNormal="10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34" sqref="A34:XFD34"/>
    </sheetView>
  </sheetViews>
  <sheetFormatPr defaultColWidth="9.140625" defaultRowHeight="12.75"/>
  <cols>
    <col min="1" max="1" width="5.85546875" style="18" customWidth="1"/>
    <col min="2" max="2" width="43.28515625" style="1" customWidth="1"/>
    <col min="3" max="3" width="11" style="7" customWidth="1"/>
    <col min="4" max="4" width="10.7109375" style="1" customWidth="1"/>
    <col min="5" max="5" width="11.28515625" style="1" customWidth="1"/>
    <col min="6" max="6" width="11.5703125" style="1" customWidth="1"/>
    <col min="7" max="7" width="12" style="1" customWidth="1"/>
    <col min="8" max="8" width="11" style="1" customWidth="1"/>
    <col min="9" max="9" width="11.28515625" style="1" customWidth="1"/>
    <col min="10" max="10" width="9.28515625" style="15" customWidth="1"/>
    <col min="11" max="16384" width="9.140625" style="11"/>
  </cols>
  <sheetData>
    <row r="1" spans="1:136" ht="22.15" customHeight="1">
      <c r="A1" s="33" t="s">
        <v>70</v>
      </c>
      <c r="B1" s="34"/>
      <c r="C1" s="34"/>
      <c r="D1" s="34"/>
      <c r="E1" s="34"/>
      <c r="F1" s="34"/>
      <c r="G1" s="34"/>
      <c r="H1" s="34"/>
      <c r="I1" s="34"/>
      <c r="J1" s="35"/>
    </row>
    <row r="2" spans="1:136" s="13" customFormat="1" ht="44.25" customHeight="1">
      <c r="A2" s="3" t="s">
        <v>69</v>
      </c>
      <c r="B2" s="2" t="s">
        <v>71</v>
      </c>
      <c r="C2" s="16" t="s">
        <v>64</v>
      </c>
      <c r="D2" s="3" t="s">
        <v>62</v>
      </c>
      <c r="E2" s="3" t="s">
        <v>59</v>
      </c>
      <c r="F2" s="3" t="s">
        <v>63</v>
      </c>
      <c r="G2" s="3" t="s">
        <v>67</v>
      </c>
      <c r="H2" s="3" t="s">
        <v>60</v>
      </c>
      <c r="I2" s="3" t="s">
        <v>65</v>
      </c>
      <c r="J2" s="4" t="s">
        <v>61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</row>
    <row r="3" spans="1:136">
      <c r="A3" s="17">
        <v>445</v>
      </c>
      <c r="B3" s="6" t="s">
        <v>0</v>
      </c>
      <c r="C3" s="8">
        <v>0</v>
      </c>
      <c r="D3" s="5">
        <v>2405354</v>
      </c>
      <c r="E3" s="5">
        <v>1703811</v>
      </c>
      <c r="F3" s="5">
        <v>101229</v>
      </c>
      <c r="G3" s="5">
        <f>(C3+D3)-E3+F3</f>
        <v>802772</v>
      </c>
      <c r="H3" s="5">
        <v>7088442</v>
      </c>
      <c r="I3" s="5">
        <f t="shared" ref="I3:I27" si="0">IF(G3&lt;=0,0, IF(G3&gt;0, MIN(G3:H3)))</f>
        <v>802772</v>
      </c>
      <c r="J3" s="14">
        <v>0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</row>
    <row r="4" spans="1:136">
      <c r="A4" s="17">
        <v>412</v>
      </c>
      <c r="B4" s="6" t="s">
        <v>1</v>
      </c>
      <c r="C4" s="8">
        <v>0</v>
      </c>
      <c r="D4" s="5">
        <v>277873</v>
      </c>
      <c r="E4" s="5">
        <v>974769</v>
      </c>
      <c r="F4" s="5">
        <v>89771</v>
      </c>
      <c r="G4" s="5">
        <f t="shared" ref="G4:G58" si="1">(C4+D4)-E4+F4</f>
        <v>-607125</v>
      </c>
      <c r="H4" s="5">
        <v>2854381</v>
      </c>
      <c r="I4" s="5">
        <f t="shared" si="0"/>
        <v>0</v>
      </c>
      <c r="J4" s="14">
        <v>0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</row>
    <row r="5" spans="1:136" ht="25.5">
      <c r="A5" s="17">
        <v>430</v>
      </c>
      <c r="B5" s="6" t="s">
        <v>2</v>
      </c>
      <c r="C5" s="8">
        <v>1220579</v>
      </c>
      <c r="D5" s="5">
        <v>-2015</v>
      </c>
      <c r="E5" s="5">
        <v>195008</v>
      </c>
      <c r="F5" s="5">
        <v>100666</v>
      </c>
      <c r="G5" s="5">
        <f t="shared" si="1"/>
        <v>1124222</v>
      </c>
      <c r="H5" s="5">
        <v>5083249</v>
      </c>
      <c r="I5" s="5">
        <f t="shared" si="0"/>
        <v>1124222</v>
      </c>
      <c r="J5" s="14">
        <v>0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</row>
    <row r="6" spans="1:136">
      <c r="A6" s="17">
        <v>409</v>
      </c>
      <c r="B6" s="6" t="s">
        <v>3</v>
      </c>
      <c r="C6" s="8">
        <v>0</v>
      </c>
      <c r="D6" s="5">
        <v>41138</v>
      </c>
      <c r="E6" s="5">
        <v>85691</v>
      </c>
      <c r="F6" s="5">
        <v>5295</v>
      </c>
      <c r="G6" s="5">
        <f t="shared" si="1"/>
        <v>-39258</v>
      </c>
      <c r="H6" s="5">
        <v>795291</v>
      </c>
      <c r="I6" s="5">
        <f t="shared" si="0"/>
        <v>0</v>
      </c>
      <c r="J6" s="14">
        <v>0</v>
      </c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136">
      <c r="A7" s="17">
        <v>491</v>
      </c>
      <c r="B7" s="6" t="s">
        <v>4</v>
      </c>
      <c r="C7" s="8">
        <v>150847</v>
      </c>
      <c r="D7" s="5">
        <v>174545</v>
      </c>
      <c r="E7" s="5">
        <v>398047</v>
      </c>
      <c r="F7" s="5">
        <v>71945</v>
      </c>
      <c r="G7" s="5">
        <f t="shared" si="1"/>
        <v>-710</v>
      </c>
      <c r="H7" s="5">
        <v>3725891</v>
      </c>
      <c r="I7" s="5">
        <f t="shared" si="0"/>
        <v>0</v>
      </c>
      <c r="J7" s="14">
        <v>0</v>
      </c>
    </row>
    <row r="8" spans="1:136">
      <c r="A8" s="17">
        <v>420</v>
      </c>
      <c r="B8" s="6" t="s">
        <v>5</v>
      </c>
      <c r="C8" s="8">
        <v>147329</v>
      </c>
      <c r="D8" s="5">
        <v>408199</v>
      </c>
      <c r="E8" s="5">
        <v>37674</v>
      </c>
      <c r="F8" s="5">
        <v>4273</v>
      </c>
      <c r="G8" s="5">
        <f t="shared" si="1"/>
        <v>522127</v>
      </c>
      <c r="H8" s="5">
        <v>2893745</v>
      </c>
      <c r="I8" s="5">
        <f t="shared" si="0"/>
        <v>522127</v>
      </c>
      <c r="J8" s="14">
        <v>0</v>
      </c>
    </row>
    <row r="9" spans="1:136">
      <c r="A9" s="17">
        <v>447</v>
      </c>
      <c r="B9" s="6" t="s">
        <v>6</v>
      </c>
      <c r="C9" s="8">
        <v>76788</v>
      </c>
      <c r="D9" s="5">
        <v>91159</v>
      </c>
      <c r="E9" s="5">
        <v>162354</v>
      </c>
      <c r="F9" s="5">
        <v>56266</v>
      </c>
      <c r="G9" s="5">
        <f t="shared" si="1"/>
        <v>61859</v>
      </c>
      <c r="H9" s="5">
        <v>1943981</v>
      </c>
      <c r="I9" s="5">
        <f t="shared" si="0"/>
        <v>61859</v>
      </c>
      <c r="J9" s="14">
        <v>0</v>
      </c>
    </row>
    <row r="10" spans="1:136">
      <c r="A10" s="17">
        <v>414</v>
      </c>
      <c r="B10" s="6" t="s">
        <v>7</v>
      </c>
      <c r="C10" s="8">
        <v>0</v>
      </c>
      <c r="D10" s="5">
        <v>75188</v>
      </c>
      <c r="E10" s="5">
        <v>320711</v>
      </c>
      <c r="F10" s="5">
        <v>11556</v>
      </c>
      <c r="G10" s="5">
        <f t="shared" si="1"/>
        <v>-233967</v>
      </c>
      <c r="H10" s="5">
        <v>1739628</v>
      </c>
      <c r="I10" s="5">
        <f t="shared" si="0"/>
        <v>0</v>
      </c>
      <c r="J10" s="14">
        <v>0</v>
      </c>
    </row>
    <row r="11" spans="1:136">
      <c r="A11" s="17">
        <v>449</v>
      </c>
      <c r="B11" s="6" t="s">
        <v>8</v>
      </c>
      <c r="C11" s="8">
        <v>503524</v>
      </c>
      <c r="D11" s="5">
        <v>-1002512</v>
      </c>
      <c r="E11" s="5">
        <v>122002</v>
      </c>
      <c r="F11" s="5">
        <v>64027</v>
      </c>
      <c r="G11" s="5">
        <f t="shared" si="1"/>
        <v>-556963</v>
      </c>
      <c r="H11" s="5">
        <v>3194224</v>
      </c>
      <c r="I11" s="5">
        <f t="shared" si="0"/>
        <v>0</v>
      </c>
      <c r="J11" s="14">
        <v>0</v>
      </c>
    </row>
    <row r="12" spans="1:136">
      <c r="A12" s="17">
        <v>416</v>
      </c>
      <c r="B12" s="6" t="s">
        <v>9</v>
      </c>
      <c r="C12" s="8">
        <v>621934</v>
      </c>
      <c r="D12" s="5">
        <v>126233</v>
      </c>
      <c r="E12" s="5">
        <v>96451</v>
      </c>
      <c r="F12" s="5">
        <v>128013</v>
      </c>
      <c r="G12" s="5">
        <f t="shared" si="1"/>
        <v>779729</v>
      </c>
      <c r="H12" s="5">
        <v>2337965</v>
      </c>
      <c r="I12" s="5">
        <f t="shared" si="0"/>
        <v>779729</v>
      </c>
      <c r="J12" s="14">
        <v>0</v>
      </c>
    </row>
    <row r="13" spans="1:136">
      <c r="A13" s="17">
        <v>481</v>
      </c>
      <c r="B13" s="6" t="s">
        <v>10</v>
      </c>
      <c r="C13" s="8">
        <v>0</v>
      </c>
      <c r="D13" s="10">
        <v>721323</v>
      </c>
      <c r="E13" s="10">
        <v>1675156</v>
      </c>
      <c r="F13" s="10">
        <v>1316074</v>
      </c>
      <c r="G13" s="10">
        <f t="shared" si="1"/>
        <v>362241</v>
      </c>
      <c r="H13" s="10">
        <v>5756644</v>
      </c>
      <c r="I13" s="10">
        <f t="shared" si="0"/>
        <v>362241</v>
      </c>
      <c r="J13" s="14">
        <v>0</v>
      </c>
    </row>
    <row r="14" spans="1:136">
      <c r="A14" s="17">
        <v>417</v>
      </c>
      <c r="B14" s="6" t="s">
        <v>11</v>
      </c>
      <c r="C14" s="8">
        <v>0</v>
      </c>
      <c r="D14" s="5">
        <v>56291</v>
      </c>
      <c r="E14" s="5">
        <v>28009</v>
      </c>
      <c r="F14" s="5">
        <v>3330</v>
      </c>
      <c r="G14" s="5">
        <f t="shared" si="1"/>
        <v>31612</v>
      </c>
      <c r="H14" s="5">
        <v>572344</v>
      </c>
      <c r="I14" s="5">
        <f t="shared" si="0"/>
        <v>31612</v>
      </c>
      <c r="J14" s="14">
        <v>0</v>
      </c>
    </row>
    <row r="15" spans="1:136">
      <c r="A15" s="17">
        <v>432</v>
      </c>
      <c r="B15" s="6" t="s">
        <v>12</v>
      </c>
      <c r="C15" s="8">
        <v>104718</v>
      </c>
      <c r="D15" s="5">
        <v>597835</v>
      </c>
      <c r="E15" s="5">
        <v>1142274</v>
      </c>
      <c r="F15" s="5">
        <v>12910</v>
      </c>
      <c r="G15" s="5">
        <f t="shared" si="1"/>
        <v>-426811</v>
      </c>
      <c r="H15" s="5">
        <v>1386817</v>
      </c>
      <c r="I15" s="5">
        <f t="shared" si="0"/>
        <v>0</v>
      </c>
      <c r="J15" s="14">
        <v>0</v>
      </c>
    </row>
    <row r="16" spans="1:136">
      <c r="A16" s="17">
        <v>418</v>
      </c>
      <c r="B16" s="6" t="s">
        <v>13</v>
      </c>
      <c r="C16" s="8">
        <v>231400</v>
      </c>
      <c r="D16" s="5">
        <v>168891</v>
      </c>
      <c r="E16" s="5">
        <v>141488</v>
      </c>
      <c r="F16" s="5">
        <v>17688</v>
      </c>
      <c r="G16" s="5">
        <f t="shared" si="1"/>
        <v>276491</v>
      </c>
      <c r="H16" s="5">
        <v>1609044</v>
      </c>
      <c r="I16" s="5">
        <f t="shared" si="0"/>
        <v>276491</v>
      </c>
      <c r="J16" s="14">
        <v>0</v>
      </c>
    </row>
    <row r="17" spans="1:10">
      <c r="A17" s="17">
        <v>437</v>
      </c>
      <c r="B17" s="6" t="s">
        <v>14</v>
      </c>
      <c r="C17" s="8">
        <v>0</v>
      </c>
      <c r="D17" s="5">
        <v>22</v>
      </c>
      <c r="E17" s="5">
        <v>4958</v>
      </c>
      <c r="F17" s="5">
        <v>2020</v>
      </c>
      <c r="G17" s="5">
        <f t="shared" si="1"/>
        <v>-2916</v>
      </c>
      <c r="H17" s="5">
        <v>1796715</v>
      </c>
      <c r="I17" s="5">
        <f t="shared" si="0"/>
        <v>0</v>
      </c>
      <c r="J17" s="14">
        <v>0</v>
      </c>
    </row>
    <row r="18" spans="1:10">
      <c r="A18" s="17">
        <v>438</v>
      </c>
      <c r="B18" s="6" t="s">
        <v>15</v>
      </c>
      <c r="C18" s="8">
        <v>0</v>
      </c>
      <c r="D18" s="5">
        <v>-62506</v>
      </c>
      <c r="E18" s="10">
        <f>500205+30414+21191</f>
        <v>551810</v>
      </c>
      <c r="F18" s="5">
        <f>39269+14228</f>
        <v>53497</v>
      </c>
      <c r="G18" s="5">
        <f t="shared" si="1"/>
        <v>-560819</v>
      </c>
      <c r="H18" s="5">
        <v>921191</v>
      </c>
      <c r="I18" s="5">
        <f t="shared" si="0"/>
        <v>0</v>
      </c>
      <c r="J18" s="14">
        <v>0</v>
      </c>
    </row>
    <row r="19" spans="1:10">
      <c r="A19" s="17">
        <v>436</v>
      </c>
      <c r="B19" s="6" t="s">
        <v>16</v>
      </c>
      <c r="C19" s="8">
        <v>902454</v>
      </c>
      <c r="D19" s="5">
        <v>976624</v>
      </c>
      <c r="E19" s="5">
        <f>700000+891</f>
        <v>700891</v>
      </c>
      <c r="F19" s="5">
        <v>258901</v>
      </c>
      <c r="G19" s="5">
        <f t="shared" si="1"/>
        <v>1437088</v>
      </c>
      <c r="H19" s="5">
        <f>1292861+1276885</f>
        <v>2569746</v>
      </c>
      <c r="I19" s="5">
        <f t="shared" si="0"/>
        <v>1437088</v>
      </c>
      <c r="J19" s="14">
        <v>0</v>
      </c>
    </row>
    <row r="20" spans="1:10">
      <c r="A20" s="17">
        <v>440</v>
      </c>
      <c r="B20" s="6" t="s">
        <v>17</v>
      </c>
      <c r="C20" s="8">
        <v>0</v>
      </c>
      <c r="D20" s="10">
        <v>-15406</v>
      </c>
      <c r="E20" s="10">
        <f>23800+13019+710</f>
        <v>37529</v>
      </c>
      <c r="F20" s="10">
        <v>0</v>
      </c>
      <c r="G20" s="10">
        <f t="shared" si="1"/>
        <v>-52935</v>
      </c>
      <c r="H20" s="10">
        <f>965476+807230</f>
        <v>1772706</v>
      </c>
      <c r="I20" s="10">
        <f t="shared" si="0"/>
        <v>0</v>
      </c>
      <c r="J20" s="14">
        <v>0</v>
      </c>
    </row>
    <row r="21" spans="1:10">
      <c r="A21" s="17">
        <v>439</v>
      </c>
      <c r="B21" s="6" t="s">
        <v>18</v>
      </c>
      <c r="C21" s="8">
        <v>0</v>
      </c>
      <c r="D21" s="5">
        <v>55461</v>
      </c>
      <c r="E21" s="5">
        <f>108659+126+55952</f>
        <v>164737</v>
      </c>
      <c r="F21" s="5">
        <v>16216</v>
      </c>
      <c r="G21" s="5">
        <f t="shared" si="1"/>
        <v>-93060</v>
      </c>
      <c r="H21" s="5">
        <f>557667+453418</f>
        <v>1011085</v>
      </c>
      <c r="I21" s="5">
        <f t="shared" si="0"/>
        <v>0</v>
      </c>
      <c r="J21" s="14">
        <v>0</v>
      </c>
    </row>
    <row r="22" spans="1:10">
      <c r="A22" s="17">
        <v>475</v>
      </c>
      <c r="B22" s="6" t="s">
        <v>19</v>
      </c>
      <c r="C22" s="8">
        <v>8426</v>
      </c>
      <c r="D22" s="5">
        <v>228967</v>
      </c>
      <c r="E22" s="5">
        <f>68+33698+144072+5914</f>
        <v>183752</v>
      </c>
      <c r="F22" s="5">
        <f>115+24099</f>
        <v>24214</v>
      </c>
      <c r="G22" s="5">
        <f t="shared" si="1"/>
        <v>77855</v>
      </c>
      <c r="H22" s="5">
        <f>225634+319984</f>
        <v>545618</v>
      </c>
      <c r="I22" s="5">
        <f t="shared" si="0"/>
        <v>77855</v>
      </c>
      <c r="J22" s="14">
        <v>0</v>
      </c>
    </row>
    <row r="23" spans="1:10">
      <c r="A23" s="17">
        <v>428</v>
      </c>
      <c r="B23" s="6" t="s">
        <v>66</v>
      </c>
      <c r="C23" s="8">
        <v>413738</v>
      </c>
      <c r="D23" s="5">
        <v>858497</v>
      </c>
      <c r="E23" s="5">
        <v>284737</v>
      </c>
      <c r="F23" s="5">
        <v>32324</v>
      </c>
      <c r="G23" s="5">
        <f t="shared" si="1"/>
        <v>1019822</v>
      </c>
      <c r="H23" s="5">
        <v>2849578</v>
      </c>
      <c r="I23" s="5">
        <f t="shared" si="0"/>
        <v>1019822</v>
      </c>
      <c r="J23" s="14">
        <v>0</v>
      </c>
    </row>
    <row r="24" spans="1:10">
      <c r="A24" s="17">
        <v>443</v>
      </c>
      <c r="B24" s="6" t="s">
        <v>20</v>
      </c>
      <c r="C24" s="8">
        <v>0</v>
      </c>
      <c r="D24" s="5">
        <v>433342</v>
      </c>
      <c r="E24" s="5">
        <f>250000+213841+15634</f>
        <v>479475</v>
      </c>
      <c r="F24" s="5">
        <v>29524</v>
      </c>
      <c r="G24" s="5">
        <f>(C24+D24)-E24+F24</f>
        <v>-16609</v>
      </c>
      <c r="H24" s="5">
        <f>595343+721965</f>
        <v>1317308</v>
      </c>
      <c r="I24" s="5">
        <f t="shared" si="0"/>
        <v>0</v>
      </c>
      <c r="J24" s="14">
        <v>0</v>
      </c>
    </row>
    <row r="25" spans="1:10">
      <c r="A25" s="17">
        <v>410</v>
      </c>
      <c r="B25" s="6" t="s">
        <v>21</v>
      </c>
      <c r="C25" s="8">
        <v>5348</v>
      </c>
      <c r="D25" s="5">
        <v>-302020</v>
      </c>
      <c r="E25" s="5">
        <f>100+80+44088</f>
        <v>44268</v>
      </c>
      <c r="F25" s="5">
        <f>12000+7348+64583</f>
        <v>83931</v>
      </c>
      <c r="G25" s="5">
        <f t="shared" si="1"/>
        <v>-257009</v>
      </c>
      <c r="H25" s="5">
        <f>640853+562217</f>
        <v>1203070</v>
      </c>
      <c r="I25" s="5">
        <f t="shared" si="0"/>
        <v>0</v>
      </c>
      <c r="J25" s="14">
        <v>0</v>
      </c>
    </row>
    <row r="26" spans="1:10">
      <c r="A26" s="17">
        <v>461</v>
      </c>
      <c r="B26" s="6" t="s">
        <v>22</v>
      </c>
      <c r="C26" s="8">
        <v>0</v>
      </c>
      <c r="D26" s="5">
        <v>-72485</v>
      </c>
      <c r="E26" s="5">
        <v>658619</v>
      </c>
      <c r="F26" s="5">
        <v>57631</v>
      </c>
      <c r="G26" s="5">
        <f t="shared" si="1"/>
        <v>-673473</v>
      </c>
      <c r="H26" s="5">
        <v>438583</v>
      </c>
      <c r="I26" s="5">
        <f t="shared" si="0"/>
        <v>0</v>
      </c>
      <c r="J26" s="14">
        <v>0</v>
      </c>
    </row>
    <row r="27" spans="1:10">
      <c r="A27" s="17">
        <v>413</v>
      </c>
      <c r="B27" s="6" t="s">
        <v>23</v>
      </c>
      <c r="C27" s="8">
        <v>0</v>
      </c>
      <c r="D27" s="5">
        <v>41944</v>
      </c>
      <c r="E27" s="5">
        <f>100+399+9534+35123</f>
        <v>45156</v>
      </c>
      <c r="F27" s="5">
        <f>8097+4490</f>
        <v>12587</v>
      </c>
      <c r="G27" s="5">
        <f t="shared" si="1"/>
        <v>9375</v>
      </c>
      <c r="H27" s="5">
        <f>677338+563354</f>
        <v>1240692</v>
      </c>
      <c r="I27" s="5">
        <f t="shared" si="0"/>
        <v>9375</v>
      </c>
      <c r="J27" s="14">
        <v>0</v>
      </c>
    </row>
    <row r="28" spans="1:10">
      <c r="A28" s="17">
        <v>446</v>
      </c>
      <c r="B28" s="6" t="s">
        <v>24</v>
      </c>
      <c r="C28" s="8">
        <v>0</v>
      </c>
      <c r="D28" s="5">
        <v>-132332</v>
      </c>
      <c r="E28" s="5">
        <f>90992+8911481</f>
        <v>9002473</v>
      </c>
      <c r="F28" s="5">
        <v>362514</v>
      </c>
      <c r="G28" s="5">
        <f t="shared" si="1"/>
        <v>-8772291</v>
      </c>
      <c r="H28" s="5">
        <f>2990237+2547608+255740</f>
        <v>5793585</v>
      </c>
      <c r="I28" s="5">
        <f t="shared" ref="I28:I63" si="2">IF(G28&lt;=0,0, IF(G28&gt;0, MIN(G28:H28)))</f>
        <v>0</v>
      </c>
      <c r="J28" s="14">
        <v>0</v>
      </c>
    </row>
    <row r="29" spans="1:10">
      <c r="A29" s="17">
        <v>478</v>
      </c>
      <c r="B29" s="6" t="s">
        <v>25</v>
      </c>
      <c r="C29" s="8">
        <v>1041</v>
      </c>
      <c r="D29" s="5">
        <v>-19477</v>
      </c>
      <c r="E29" s="5">
        <f>102847+4163+23148</f>
        <v>130158</v>
      </c>
      <c r="F29" s="5">
        <f>34808+33450</f>
        <v>68258</v>
      </c>
      <c r="G29" s="5">
        <f t="shared" si="1"/>
        <v>-80336</v>
      </c>
      <c r="H29" s="5">
        <f>1042276+876465</f>
        <v>1918741</v>
      </c>
      <c r="I29" s="5">
        <f t="shared" si="2"/>
        <v>0</v>
      </c>
      <c r="J29" s="14">
        <v>0</v>
      </c>
    </row>
    <row r="30" spans="1:10">
      <c r="A30" s="17">
        <v>496</v>
      </c>
      <c r="B30" s="6" t="s">
        <v>26</v>
      </c>
      <c r="C30" s="8">
        <v>0</v>
      </c>
      <c r="D30" s="5">
        <v>12796</v>
      </c>
      <c r="E30" s="5">
        <f>261075+328+279159+387257</f>
        <v>927819</v>
      </c>
      <c r="F30" s="5">
        <f>96353+317281</f>
        <v>413634</v>
      </c>
      <c r="G30" s="5">
        <f t="shared" si="1"/>
        <v>-501389</v>
      </c>
      <c r="H30" s="5">
        <f>1323577+1149659</f>
        <v>2473236</v>
      </c>
      <c r="I30" s="5">
        <f t="shared" si="2"/>
        <v>0</v>
      </c>
      <c r="J30" s="14">
        <v>0</v>
      </c>
    </row>
    <row r="31" spans="1:10">
      <c r="A31" s="17">
        <v>448</v>
      </c>
      <c r="B31" s="6" t="s">
        <v>27</v>
      </c>
      <c r="C31" s="8">
        <v>0</v>
      </c>
      <c r="D31" s="5">
        <v>2741</v>
      </c>
      <c r="E31" s="5">
        <f>491+6027</f>
        <v>6518</v>
      </c>
      <c r="F31" s="5">
        <v>0</v>
      </c>
      <c r="G31" s="5">
        <f t="shared" si="1"/>
        <v>-3777</v>
      </c>
      <c r="H31" s="5">
        <f>403632+509590</f>
        <v>913222</v>
      </c>
      <c r="I31" s="5">
        <f t="shared" si="2"/>
        <v>0</v>
      </c>
      <c r="J31" s="14">
        <v>0</v>
      </c>
    </row>
    <row r="32" spans="1:10">
      <c r="A32" s="17">
        <v>462</v>
      </c>
      <c r="B32" s="6" t="s">
        <v>68</v>
      </c>
      <c r="C32" s="8">
        <v>0</v>
      </c>
      <c r="D32" s="5">
        <v>385412</v>
      </c>
      <c r="E32" s="5">
        <v>747298</v>
      </c>
      <c r="F32" s="5">
        <v>22346</v>
      </c>
      <c r="G32" s="5">
        <f t="shared" si="1"/>
        <v>-339540</v>
      </c>
      <c r="H32" s="5">
        <v>691572</v>
      </c>
      <c r="I32" s="5">
        <f t="shared" si="2"/>
        <v>0</v>
      </c>
      <c r="J32" s="14">
        <v>0</v>
      </c>
    </row>
    <row r="33" spans="1:10">
      <c r="A33" s="17">
        <v>499</v>
      </c>
      <c r="B33" s="6" t="s">
        <v>28</v>
      </c>
      <c r="C33" s="8">
        <v>0</v>
      </c>
      <c r="D33" s="5">
        <v>174030</v>
      </c>
      <c r="E33" s="5">
        <f>673+15931+64259</f>
        <v>80863</v>
      </c>
      <c r="F33" s="5">
        <v>33848</v>
      </c>
      <c r="G33" s="5">
        <f t="shared" si="1"/>
        <v>127015</v>
      </c>
      <c r="H33" s="5">
        <f>780593+795778</f>
        <v>1576371</v>
      </c>
      <c r="I33" s="5">
        <f t="shared" si="2"/>
        <v>127015</v>
      </c>
      <c r="J33" s="14">
        <v>0</v>
      </c>
    </row>
    <row r="34" spans="1:10">
      <c r="A34" s="17">
        <v>450</v>
      </c>
      <c r="B34" s="6" t="s">
        <v>29</v>
      </c>
      <c r="C34" s="8">
        <v>0</v>
      </c>
      <c r="D34" s="5">
        <v>-115619</v>
      </c>
      <c r="E34" s="5">
        <v>44584</v>
      </c>
      <c r="F34" s="5">
        <v>31094</v>
      </c>
      <c r="G34" s="5">
        <f t="shared" si="1"/>
        <v>-129109</v>
      </c>
      <c r="H34" s="5">
        <v>858297</v>
      </c>
      <c r="I34" s="5">
        <f t="shared" si="2"/>
        <v>0</v>
      </c>
      <c r="J34" s="14">
        <v>0</v>
      </c>
    </row>
    <row r="35" spans="1:10">
      <c r="A35" s="17">
        <v>453</v>
      </c>
      <c r="B35" s="6" t="s">
        <v>30</v>
      </c>
      <c r="C35" s="8">
        <v>0</v>
      </c>
      <c r="D35" s="5">
        <v>1364175</v>
      </c>
      <c r="E35" s="5">
        <f>3682+438316+27615</f>
        <v>469613</v>
      </c>
      <c r="F35" s="5">
        <v>17411</v>
      </c>
      <c r="G35" s="5">
        <f t="shared" si="1"/>
        <v>911973</v>
      </c>
      <c r="H35" s="5">
        <f>2140362+1755284+39290</f>
        <v>3934936</v>
      </c>
      <c r="I35" s="5">
        <f t="shared" si="2"/>
        <v>911973</v>
      </c>
      <c r="J35" s="14">
        <v>0</v>
      </c>
    </row>
    <row r="36" spans="1:10">
      <c r="A36" s="17">
        <v>435</v>
      </c>
      <c r="B36" s="6" t="s">
        <v>31</v>
      </c>
      <c r="C36" s="8">
        <v>422163</v>
      </c>
      <c r="D36" s="5">
        <v>-237190</v>
      </c>
      <c r="E36" s="5">
        <f>61223+9416+241848</f>
        <v>312487</v>
      </c>
      <c r="F36" s="5">
        <v>263591</v>
      </c>
      <c r="G36" s="5">
        <f t="shared" si="1"/>
        <v>136077</v>
      </c>
      <c r="H36" s="5">
        <f>1560790+1393200</f>
        <v>2953990</v>
      </c>
      <c r="I36" s="5">
        <f t="shared" si="2"/>
        <v>136077</v>
      </c>
      <c r="J36" s="14">
        <v>0</v>
      </c>
    </row>
    <row r="37" spans="1:10">
      <c r="A37" s="17">
        <v>429</v>
      </c>
      <c r="B37" s="6" t="s">
        <v>32</v>
      </c>
      <c r="C37" s="8">
        <v>0</v>
      </c>
      <c r="D37" s="10">
        <v>-256109</v>
      </c>
      <c r="E37" s="10">
        <v>667573</v>
      </c>
      <c r="F37" s="10">
        <v>86314</v>
      </c>
      <c r="G37" s="10">
        <f t="shared" si="1"/>
        <v>-837368</v>
      </c>
      <c r="H37" s="10">
        <v>2726553</v>
      </c>
      <c r="I37" s="10">
        <f t="shared" si="2"/>
        <v>0</v>
      </c>
      <c r="J37" s="14">
        <v>0</v>
      </c>
    </row>
    <row r="38" spans="1:10">
      <c r="A38" s="17">
        <v>454</v>
      </c>
      <c r="B38" s="6" t="s">
        <v>33</v>
      </c>
      <c r="C38" s="8">
        <v>0</v>
      </c>
      <c r="D38" s="5">
        <v>-3053</v>
      </c>
      <c r="E38" s="5">
        <v>328399</v>
      </c>
      <c r="F38" s="5">
        <v>39540</v>
      </c>
      <c r="G38" s="5">
        <f t="shared" si="1"/>
        <v>-291912</v>
      </c>
      <c r="H38" s="5">
        <v>3481485</v>
      </c>
      <c r="I38" s="5">
        <f t="shared" si="2"/>
        <v>0</v>
      </c>
      <c r="J38" s="14">
        <v>0</v>
      </c>
    </row>
    <row r="39" spans="1:10">
      <c r="A39" s="17">
        <v>456</v>
      </c>
      <c r="B39" s="6" t="s">
        <v>34</v>
      </c>
      <c r="C39" s="8">
        <v>341137</v>
      </c>
      <c r="D39" s="10">
        <v>-445737</v>
      </c>
      <c r="E39" s="10">
        <v>112116</v>
      </c>
      <c r="F39" s="10">
        <v>71363</v>
      </c>
      <c r="G39" s="10">
        <f t="shared" si="1"/>
        <v>-145353</v>
      </c>
      <c r="H39" s="10">
        <v>3469834</v>
      </c>
      <c r="I39" s="10">
        <f t="shared" si="2"/>
        <v>0</v>
      </c>
      <c r="J39" s="14">
        <v>0</v>
      </c>
    </row>
    <row r="40" spans="1:10">
      <c r="A40" s="17">
        <v>458</v>
      </c>
      <c r="B40" s="6" t="s">
        <v>35</v>
      </c>
      <c r="C40" s="8">
        <v>0</v>
      </c>
      <c r="D40" s="10">
        <v>-95236</v>
      </c>
      <c r="E40" s="10">
        <f>188319+1874+50075+94690</f>
        <v>334958</v>
      </c>
      <c r="F40" s="10">
        <v>70293</v>
      </c>
      <c r="G40" s="10">
        <f t="shared" si="1"/>
        <v>-359901</v>
      </c>
      <c r="H40" s="10">
        <f>356693+367077</f>
        <v>723770</v>
      </c>
      <c r="I40" s="10">
        <f t="shared" si="2"/>
        <v>0</v>
      </c>
      <c r="J40" s="14">
        <v>0</v>
      </c>
    </row>
    <row r="41" spans="1:10">
      <c r="A41" s="17">
        <v>464</v>
      </c>
      <c r="B41" s="6" t="s">
        <v>36</v>
      </c>
      <c r="C41" s="8">
        <v>0</v>
      </c>
      <c r="D41" s="10">
        <v>104693</v>
      </c>
      <c r="E41" s="10">
        <f>74311+193+47109+57742</f>
        <v>179355</v>
      </c>
      <c r="F41" s="10">
        <v>82808</v>
      </c>
      <c r="G41" s="10">
        <f t="shared" si="1"/>
        <v>8146</v>
      </c>
      <c r="H41" s="10">
        <f>640670+539218</f>
        <v>1179888</v>
      </c>
      <c r="I41" s="10">
        <f t="shared" si="2"/>
        <v>8146</v>
      </c>
      <c r="J41" s="14">
        <v>0</v>
      </c>
    </row>
    <row r="42" spans="1:10">
      <c r="A42" s="17">
        <v>466</v>
      </c>
      <c r="B42" s="6" t="s">
        <v>37</v>
      </c>
      <c r="C42" s="8">
        <v>0</v>
      </c>
      <c r="D42" s="10">
        <v>31166</v>
      </c>
      <c r="E42" s="10">
        <v>54578</v>
      </c>
      <c r="F42" s="10">
        <v>19132</v>
      </c>
      <c r="G42" s="10">
        <f t="shared" si="1"/>
        <v>-4280</v>
      </c>
      <c r="H42" s="10">
        <v>1561244</v>
      </c>
      <c r="I42" s="10">
        <f t="shared" si="2"/>
        <v>0</v>
      </c>
      <c r="J42" s="14">
        <v>0</v>
      </c>
    </row>
    <row r="43" spans="1:10">
      <c r="A43" s="17">
        <v>492</v>
      </c>
      <c r="B43" s="6" t="s">
        <v>38</v>
      </c>
      <c r="C43" s="8">
        <v>0</v>
      </c>
      <c r="D43" s="10">
        <v>3725</v>
      </c>
      <c r="E43" s="10">
        <f>4255+170577</f>
        <v>174832</v>
      </c>
      <c r="F43" s="10">
        <v>12025</v>
      </c>
      <c r="G43" s="10">
        <f t="shared" si="1"/>
        <v>-159082</v>
      </c>
      <c r="H43" s="10">
        <f>1078062+852382+13600</f>
        <v>1944044</v>
      </c>
      <c r="I43" s="10">
        <f t="shared" si="2"/>
        <v>0</v>
      </c>
      <c r="J43" s="14">
        <v>0</v>
      </c>
    </row>
    <row r="44" spans="1:10">
      <c r="A44" s="17">
        <v>469</v>
      </c>
      <c r="B44" s="6" t="s">
        <v>39</v>
      </c>
      <c r="C44" s="8">
        <v>0</v>
      </c>
      <c r="D44" s="10">
        <v>-534698</v>
      </c>
      <c r="E44" s="10">
        <f>2751+118891+275333+66328</f>
        <v>463303</v>
      </c>
      <c r="F44" s="10">
        <v>9583</v>
      </c>
      <c r="G44" s="10">
        <f t="shared" si="1"/>
        <v>-988418</v>
      </c>
      <c r="H44" s="10">
        <f>1606456+1416123</f>
        <v>3022579</v>
      </c>
      <c r="I44" s="10">
        <f t="shared" si="2"/>
        <v>0</v>
      </c>
      <c r="J44" s="14">
        <v>0</v>
      </c>
    </row>
    <row r="45" spans="1:10">
      <c r="A45" s="17">
        <v>465</v>
      </c>
      <c r="B45" s="6" t="s">
        <v>40</v>
      </c>
      <c r="C45" s="8">
        <v>0</v>
      </c>
      <c r="D45" s="10">
        <v>708525</v>
      </c>
      <c r="E45" s="10">
        <v>869616</v>
      </c>
      <c r="F45" s="10">
        <v>1014</v>
      </c>
      <c r="G45" s="10">
        <f t="shared" si="1"/>
        <v>-160077</v>
      </c>
      <c r="H45" s="10">
        <v>981520</v>
      </c>
      <c r="I45" s="10">
        <f t="shared" si="2"/>
        <v>0</v>
      </c>
      <c r="J45" s="14">
        <v>0</v>
      </c>
    </row>
    <row r="46" spans="1:10">
      <c r="A46" s="17">
        <v>470</v>
      </c>
      <c r="B46" s="6" t="s">
        <v>41</v>
      </c>
      <c r="C46" s="8">
        <v>1297144</v>
      </c>
      <c r="D46" s="10">
        <v>876724</v>
      </c>
      <c r="E46" s="10">
        <f>170921+15544+130300+556345+72571+222798</f>
        <v>1168479</v>
      </c>
      <c r="F46" s="10">
        <v>420278</v>
      </c>
      <c r="G46" s="10">
        <f t="shared" si="1"/>
        <v>1425667</v>
      </c>
      <c r="H46" s="10">
        <f>3698385+3158204+498833</f>
        <v>7355422</v>
      </c>
      <c r="I46" s="10">
        <f t="shared" si="2"/>
        <v>1425667</v>
      </c>
      <c r="J46" s="14">
        <v>0</v>
      </c>
    </row>
    <row r="47" spans="1:10">
      <c r="A47" s="17">
        <v>444</v>
      </c>
      <c r="B47" s="6" t="s">
        <v>42</v>
      </c>
      <c r="C47" s="8">
        <v>0</v>
      </c>
      <c r="D47" s="10">
        <v>-584787</v>
      </c>
      <c r="E47" s="10">
        <f>672225+70715+1578</f>
        <v>744518</v>
      </c>
      <c r="F47" s="10">
        <v>18022</v>
      </c>
      <c r="G47" s="10">
        <f t="shared" si="1"/>
        <v>-1311283</v>
      </c>
      <c r="H47" s="10">
        <f>1328268+1070089</f>
        <v>2398357</v>
      </c>
      <c r="I47" s="10">
        <f t="shared" si="2"/>
        <v>0</v>
      </c>
      <c r="J47" s="14">
        <v>0</v>
      </c>
    </row>
    <row r="48" spans="1:10">
      <c r="A48" s="17">
        <v>474</v>
      </c>
      <c r="B48" s="6" t="s">
        <v>43</v>
      </c>
      <c r="C48" s="8">
        <v>94560</v>
      </c>
      <c r="D48" s="10">
        <v>-28082</v>
      </c>
      <c r="E48" s="10">
        <v>14275</v>
      </c>
      <c r="F48" s="10">
        <v>1012</v>
      </c>
      <c r="G48" s="10">
        <f t="shared" si="1"/>
        <v>53215</v>
      </c>
      <c r="H48" s="10">
        <v>1863748</v>
      </c>
      <c r="I48" s="10">
        <f t="shared" si="2"/>
        <v>53215</v>
      </c>
      <c r="J48" s="14">
        <v>0</v>
      </c>
    </row>
    <row r="49" spans="1:10">
      <c r="A49" s="17">
        <v>493</v>
      </c>
      <c r="B49" s="6" t="s">
        <v>44</v>
      </c>
      <c r="C49" s="8">
        <v>0</v>
      </c>
      <c r="D49" s="10">
        <v>103372</v>
      </c>
      <c r="E49" s="10">
        <v>214736</v>
      </c>
      <c r="F49" s="10">
        <v>48293</v>
      </c>
      <c r="G49" s="10">
        <f t="shared" si="1"/>
        <v>-63071</v>
      </c>
      <c r="H49" s="10">
        <v>1036383</v>
      </c>
      <c r="I49" s="10">
        <f t="shared" si="2"/>
        <v>0</v>
      </c>
      <c r="J49" s="14">
        <v>0</v>
      </c>
    </row>
    <row r="50" spans="1:10">
      <c r="A50" s="17">
        <v>494</v>
      </c>
      <c r="B50" s="6" t="s">
        <v>45</v>
      </c>
      <c r="C50" s="8">
        <v>8574</v>
      </c>
      <c r="D50" s="10">
        <v>425831</v>
      </c>
      <c r="E50" s="10">
        <v>189717</v>
      </c>
      <c r="F50" s="10">
        <v>64217</v>
      </c>
      <c r="G50" s="10">
        <f t="shared" si="1"/>
        <v>308905</v>
      </c>
      <c r="H50" s="10">
        <v>1746276</v>
      </c>
      <c r="I50" s="10">
        <f t="shared" si="2"/>
        <v>308905</v>
      </c>
      <c r="J50" s="14">
        <v>0</v>
      </c>
    </row>
    <row r="51" spans="1:10">
      <c r="A51" s="17">
        <v>497</v>
      </c>
      <c r="B51" s="6" t="s">
        <v>46</v>
      </c>
      <c r="C51" s="8">
        <v>219893</v>
      </c>
      <c r="D51" s="10">
        <v>197184</v>
      </c>
      <c r="E51" s="10">
        <v>38436</v>
      </c>
      <c r="F51" s="10">
        <v>0</v>
      </c>
      <c r="G51" s="10">
        <f t="shared" si="1"/>
        <v>378641</v>
      </c>
      <c r="H51" s="10">
        <v>1379523</v>
      </c>
      <c r="I51" s="10">
        <f t="shared" si="2"/>
        <v>378641</v>
      </c>
      <c r="J51" s="14">
        <v>0</v>
      </c>
    </row>
    <row r="52" spans="1:10">
      <c r="A52" s="17">
        <v>479</v>
      </c>
      <c r="B52" s="6" t="s">
        <v>47</v>
      </c>
      <c r="C52" s="8">
        <v>0</v>
      </c>
      <c r="D52" s="10">
        <v>-91334</v>
      </c>
      <c r="E52" s="10">
        <f>44572+4365+20018</f>
        <v>68955</v>
      </c>
      <c r="F52" s="10">
        <f>4662+16061</f>
        <v>20723</v>
      </c>
      <c r="G52" s="10">
        <f t="shared" si="1"/>
        <v>-139566</v>
      </c>
      <c r="H52" s="10">
        <f>1133824+965389+9800</f>
        <v>2109013</v>
      </c>
      <c r="I52" s="10">
        <f t="shared" si="2"/>
        <v>0</v>
      </c>
      <c r="J52" s="14">
        <v>0</v>
      </c>
    </row>
    <row r="53" spans="1:10">
      <c r="A53" s="17">
        <v>487</v>
      </c>
      <c r="B53" s="6" t="s">
        <v>48</v>
      </c>
      <c r="C53" s="8">
        <v>1155489</v>
      </c>
      <c r="D53" s="10">
        <v>889018</v>
      </c>
      <c r="E53" s="10">
        <v>864633</v>
      </c>
      <c r="F53" s="10">
        <v>889900</v>
      </c>
      <c r="G53" s="10">
        <f t="shared" si="1"/>
        <v>2069774</v>
      </c>
      <c r="H53" s="10">
        <v>7572379</v>
      </c>
      <c r="I53" s="10">
        <f t="shared" si="2"/>
        <v>2069774</v>
      </c>
      <c r="J53" s="14">
        <v>0</v>
      </c>
    </row>
    <row r="54" spans="1:10">
      <c r="A54" s="17">
        <v>483</v>
      </c>
      <c r="B54" s="6" t="s">
        <v>49</v>
      </c>
      <c r="C54" s="8">
        <v>48742</v>
      </c>
      <c r="D54" s="5">
        <v>-2717</v>
      </c>
      <c r="E54" s="5">
        <f>541+2394+7981+73750+38714</f>
        <v>123380</v>
      </c>
      <c r="F54" s="5">
        <v>44391</v>
      </c>
      <c r="G54" s="5">
        <f t="shared" si="1"/>
        <v>-32964</v>
      </c>
      <c r="H54" s="5">
        <f>973352+1068852+32600</f>
        <v>2074804</v>
      </c>
      <c r="I54" s="5">
        <f t="shared" si="2"/>
        <v>0</v>
      </c>
      <c r="J54" s="14">
        <v>0</v>
      </c>
    </row>
    <row r="55" spans="1:10">
      <c r="A55" s="17">
        <v>482</v>
      </c>
      <c r="B55" s="6" t="s">
        <v>50</v>
      </c>
      <c r="C55" s="8">
        <v>0</v>
      </c>
      <c r="D55" s="5">
        <v>79010</v>
      </c>
      <c r="E55" s="5">
        <f>3975+4800+10301+23678</f>
        <v>42754</v>
      </c>
      <c r="F55" s="5">
        <v>29394</v>
      </c>
      <c r="G55" s="5">
        <f t="shared" si="1"/>
        <v>65650</v>
      </c>
      <c r="H55" s="5">
        <f>802425+664023</f>
        <v>1466448</v>
      </c>
      <c r="I55" s="5">
        <f t="shared" si="2"/>
        <v>65650</v>
      </c>
      <c r="J55" s="14">
        <v>0</v>
      </c>
    </row>
    <row r="56" spans="1:10">
      <c r="A56" s="17">
        <v>484</v>
      </c>
      <c r="B56" s="6" t="s">
        <v>51</v>
      </c>
      <c r="C56" s="8">
        <v>0</v>
      </c>
      <c r="D56" s="5">
        <v>-132653</v>
      </c>
      <c r="E56" s="5">
        <f>1031840+67110</f>
        <v>1098950</v>
      </c>
      <c r="F56" s="5">
        <v>67181</v>
      </c>
      <c r="G56" s="5">
        <f t="shared" si="1"/>
        <v>-1164422</v>
      </c>
      <c r="H56" s="5">
        <f>775321+818874</f>
        <v>1594195</v>
      </c>
      <c r="I56" s="5">
        <f t="shared" si="2"/>
        <v>0</v>
      </c>
      <c r="J56" s="14">
        <v>0</v>
      </c>
    </row>
    <row r="57" spans="1:10">
      <c r="A57" s="17">
        <v>441</v>
      </c>
      <c r="B57" s="6" t="s">
        <v>52</v>
      </c>
      <c r="C57" s="8">
        <v>0</v>
      </c>
      <c r="D57" s="5">
        <v>402172</v>
      </c>
      <c r="E57" s="5">
        <f>131431+390000+143372+120000</f>
        <v>784803</v>
      </c>
      <c r="F57" s="5">
        <v>58006</v>
      </c>
      <c r="G57" s="5">
        <f t="shared" si="1"/>
        <v>-324625</v>
      </c>
      <c r="H57" s="5">
        <f>4082417+3431324+49291</f>
        <v>7563032</v>
      </c>
      <c r="I57" s="5">
        <f t="shared" si="2"/>
        <v>0</v>
      </c>
      <c r="J57" s="14">
        <v>0</v>
      </c>
    </row>
    <row r="58" spans="1:10">
      <c r="A58" s="17">
        <v>485</v>
      </c>
      <c r="B58" s="6" t="s">
        <v>53</v>
      </c>
      <c r="C58" s="8">
        <v>0</v>
      </c>
      <c r="D58" s="5">
        <v>-499</v>
      </c>
      <c r="E58" s="5">
        <f>10422+442+24639+44059+234073</f>
        <v>313635</v>
      </c>
      <c r="F58" s="5">
        <f>353+3454</f>
        <v>3807</v>
      </c>
      <c r="G58" s="5">
        <f t="shared" si="1"/>
        <v>-310327</v>
      </c>
      <c r="H58" s="5">
        <f>890939+829400</f>
        <v>1720339</v>
      </c>
      <c r="I58" s="5">
        <f t="shared" si="2"/>
        <v>0</v>
      </c>
      <c r="J58" s="14">
        <v>0</v>
      </c>
    </row>
    <row r="59" spans="1:10">
      <c r="A59" s="17">
        <v>486</v>
      </c>
      <c r="B59" s="6" t="s">
        <v>54</v>
      </c>
      <c r="C59" s="8">
        <v>0</v>
      </c>
      <c r="D59" s="5">
        <v>221585</v>
      </c>
      <c r="E59" s="5">
        <f>74601+504+229921+35732+23004+6691</f>
        <v>370453</v>
      </c>
      <c r="F59" s="5">
        <f>39601+19285</f>
        <v>58886</v>
      </c>
      <c r="G59" s="5">
        <f>(C59+D59)-E59+F59</f>
        <v>-89982</v>
      </c>
      <c r="H59" s="5">
        <f>1885565+1545219+12000</f>
        <v>3442784</v>
      </c>
      <c r="I59" s="5">
        <f t="shared" si="2"/>
        <v>0</v>
      </c>
      <c r="J59" s="14">
        <v>0</v>
      </c>
    </row>
    <row r="60" spans="1:10">
      <c r="A60" s="17">
        <v>419</v>
      </c>
      <c r="B60" s="6" t="s">
        <v>55</v>
      </c>
      <c r="C60" s="8">
        <v>0</v>
      </c>
      <c r="D60" s="5">
        <v>74355</v>
      </c>
      <c r="E60" s="5">
        <f>83417+22453</f>
        <v>105870</v>
      </c>
      <c r="F60" s="5">
        <f>7419+11011</f>
        <v>18430</v>
      </c>
      <c r="G60" s="5">
        <f t="shared" ref="G60:G63" si="3">(C60+D60)-E60+F60</f>
        <v>-13085</v>
      </c>
      <c r="H60" s="5">
        <f>676975+592308</f>
        <v>1269283</v>
      </c>
      <c r="I60" s="5">
        <f t="shared" si="2"/>
        <v>0</v>
      </c>
      <c r="J60" s="14">
        <v>0</v>
      </c>
    </row>
    <row r="61" spans="1:10">
      <c r="A61" s="17">
        <v>488</v>
      </c>
      <c r="B61" s="6" t="s">
        <v>56</v>
      </c>
      <c r="C61" s="8">
        <v>0</v>
      </c>
      <c r="D61" s="5">
        <v>-16035</v>
      </c>
      <c r="E61" s="5">
        <f>50000+9206+175724</f>
        <v>234930</v>
      </c>
      <c r="F61" s="5">
        <f>96250+9302</f>
        <v>105552</v>
      </c>
      <c r="G61" s="5">
        <f t="shared" si="3"/>
        <v>-145413</v>
      </c>
      <c r="H61" s="5">
        <f>1495847+1229736</f>
        <v>2725583</v>
      </c>
      <c r="I61" s="5">
        <f t="shared" si="2"/>
        <v>0</v>
      </c>
      <c r="J61" s="14">
        <v>0</v>
      </c>
    </row>
    <row r="62" spans="1:10">
      <c r="A62" s="17">
        <v>476</v>
      </c>
      <c r="B62" s="6" t="s">
        <v>57</v>
      </c>
      <c r="C62" s="8">
        <v>0</v>
      </c>
      <c r="D62" s="5">
        <v>-74898</v>
      </c>
      <c r="E62" s="5">
        <f>2500+33899</f>
        <v>36399</v>
      </c>
      <c r="F62" s="5">
        <v>33539</v>
      </c>
      <c r="G62" s="5">
        <f t="shared" si="3"/>
        <v>-77758</v>
      </c>
      <c r="H62" s="5">
        <f>338760+601135</f>
        <v>939895</v>
      </c>
      <c r="I62" s="5">
        <f t="shared" si="2"/>
        <v>0</v>
      </c>
      <c r="J62" s="14">
        <v>0</v>
      </c>
    </row>
    <row r="63" spans="1:10">
      <c r="A63" s="17">
        <v>489</v>
      </c>
      <c r="B63" s="6" t="s">
        <v>58</v>
      </c>
      <c r="C63" s="8">
        <v>0</v>
      </c>
      <c r="D63" s="5">
        <v>210199</v>
      </c>
      <c r="E63" s="5">
        <f>10426+613319</f>
        <v>623745</v>
      </c>
      <c r="F63" s="5">
        <v>2891</v>
      </c>
      <c r="G63" s="5">
        <f t="shared" si="3"/>
        <v>-410655</v>
      </c>
      <c r="H63" s="5">
        <f>2006467+2003598</f>
        <v>4010065</v>
      </c>
      <c r="I63" s="5">
        <f t="shared" si="2"/>
        <v>0</v>
      </c>
      <c r="J63" s="14">
        <v>0</v>
      </c>
    </row>
    <row r="64" spans="1:10">
      <c r="C64" s="9"/>
    </row>
  </sheetData>
  <mergeCells count="1">
    <mergeCell ref="A1:J1"/>
  </mergeCells>
  <pageMargins left="0.7" right="0.7" top="0.75" bottom="0.75" header="0.3" footer="0.3"/>
  <pageSetup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FY11</vt:lpstr>
      <vt:lpstr>FY12</vt:lpstr>
      <vt:lpstr>'FY12'!Print_Area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FY2011-2012 Massachusetts Commonwealth Charter Schools Excess Surplus Report</dc:title>
  <dc:subject/>
  <dc:creator>ESE</dc:creator>
  <cp:lastModifiedBy>dzou</cp:lastModifiedBy>
  <cp:lastPrinted>2013-05-15T14:15:38Z</cp:lastPrinted>
  <dcterms:created xsi:type="dcterms:W3CDTF">2012-07-12T18:26:32Z</dcterms:created>
  <dcterms:modified xsi:type="dcterms:W3CDTF">2016-01-15T19:27:01Z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4 2013</vt:lpwstr>
  </property>
</Properties>
</file>