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defaultThemeVersion="124226"/>
  <mc:AlternateContent xmlns:mc="http://schemas.openxmlformats.org/markup-compatibility/2006">
    <mc:Choice Requires="x15">
      <x15ac:absPath xmlns:x15ac="http://schemas.microsoft.com/office/spreadsheetml/2010/11/ac" url="C:\Users\dzou\Desktop\16119\"/>
    </mc:Choice>
  </mc:AlternateContent>
  <xr:revisionPtr revIDLastSave="0" documentId="13_ncr:1_{3D1DA2C5-E781-4894-82D2-A4012D368D00}" xr6:coauthVersionLast="41" xr6:coauthVersionMax="41" xr10:uidLastSave="{00000000-0000-0000-0000-000000000000}"/>
  <bookViews>
    <workbookView xWindow="-120" yWindow="-120" windowWidth="29040" windowHeight="15840" tabRatio="665" xr2:uid="{00000000-000D-0000-FFFF-FFFF00000000}"/>
  </bookViews>
  <sheets>
    <sheet name="FY20 Final Allocations" sheetId="28" r:id="rId1"/>
    <sheet name="FY20 Budget Assumptions" sheetId="24" r:id="rId2"/>
    <sheet name="Per Pupil Hold Harmless Calc" sheetId="30" r:id="rId3"/>
    <sheet name="Enrollment Trend" sheetId="29" state="hidden" r:id="rId4"/>
    <sheet name="FY19 grant final" sheetId="31" state="hidden" r:id="rId5"/>
    <sheet name="FY19 Budget Assumptions" sheetId="32" state="hidden" r:id="rId6"/>
    <sheet name="FY19 METCO SIMS" sheetId="26" state="hidden" r:id="rId7"/>
    <sheet name="FY18 METCO SIMS" sheetId="23" state="hidden" r:id="rId8"/>
  </sheets>
  <externalReferences>
    <externalReference r:id="rId9"/>
    <externalReference r:id="rId10"/>
    <externalReference r:id="rId11"/>
    <externalReference r:id="rId12"/>
  </externalReferences>
  <definedNames>
    <definedName name="_xlnm._FilterDatabase" localSheetId="3" hidden="1">'Enrollment Trend'!$A$3:$H$40</definedName>
    <definedName name="_xlnm._FilterDatabase" localSheetId="7" hidden="1">'FY18 METCO SIMS'!$A$2:$S$2</definedName>
    <definedName name="_xlnm._FilterDatabase" localSheetId="4" hidden="1">'FY19 grant final'!$A$9:$L$47</definedName>
    <definedName name="_xlnm._FilterDatabase" localSheetId="6" hidden="1">'FY19 METCO SIMS'!$A$1:$AB$38</definedName>
    <definedName name="_xlnm._FilterDatabase" localSheetId="0" hidden="1">'FY20 Final Allocations'!$A$2:$H$40</definedName>
    <definedName name="_Order1" hidden="1">255</definedName>
    <definedName name="base" localSheetId="3">#REF!</definedName>
    <definedName name="base" localSheetId="0">#REF!</definedName>
    <definedName name="base">#REF!</definedName>
    <definedName name="base1">#REF!</definedName>
    <definedName name="DATA">'FY20 Final Allocations'!$A$3:$H$39</definedName>
    <definedName name="district.name">[1]Sheet3!$A$1:$B$527</definedName>
    <definedName name="enro">'Enrollment Trend'!$A$3:$H$40</definedName>
    <definedName name="PPHH">'Per Pupil Hold Harmless Calc'!$A$4:$P$40</definedName>
    <definedName name="_xlnm.Print_Area" localSheetId="3">'Enrollment Trend'!$A$1:$F$41</definedName>
    <definedName name="_xlnm.Print_Area" localSheetId="4">'FY19 grant final'!$A$1:$L$51</definedName>
    <definedName name="_xlnm.Print_Area" localSheetId="0">'FY20 Final Allocations'!$A$1:$H$45</definedName>
    <definedName name="rown" localSheetId="3">[2]budget!A:A L A I M F O [2]budget!1:1 [3]M!$E$3</definedName>
    <definedName name="rown" localSheetId="0">#REF! L A I M F O #REF! [3]M!$E$3</definedName>
    <definedName name="rown">#REF! L A I M F O #REF! [3]M!$E$3</definedName>
    <definedName name="rown1">[4]budget!A:A L A I M F O [4]budget!1:1 [3]M!$E$3</definedName>
    <definedName name="supp" localSheetId="3">#REF!</definedName>
    <definedName name="supp" localSheetId="0">#REF!</definedName>
    <definedName name="supp">#REF!</definedName>
    <definedName name="supp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28" l="1"/>
  <c r="D44" i="28" s="1"/>
  <c r="G5" i="30" l="1"/>
  <c r="G6" i="30"/>
  <c r="G7" i="30"/>
  <c r="G8" i="30"/>
  <c r="G9" i="30"/>
  <c r="G10" i="30"/>
  <c r="G11" i="30"/>
  <c r="G12" i="30"/>
  <c r="G13" i="30"/>
  <c r="G14" i="30"/>
  <c r="G15" i="30"/>
  <c r="G16" i="30"/>
  <c r="G17" i="30"/>
  <c r="G19" i="30"/>
  <c r="G20" i="30"/>
  <c r="G21" i="30"/>
  <c r="G22" i="30"/>
  <c r="G23" i="30"/>
  <c r="G24" i="30"/>
  <c r="G25" i="30"/>
  <c r="G26" i="30"/>
  <c r="G27" i="30"/>
  <c r="G28" i="30"/>
  <c r="G29" i="30"/>
  <c r="G30" i="30"/>
  <c r="G31" i="30"/>
  <c r="G32" i="30"/>
  <c r="G33" i="30"/>
  <c r="G34" i="30"/>
  <c r="G35" i="30"/>
  <c r="G36" i="30"/>
  <c r="G37" i="30"/>
  <c r="G38" i="30"/>
  <c r="G39" i="30"/>
  <c r="G40" i="30"/>
  <c r="F42" i="30"/>
  <c r="H43" i="28" l="1"/>
  <c r="B7" i="24"/>
  <c r="E4" i="30" l="1"/>
  <c r="G4" i="30" s="1"/>
  <c r="E18" i="30"/>
  <c r="G18" i="30" s="1"/>
  <c r="G42" i="30" l="1"/>
  <c r="E42" i="30"/>
  <c r="B8" i="32"/>
  <c r="B12" i="32"/>
  <c r="E10" i="31"/>
  <c r="J10" i="31"/>
  <c r="E11" i="31"/>
  <c r="J11" i="31"/>
  <c r="J47" i="31" s="1"/>
  <c r="B6" i="32" s="1"/>
  <c r="E12" i="31"/>
  <c r="E13" i="31"/>
  <c r="E14" i="31"/>
  <c r="E15" i="31"/>
  <c r="E16" i="31"/>
  <c r="E17" i="31"/>
  <c r="E18" i="31"/>
  <c r="E19" i="31"/>
  <c r="E20" i="31"/>
  <c r="E21" i="31"/>
  <c r="E22" i="31"/>
  <c r="E23" i="31"/>
  <c r="E24" i="31"/>
  <c r="J24" i="31"/>
  <c r="E25" i="31"/>
  <c r="E26" i="31"/>
  <c r="E27" i="31"/>
  <c r="E28" i="31"/>
  <c r="E29" i="31"/>
  <c r="E30" i="31"/>
  <c r="E31" i="31"/>
  <c r="E32" i="31"/>
  <c r="E33" i="31"/>
  <c r="E34" i="31"/>
  <c r="E35" i="31"/>
  <c r="E36" i="31"/>
  <c r="E37" i="31"/>
  <c r="E38" i="31"/>
  <c r="E39" i="31"/>
  <c r="E40" i="31"/>
  <c r="E41" i="31"/>
  <c r="E42" i="31"/>
  <c r="E43" i="31"/>
  <c r="E44" i="31"/>
  <c r="E45" i="31"/>
  <c r="E46" i="31"/>
  <c r="F47" i="31"/>
  <c r="G47" i="31"/>
  <c r="I47" i="31"/>
  <c r="B5" i="32" s="1"/>
  <c r="D48" i="31"/>
  <c r="L48" i="31"/>
  <c r="C48" i="31" s="1"/>
  <c r="K35" i="31" l="1"/>
  <c r="L35" i="31" s="1"/>
  <c r="K12" i="31"/>
  <c r="L12" i="31" s="1"/>
  <c r="K10" i="31"/>
  <c r="L10" i="31" s="1"/>
  <c r="K38" i="31"/>
  <c r="L38" i="31" s="1"/>
  <c r="K45" i="31"/>
  <c r="L45" i="31" s="1"/>
  <c r="E47" i="31"/>
  <c r="K50" i="31" s="1"/>
  <c r="K13" i="31" s="1"/>
  <c r="L13" i="31" s="1"/>
  <c r="K20" i="31" l="1"/>
  <c r="L20" i="31" s="1"/>
  <c r="K32" i="31"/>
  <c r="L32" i="31" s="1"/>
  <c r="D13" i="31"/>
  <c r="C13" i="31"/>
  <c r="C12" i="31"/>
  <c r="D12" i="31"/>
  <c r="K11" i="31"/>
  <c r="L11" i="31" s="1"/>
  <c r="C45" i="31"/>
  <c r="D45" i="31"/>
  <c r="D38" i="31"/>
  <c r="C38" i="31"/>
  <c r="D32" i="31"/>
  <c r="C32" i="31"/>
  <c r="K16" i="31"/>
  <c r="L16" i="31" s="1"/>
  <c r="K30" i="31"/>
  <c r="L30" i="31" s="1"/>
  <c r="K40" i="31"/>
  <c r="L40" i="31" s="1"/>
  <c r="K31" i="31"/>
  <c r="L31" i="31" s="1"/>
  <c r="K46" i="31"/>
  <c r="L46" i="31" s="1"/>
  <c r="K39" i="31"/>
  <c r="L39" i="31" s="1"/>
  <c r="K27" i="31"/>
  <c r="L27" i="31" s="1"/>
  <c r="K29" i="31"/>
  <c r="L29" i="31" s="1"/>
  <c r="K18" i="31"/>
  <c r="L18" i="31" s="1"/>
  <c r="D10" i="31"/>
  <c r="C10" i="31"/>
  <c r="C20" i="31"/>
  <c r="D20" i="31"/>
  <c r="D35" i="31"/>
  <c r="C35" i="31"/>
  <c r="K34" i="31"/>
  <c r="L34" i="31" s="1"/>
  <c r="K42" i="31"/>
  <c r="L42" i="31" s="1"/>
  <c r="K15" i="31"/>
  <c r="L15" i="31" s="1"/>
  <c r="K23" i="31"/>
  <c r="L23" i="31" s="1"/>
  <c r="K26" i="31"/>
  <c r="L26" i="31" s="1"/>
  <c r="K44" i="31"/>
  <c r="L44" i="31" s="1"/>
  <c r="K22" i="31"/>
  <c r="L22" i="31" s="1"/>
  <c r="K17" i="31"/>
  <c r="L17" i="31" s="1"/>
  <c r="K28" i="31"/>
  <c r="L28" i="31" s="1"/>
  <c r="K36" i="31"/>
  <c r="L36" i="31" s="1"/>
  <c r="K14" i="31"/>
  <c r="L14" i="31" s="1"/>
  <c r="K25" i="31"/>
  <c r="L25" i="31" s="1"/>
  <c r="K33" i="31"/>
  <c r="L33" i="31" s="1"/>
  <c r="K41" i="31"/>
  <c r="L41" i="31" s="1"/>
  <c r="K24" i="31"/>
  <c r="L24" i="31" s="1"/>
  <c r="K37" i="31"/>
  <c r="L37" i="31" s="1"/>
  <c r="K19" i="31"/>
  <c r="L19" i="31" s="1"/>
  <c r="K43" i="31"/>
  <c r="L43" i="31" s="1"/>
  <c r="K21" i="31"/>
  <c r="L21" i="31" s="1"/>
  <c r="D40" i="31" l="1"/>
  <c r="C40" i="31"/>
  <c r="C31" i="31"/>
  <c r="D31" i="31"/>
  <c r="C11" i="31"/>
  <c r="D11" i="31"/>
  <c r="C14" i="31"/>
  <c r="D14" i="31"/>
  <c r="C36" i="31"/>
  <c r="D36" i="31"/>
  <c r="D16" i="31"/>
  <c r="C16" i="31"/>
  <c r="K47" i="31"/>
  <c r="C19" i="31"/>
  <c r="D19" i="31"/>
  <c r="D28" i="31"/>
  <c r="C28" i="31"/>
  <c r="C34" i="31"/>
  <c r="D34" i="31"/>
  <c r="C29" i="31"/>
  <c r="D29" i="31"/>
  <c r="C33" i="31"/>
  <c r="D33" i="31"/>
  <c r="C23" i="31"/>
  <c r="D23" i="31"/>
  <c r="D30" i="31"/>
  <c r="C30" i="31"/>
  <c r="C42" i="31"/>
  <c r="D42" i="31"/>
  <c r="C37" i="31"/>
  <c r="D37" i="31"/>
  <c r="D24" i="31"/>
  <c r="C24" i="31"/>
  <c r="C39" i="31"/>
  <c r="D39" i="31"/>
  <c r="C26" i="31"/>
  <c r="D26" i="31"/>
  <c r="C25" i="31"/>
  <c r="D25" i="31"/>
  <c r="D21" i="31"/>
  <c r="C21" i="31"/>
  <c r="C15" i="31"/>
  <c r="D15" i="31"/>
  <c r="D43" i="31"/>
  <c r="C43" i="31"/>
  <c r="C18" i="31"/>
  <c r="D18" i="31"/>
  <c r="D17" i="31"/>
  <c r="C17" i="31"/>
  <c r="D27" i="31"/>
  <c r="C27" i="31"/>
  <c r="C22" i="31"/>
  <c r="D22" i="31"/>
  <c r="C41" i="31"/>
  <c r="D41" i="31"/>
  <c r="C44" i="31"/>
  <c r="D44" i="31"/>
  <c r="D46" i="31"/>
  <c r="C46" i="31"/>
  <c r="B7" i="32" l="1"/>
  <c r="B9" i="32" s="1"/>
  <c r="L47" i="31"/>
  <c r="C47" i="31" l="1"/>
  <c r="D47" i="31"/>
  <c r="L51" i="31"/>
  <c r="H42" i="28" l="1"/>
  <c r="G5" i="24"/>
  <c r="G4" i="24"/>
  <c r="G6" i="24" s="1"/>
  <c r="C18" i="30" l="1"/>
  <c r="C5" i="30"/>
  <c r="C4" i="30"/>
  <c r="C42" i="30" l="1"/>
  <c r="C44" i="28"/>
  <c r="E4" i="28" l="1"/>
  <c r="E5" i="28"/>
  <c r="E6"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3" i="28"/>
  <c r="D4" i="29"/>
  <c r="C4" i="29" s="1"/>
  <c r="D5" i="29"/>
  <c r="C5" i="29" s="1"/>
  <c r="D6" i="29"/>
  <c r="C6" i="29" s="1"/>
  <c r="D7" i="29"/>
  <c r="C7" i="29" s="1"/>
  <c r="D8" i="29"/>
  <c r="C8" i="29" s="1"/>
  <c r="D9" i="29"/>
  <c r="C9" i="29" s="1"/>
  <c r="D35" i="29"/>
  <c r="C35" i="29" s="1"/>
  <c r="D10" i="29"/>
  <c r="C10" i="29" s="1"/>
  <c r="D36" i="29"/>
  <c r="C36" i="29" s="1"/>
  <c r="D11" i="29"/>
  <c r="C11" i="29" s="1"/>
  <c r="D12" i="29"/>
  <c r="C12" i="29" s="1"/>
  <c r="D37" i="29"/>
  <c r="D13" i="29"/>
  <c r="C13" i="29" s="1"/>
  <c r="D14" i="29"/>
  <c r="C14" i="29" s="1"/>
  <c r="D15" i="29"/>
  <c r="C15" i="29" s="1"/>
  <c r="D38" i="29"/>
  <c r="C38" i="29" s="1"/>
  <c r="D16" i="29"/>
  <c r="C16" i="29" s="1"/>
  <c r="D17" i="29"/>
  <c r="C17" i="29" s="1"/>
  <c r="D18" i="29"/>
  <c r="C18" i="29" s="1"/>
  <c r="D19" i="29"/>
  <c r="C19" i="29" s="1"/>
  <c r="D20" i="29"/>
  <c r="C20" i="29" s="1"/>
  <c r="D21" i="29"/>
  <c r="C21" i="29" s="1"/>
  <c r="D22" i="29"/>
  <c r="C22" i="29" s="1"/>
  <c r="D23" i="29"/>
  <c r="C23" i="29" s="1"/>
  <c r="D24" i="29"/>
  <c r="C24" i="29" s="1"/>
  <c r="D25" i="29"/>
  <c r="C25" i="29" s="1"/>
  <c r="D26" i="29"/>
  <c r="C26" i="29" s="1"/>
  <c r="D39" i="29"/>
  <c r="C39" i="29" s="1"/>
  <c r="D27" i="29"/>
  <c r="C27" i="29" s="1"/>
  <c r="D28" i="29"/>
  <c r="C28" i="29" s="1"/>
  <c r="D29" i="29"/>
  <c r="C29" i="29" s="1"/>
  <c r="D30" i="29"/>
  <c r="C30" i="29" s="1"/>
  <c r="D31" i="29"/>
  <c r="C31" i="29" s="1"/>
  <c r="D32" i="29"/>
  <c r="C32" i="29" s="1"/>
  <c r="D33" i="29"/>
  <c r="C33" i="29" s="1"/>
  <c r="D34" i="29"/>
  <c r="F39" i="28" s="1"/>
  <c r="D3" i="29"/>
  <c r="C3" i="29" s="1"/>
  <c r="E40" i="29"/>
  <c r="F40" i="29"/>
  <c r="G40" i="29"/>
  <c r="F28" i="28" l="1"/>
  <c r="C37" i="29"/>
  <c r="F15" i="28"/>
  <c r="G15" i="28" s="1"/>
  <c r="H16" i="30" s="1"/>
  <c r="F16" i="28"/>
  <c r="G16" i="28" s="1"/>
  <c r="H17" i="30" s="1"/>
  <c r="G28" i="28"/>
  <c r="H29" i="30" s="1"/>
  <c r="C34" i="29"/>
  <c r="C40" i="29" s="1"/>
  <c r="F12" i="28"/>
  <c r="G12" i="28" s="1"/>
  <c r="H13" i="30" s="1"/>
  <c r="F32" i="28"/>
  <c r="G32" i="28" s="1"/>
  <c r="H33" i="30" s="1"/>
  <c r="G39" i="28"/>
  <c r="H40" i="30" s="1"/>
  <c r="D40" i="29"/>
  <c r="E40" i="28"/>
  <c r="F38" i="28"/>
  <c r="G38" i="28" s="1"/>
  <c r="H39" i="30" s="1"/>
  <c r="F35" i="28"/>
  <c r="G35" i="28" s="1"/>
  <c r="H36" i="30" s="1"/>
  <c r="F25" i="28"/>
  <c r="G25" i="28" s="1"/>
  <c r="H26" i="30" s="1"/>
  <c r="F22" i="28"/>
  <c r="G22" i="28" s="1"/>
  <c r="H23" i="30" s="1"/>
  <c r="F19" i="28"/>
  <c r="G19" i="28" s="1"/>
  <c r="H20" i="30" s="1"/>
  <c r="F9" i="28"/>
  <c r="G9" i="28" s="1"/>
  <c r="H10" i="30" s="1"/>
  <c r="F6" i="28"/>
  <c r="G6" i="28" s="1"/>
  <c r="H7" i="30" s="1"/>
  <c r="F37" i="28"/>
  <c r="G37" i="28" s="1"/>
  <c r="H38" i="30" s="1"/>
  <c r="F34" i="28"/>
  <c r="G34" i="28" s="1"/>
  <c r="H35" i="30" s="1"/>
  <c r="F31" i="28"/>
  <c r="G31" i="28" s="1"/>
  <c r="H32" i="30" s="1"/>
  <c r="F21" i="28"/>
  <c r="G21" i="28" s="1"/>
  <c r="H22" i="30" s="1"/>
  <c r="F18" i="28"/>
  <c r="G18" i="28" s="1"/>
  <c r="H19" i="30" s="1"/>
  <c r="F5" i="28"/>
  <c r="G5" i="28" s="1"/>
  <c r="H6" i="30" s="1"/>
  <c r="F3" i="28"/>
  <c r="G3" i="28" s="1"/>
  <c r="H4" i="30" s="1"/>
  <c r="F24" i="28"/>
  <c r="G24" i="28" s="1"/>
  <c r="H25" i="30" s="1"/>
  <c r="F8" i="28"/>
  <c r="G8" i="28" s="1"/>
  <c r="H9" i="30" s="1"/>
  <c r="F33" i="28"/>
  <c r="G33" i="28" s="1"/>
  <c r="H34" i="30" s="1"/>
  <c r="F30" i="28"/>
  <c r="G30" i="28" s="1"/>
  <c r="H31" i="30" s="1"/>
  <c r="F27" i="28"/>
  <c r="G27" i="28" s="1"/>
  <c r="H28" i="30" s="1"/>
  <c r="F17" i="28"/>
  <c r="G17" i="28" s="1"/>
  <c r="H18" i="30" s="1"/>
  <c r="F14" i="28"/>
  <c r="G14" i="28" s="1"/>
  <c r="H15" i="30" s="1"/>
  <c r="F11" i="28"/>
  <c r="G11" i="28" s="1"/>
  <c r="H12" i="30" s="1"/>
  <c r="F4" i="28"/>
  <c r="G4" i="28" s="1"/>
  <c r="H5" i="30" s="1"/>
  <c r="F36" i="28"/>
  <c r="G36" i="28" s="1"/>
  <c r="H37" i="30" s="1"/>
  <c r="F20" i="28"/>
  <c r="G20" i="28" s="1"/>
  <c r="H21" i="30" s="1"/>
  <c r="F29" i="28"/>
  <c r="G29" i="28" s="1"/>
  <c r="H30" i="30" s="1"/>
  <c r="F26" i="28"/>
  <c r="G26" i="28" s="1"/>
  <c r="H27" i="30" s="1"/>
  <c r="F23" i="28"/>
  <c r="G23" i="28" s="1"/>
  <c r="H24" i="30" s="1"/>
  <c r="F13" i="28"/>
  <c r="G13" i="28" s="1"/>
  <c r="H14" i="30" s="1"/>
  <c r="F10" i="28"/>
  <c r="G10" i="28" s="1"/>
  <c r="H11" i="30" s="1"/>
  <c r="F7" i="28"/>
  <c r="G7" i="28" s="1"/>
  <c r="H8" i="30" s="1"/>
  <c r="K20" i="30" l="1"/>
  <c r="D20" i="30"/>
  <c r="D38" i="30"/>
  <c r="K38" i="30"/>
  <c r="K25" i="30"/>
  <c r="D25" i="30"/>
  <c r="K12" i="30"/>
  <c r="D12" i="30"/>
  <c r="D14" i="30"/>
  <c r="K14" i="30"/>
  <c r="D28" i="30"/>
  <c r="K28" i="30"/>
  <c r="D26" i="30"/>
  <c r="K26" i="30"/>
  <c r="K37" i="30"/>
  <c r="D37" i="30"/>
  <c r="K8" i="30"/>
  <c r="D8" i="30"/>
  <c r="K5" i="30"/>
  <c r="D5" i="30"/>
  <c r="D11" i="30"/>
  <c r="K11" i="30"/>
  <c r="D10" i="30"/>
  <c r="K10" i="30"/>
  <c r="K27" i="30"/>
  <c r="D27" i="30"/>
  <c r="D22" i="30"/>
  <c r="K22" i="30"/>
  <c r="D30" i="30"/>
  <c r="K30" i="30"/>
  <c r="D31" i="30"/>
  <c r="K31" i="30"/>
  <c r="K32" i="30"/>
  <c r="D32" i="30"/>
  <c r="K36" i="30"/>
  <c r="D36" i="30"/>
  <c r="K9" i="30"/>
  <c r="D9" i="30"/>
  <c r="K7" i="30"/>
  <c r="D7" i="30"/>
  <c r="H42" i="30"/>
  <c r="K4" i="30"/>
  <c r="D4" i="30"/>
  <c r="K21" i="30"/>
  <c r="D21" i="30"/>
  <c r="D34" i="30"/>
  <c r="K34" i="30"/>
  <c r="K35" i="30"/>
  <c r="D35" i="30"/>
  <c r="K39" i="30"/>
  <c r="D39" i="30"/>
  <c r="K29" i="30"/>
  <c r="D29" i="30"/>
  <c r="K17" i="30"/>
  <c r="D17" i="30"/>
  <c r="D16" i="30"/>
  <c r="K16" i="30"/>
  <c r="D40" i="30"/>
  <c r="K40" i="30"/>
  <c r="K33" i="30"/>
  <c r="D33" i="30"/>
  <c r="K15" i="30"/>
  <c r="D15" i="30"/>
  <c r="D6" i="30"/>
  <c r="K6" i="30"/>
  <c r="D24" i="30"/>
  <c r="K24" i="30"/>
  <c r="K18" i="30"/>
  <c r="D18" i="30"/>
  <c r="K19" i="30"/>
  <c r="D19" i="30"/>
  <c r="K23" i="30"/>
  <c r="D23" i="30"/>
  <c r="K13" i="30"/>
  <c r="D13" i="30"/>
  <c r="G40" i="28"/>
  <c r="F40" i="28"/>
  <c r="D42" i="30" l="1"/>
  <c r="C44" i="30"/>
  <c r="I4" i="30" s="1"/>
  <c r="K42" i="30"/>
  <c r="N43" i="30" s="1"/>
  <c r="J4" i="30" l="1"/>
  <c r="I25" i="30"/>
  <c r="J25" i="30" s="1"/>
  <c r="I11" i="30"/>
  <c r="J11" i="30" s="1"/>
  <c r="I9" i="30"/>
  <c r="J9" i="30" s="1"/>
  <c r="I35" i="30"/>
  <c r="J35" i="30" s="1"/>
  <c r="I6" i="30"/>
  <c r="J6" i="30" s="1"/>
  <c r="I28" i="30"/>
  <c r="J28" i="30" s="1"/>
  <c r="I22" i="30"/>
  <c r="J22" i="30" s="1"/>
  <c r="I17" i="30"/>
  <c r="J17" i="30" s="1"/>
  <c r="I19" i="30"/>
  <c r="J19" i="30" s="1"/>
  <c r="I20" i="30"/>
  <c r="J20" i="30" s="1"/>
  <c r="I8" i="30"/>
  <c r="J8" i="30" s="1"/>
  <c r="I32" i="30"/>
  <c r="J32" i="30" s="1"/>
  <c r="I12" i="30"/>
  <c r="J12" i="30" s="1"/>
  <c r="I10" i="30"/>
  <c r="J10" i="30" s="1"/>
  <c r="I7" i="30"/>
  <c r="J7" i="30" s="1"/>
  <c r="I39" i="30"/>
  <c r="J39" i="30" s="1"/>
  <c r="I24" i="30"/>
  <c r="J24" i="30" s="1"/>
  <c r="I38" i="30"/>
  <c r="J38" i="30" s="1"/>
  <c r="I13" i="30"/>
  <c r="J13" i="30" s="1"/>
  <c r="I26" i="30"/>
  <c r="J26" i="30" s="1"/>
  <c r="I30" i="30"/>
  <c r="J30" i="30" s="1"/>
  <c r="I16" i="30"/>
  <c r="J16" i="30" s="1"/>
  <c r="I23" i="30"/>
  <c r="J23" i="30" s="1"/>
  <c r="I5" i="30"/>
  <c r="J5" i="30" s="1"/>
  <c r="I36" i="30"/>
  <c r="J36" i="30" s="1"/>
  <c r="I34" i="30"/>
  <c r="J34" i="30" s="1"/>
  <c r="I15" i="30"/>
  <c r="J15" i="30" s="1"/>
  <c r="I40" i="30"/>
  <c r="J40" i="30" s="1"/>
  <c r="I21" i="30"/>
  <c r="J21" i="30" s="1"/>
  <c r="I14" i="30"/>
  <c r="J14" i="30" s="1"/>
  <c r="I27" i="30"/>
  <c r="J27" i="30" s="1"/>
  <c r="I29" i="30"/>
  <c r="J29" i="30" s="1"/>
  <c r="I18" i="30"/>
  <c r="J18" i="30" s="1"/>
  <c r="I37" i="30"/>
  <c r="J37" i="30" s="1"/>
  <c r="I31" i="30"/>
  <c r="J31" i="30" s="1"/>
  <c r="I33" i="30"/>
  <c r="J33" i="30" s="1"/>
  <c r="L39" i="30" l="1"/>
  <c r="M39" i="30" s="1"/>
  <c r="L7" i="30"/>
  <c r="M7" i="30" s="1"/>
  <c r="L10" i="30"/>
  <c r="M10" i="30" s="1"/>
  <c r="L21" i="30"/>
  <c r="M21" i="30" s="1"/>
  <c r="L40" i="30"/>
  <c r="M40" i="30" s="1"/>
  <c r="L35" i="30"/>
  <c r="M35" i="30" s="1"/>
  <c r="L5" i="30"/>
  <c r="M5" i="30" s="1"/>
  <c r="L23" i="30"/>
  <c r="M23" i="30" s="1"/>
  <c r="L16" i="30"/>
  <c r="M16" i="30" s="1"/>
  <c r="L6" i="30"/>
  <c r="M6" i="30" s="1"/>
  <c r="L13" i="30"/>
  <c r="M13" i="30" s="1"/>
  <c r="L9" i="30"/>
  <c r="M9" i="30" s="1"/>
  <c r="L29" i="30"/>
  <c r="M29" i="30" s="1"/>
  <c r="L27" i="30"/>
  <c r="M27" i="30" s="1"/>
  <c r="L22" i="30"/>
  <c r="M22" i="30" s="1"/>
  <c r="L12" i="30"/>
  <c r="M12" i="30" s="1"/>
  <c r="L32" i="30"/>
  <c r="M32" i="30" s="1"/>
  <c r="L37" i="30"/>
  <c r="M37" i="30" s="1"/>
  <c r="L11" i="30"/>
  <c r="M11" i="30" s="1"/>
  <c r="L17" i="30"/>
  <c r="M17" i="30" s="1"/>
  <c r="L14" i="30"/>
  <c r="M14" i="30" s="1"/>
  <c r="L28" i="30"/>
  <c r="M28" i="30" s="1"/>
  <c r="L30" i="30"/>
  <c r="M30" i="30" s="1"/>
  <c r="L33" i="30"/>
  <c r="M33" i="30" s="1"/>
  <c r="L26" i="30"/>
  <c r="M26" i="30" s="1"/>
  <c r="L31" i="30"/>
  <c r="M31" i="30" s="1"/>
  <c r="L15" i="30"/>
  <c r="M15" i="30" s="1"/>
  <c r="L8" i="30"/>
  <c r="M8" i="30" s="1"/>
  <c r="L34" i="30"/>
  <c r="M34" i="30" s="1"/>
  <c r="L38" i="30"/>
  <c r="M38" i="30" s="1"/>
  <c r="L20" i="30"/>
  <c r="M20" i="30" s="1"/>
  <c r="L18" i="30"/>
  <c r="M18" i="30" s="1"/>
  <c r="L36" i="30"/>
  <c r="M36" i="30" s="1"/>
  <c r="L24" i="30"/>
  <c r="M24" i="30" s="1"/>
  <c r="L19" i="30"/>
  <c r="M19" i="30" s="1"/>
  <c r="L25" i="30"/>
  <c r="M25" i="30" s="1"/>
  <c r="I42" i="30"/>
  <c r="J42" i="30" s="1"/>
  <c r="L4" i="30"/>
  <c r="J43" i="30" l="1"/>
  <c r="J44" i="30"/>
  <c r="J45" i="30" s="1"/>
  <c r="L42" i="30" l="1"/>
  <c r="M4" i="30"/>
  <c r="M42" i="30" s="1"/>
  <c r="N40" i="30" s="1"/>
  <c r="N4" i="30" l="1"/>
  <c r="N26" i="30"/>
  <c r="O26" i="30" s="1"/>
  <c r="P26" i="30" s="1"/>
  <c r="N5" i="30"/>
  <c r="O5" i="30" s="1"/>
  <c r="P5" i="30" s="1"/>
  <c r="N25" i="30"/>
  <c r="O25" i="30" s="1"/>
  <c r="P25" i="30" s="1"/>
  <c r="N30" i="30"/>
  <c r="O30" i="30" s="1"/>
  <c r="P30" i="30" s="1"/>
  <c r="N33" i="30"/>
  <c r="O33" i="30" s="1"/>
  <c r="P33" i="30" s="1"/>
  <c r="N35" i="30"/>
  <c r="O35" i="30" s="1"/>
  <c r="P35" i="30" s="1"/>
  <c r="N39" i="30"/>
  <c r="O39" i="30" s="1"/>
  <c r="P39" i="30" s="1"/>
  <c r="N12" i="30"/>
  <c r="O12" i="30" s="1"/>
  <c r="P12" i="30" s="1"/>
  <c r="N34" i="30"/>
  <c r="O34" i="30" s="1"/>
  <c r="P34" i="30" s="1"/>
  <c r="N15" i="30"/>
  <c r="O15" i="30" s="1"/>
  <c r="P15" i="30" s="1"/>
  <c r="N20" i="30"/>
  <c r="O20" i="30" s="1"/>
  <c r="P20" i="30" s="1"/>
  <c r="N9" i="30"/>
  <c r="O9" i="30" s="1"/>
  <c r="P9" i="30" s="1"/>
  <c r="N18" i="30"/>
  <c r="O18" i="30" s="1"/>
  <c r="P18" i="30" s="1"/>
  <c r="N19" i="30"/>
  <c r="O19" i="30" s="1"/>
  <c r="P19" i="30" s="1"/>
  <c r="N31" i="30"/>
  <c r="O31" i="30" s="1"/>
  <c r="P31" i="30" s="1"/>
  <c r="N32" i="30"/>
  <c r="O32" i="30" s="1"/>
  <c r="P32" i="30" s="1"/>
  <c r="N21" i="30"/>
  <c r="O21" i="30" s="1"/>
  <c r="P21" i="30" s="1"/>
  <c r="N10" i="30"/>
  <c r="O10" i="30" s="1"/>
  <c r="P10" i="30" s="1"/>
  <c r="O40" i="30"/>
  <c r="P40" i="30" s="1"/>
  <c r="N17" i="30"/>
  <c r="O17" i="30" s="1"/>
  <c r="P17" i="30" s="1"/>
  <c r="N38" i="30"/>
  <c r="O38" i="30" s="1"/>
  <c r="P38" i="30" s="1"/>
  <c r="N14" i="30"/>
  <c r="O14" i="30" s="1"/>
  <c r="P14" i="30" s="1"/>
  <c r="N37" i="30"/>
  <c r="O37" i="30" s="1"/>
  <c r="P37" i="30" s="1"/>
  <c r="N27" i="30"/>
  <c r="O27" i="30" s="1"/>
  <c r="P27" i="30" s="1"/>
  <c r="N7" i="30"/>
  <c r="O7" i="30" s="1"/>
  <c r="P7" i="30" s="1"/>
  <c r="N11" i="30"/>
  <c r="O11" i="30" s="1"/>
  <c r="P11" i="30" s="1"/>
  <c r="N23" i="30"/>
  <c r="O23" i="30" s="1"/>
  <c r="P23" i="30" s="1"/>
  <c r="N28" i="30"/>
  <c r="O28" i="30" s="1"/>
  <c r="P28" i="30" s="1"/>
  <c r="N8" i="30"/>
  <c r="O8" i="30" s="1"/>
  <c r="P8" i="30" s="1"/>
  <c r="N36" i="30"/>
  <c r="O36" i="30" s="1"/>
  <c r="P36" i="30" s="1"/>
  <c r="N6" i="30"/>
  <c r="O6" i="30" s="1"/>
  <c r="P6" i="30" s="1"/>
  <c r="N22" i="30"/>
  <c r="O22" i="30" s="1"/>
  <c r="P22" i="30" s="1"/>
  <c r="N24" i="30"/>
  <c r="O24" i="30" s="1"/>
  <c r="P24" i="30" s="1"/>
  <c r="N29" i="30"/>
  <c r="O29" i="30" s="1"/>
  <c r="P29" i="30" s="1"/>
  <c r="N16" i="30"/>
  <c r="O16" i="30" s="1"/>
  <c r="P16" i="30" s="1"/>
  <c r="N13" i="30"/>
  <c r="O13" i="30" s="1"/>
  <c r="P13" i="30" s="1"/>
  <c r="Q37" i="30" l="1"/>
  <c r="H36" i="28"/>
  <c r="Q35" i="30"/>
  <c r="H34" i="28"/>
  <c r="Q31" i="30"/>
  <c r="H30" i="28"/>
  <c r="Q38" i="30"/>
  <c r="H37" i="28"/>
  <c r="Q33" i="30"/>
  <c r="H32" i="28"/>
  <c r="Q30" i="30"/>
  <c r="H29" i="28"/>
  <c r="Q25" i="30"/>
  <c r="H24" i="28"/>
  <c r="Q39" i="30"/>
  <c r="H38" i="28"/>
  <c r="Q28" i="30"/>
  <c r="H27" i="28"/>
  <c r="Q29" i="30"/>
  <c r="H28" i="28"/>
  <c r="Q36" i="30"/>
  <c r="H35" i="28"/>
  <c r="Q23" i="30"/>
  <c r="H22" i="28"/>
  <c r="Q20" i="30"/>
  <c r="H19" i="28"/>
  <c r="Q21" i="30"/>
  <c r="H20" i="28"/>
  <c r="Q34" i="30"/>
  <c r="H33" i="28"/>
  <c r="Q26" i="30"/>
  <c r="H25" i="28"/>
  <c r="Q40" i="30"/>
  <c r="H39" i="28"/>
  <c r="Q24" i="30"/>
  <c r="H23" i="28"/>
  <c r="Q22" i="30"/>
  <c r="H21" i="28"/>
  <c r="Q27" i="30"/>
  <c r="H26" i="28"/>
  <c r="Q32" i="30"/>
  <c r="H31" i="28"/>
  <c r="Q19" i="30"/>
  <c r="H18" i="28"/>
  <c r="Q18" i="30"/>
  <c r="H17" i="28"/>
  <c r="Q14" i="30"/>
  <c r="H13" i="28"/>
  <c r="Q17" i="30"/>
  <c r="H16" i="28"/>
  <c r="Q9" i="30"/>
  <c r="H8" i="28"/>
  <c r="Q16" i="30"/>
  <c r="H15" i="28"/>
  <c r="Q11" i="30"/>
  <c r="H10" i="28"/>
  <c r="Q10" i="30"/>
  <c r="H9" i="28"/>
  <c r="Q15" i="30"/>
  <c r="H14" i="28"/>
  <c r="Q13" i="30"/>
  <c r="H12" i="28"/>
  <c r="Q7" i="30"/>
  <c r="H6" i="28"/>
  <c r="Q6" i="30"/>
  <c r="H5" i="28"/>
  <c r="Q8" i="30"/>
  <c r="H7" i="28"/>
  <c r="Q12" i="30"/>
  <c r="H11" i="28"/>
  <c r="Q5" i="30"/>
  <c r="H4" i="28"/>
  <c r="R16" i="30"/>
  <c r="R37" i="30"/>
  <c r="R19" i="30"/>
  <c r="R33" i="30"/>
  <c r="R39" i="30"/>
  <c r="R38" i="30"/>
  <c r="R17" i="30"/>
  <c r="R23" i="30"/>
  <c r="R40" i="30"/>
  <c r="R20" i="30"/>
  <c r="R25" i="30"/>
  <c r="R31" i="30"/>
  <c r="R14" i="30"/>
  <c r="R8" i="30"/>
  <c r="R28" i="30"/>
  <c r="R29" i="30"/>
  <c r="R11" i="30"/>
  <c r="R10" i="30"/>
  <c r="R15" i="30"/>
  <c r="R5" i="30"/>
  <c r="R6" i="30"/>
  <c r="R36" i="30"/>
  <c r="R18" i="30"/>
  <c r="R30" i="30"/>
  <c r="R7" i="30"/>
  <c r="R21" i="30"/>
  <c r="R34" i="30"/>
  <c r="R26" i="30"/>
  <c r="R35" i="30"/>
  <c r="R13" i="30"/>
  <c r="R9" i="30"/>
  <c r="R24" i="30"/>
  <c r="R22" i="30"/>
  <c r="R27" i="30"/>
  <c r="R32" i="30"/>
  <c r="R12" i="30"/>
  <c r="O4" i="30"/>
  <c r="P4" i="30" s="1"/>
  <c r="P42" i="30" s="1"/>
  <c r="N42" i="30"/>
  <c r="Q4" i="30" l="1"/>
  <c r="H3" i="28"/>
  <c r="O42" i="30"/>
  <c r="H40" i="28" l="1"/>
  <c r="R4" i="30"/>
  <c r="B6" i="24"/>
  <c r="H45" i="28" l="1"/>
  <c r="H44" i="28"/>
  <c r="B9" i="24"/>
  <c r="B12" i="24"/>
  <c r="C32" i="23"/>
  <c r="C42" i="23"/>
  <c r="C31" i="23"/>
  <c r="C19" i="23"/>
  <c r="C15" i="23"/>
  <c r="C12" i="23"/>
  <c r="C10" i="23"/>
  <c r="C40" i="23"/>
  <c r="C39" i="23"/>
  <c r="C38" i="23"/>
  <c r="C37" i="23"/>
  <c r="C36" i="23"/>
  <c r="C35" i="23"/>
  <c r="C34" i="23"/>
  <c r="C33" i="23"/>
  <c r="C30" i="23"/>
  <c r="C29" i="23"/>
  <c r="C28" i="23"/>
  <c r="C27" i="23"/>
  <c r="C26" i="23"/>
  <c r="C25" i="23"/>
  <c r="C24" i="23"/>
  <c r="C23" i="23"/>
  <c r="C22" i="23"/>
  <c r="C21" i="23"/>
  <c r="C20" i="23"/>
  <c r="C18" i="23"/>
  <c r="C17" i="23"/>
  <c r="C16" i="23"/>
  <c r="C14" i="23"/>
  <c r="C13" i="23"/>
  <c r="C11" i="23"/>
  <c r="C9" i="23"/>
  <c r="C8" i="23"/>
  <c r="C7" i="23"/>
  <c r="C6" i="23"/>
  <c r="C5" i="23"/>
  <c r="C4" i="23"/>
  <c r="C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Chuang, Cliff</author>
  </authors>
  <commentList>
    <comment ref="H3" authorId="0" shapeId="0" xr:uid="{00000000-0006-0000-0000-000001000000}">
      <text>
        <r>
          <rPr>
            <b/>
            <sz val="9"/>
            <color indexed="81"/>
            <rFont val="Tahoma"/>
            <family val="2"/>
          </rPr>
          <t>Note:</t>
        </r>
        <r>
          <rPr>
            <sz val="9"/>
            <color indexed="81"/>
            <rFont val="Tahoma"/>
            <charset val="1"/>
          </rPr>
          <t xml:space="preserve">
Includes late transportation earmark of $22,500.
</t>
        </r>
      </text>
    </comment>
    <comment ref="H17" authorId="0" shapeId="0" xr:uid="{00000000-0006-0000-0000-000002000000}">
      <text>
        <r>
          <rPr>
            <b/>
            <sz val="9"/>
            <color indexed="81"/>
            <rFont val="Tahoma"/>
            <family val="2"/>
          </rPr>
          <t>Note:</t>
        </r>
        <r>
          <rPr>
            <sz val="9"/>
            <color indexed="81"/>
            <rFont val="Tahoma"/>
            <family val="2"/>
          </rPr>
          <t xml:space="preserve">
Includes late transportation earmark of $22,500.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Chuang, Cliff</author>
  </authors>
  <commentList>
    <comment ref="E4" authorId="0" shapeId="0" xr:uid="{00000000-0006-0000-0200-000001000000}">
      <text>
        <r>
          <rPr>
            <b/>
            <sz val="9"/>
            <color indexed="81"/>
            <rFont val="Tahoma"/>
            <family val="2"/>
          </rPr>
          <t>Minus $20K late transportation earmark.</t>
        </r>
        <r>
          <rPr>
            <sz val="9"/>
            <color indexed="81"/>
            <rFont val="Tahoma"/>
            <family val="2"/>
          </rPr>
          <t xml:space="preserve">
</t>
        </r>
      </text>
    </comment>
    <comment ref="E18" authorId="0" shapeId="0" xr:uid="{00000000-0006-0000-0200-000002000000}">
      <text>
        <r>
          <rPr>
            <b/>
            <sz val="9"/>
            <color indexed="81"/>
            <rFont val="Tahoma"/>
            <family val="2"/>
          </rPr>
          <t>Minus $20K late transportation earmark.</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Chuang, Cliff</author>
  </authors>
  <commentList>
    <comment ref="K10" authorId="0" shapeId="0" xr:uid="{00000000-0006-0000-0400-000001000000}">
      <text>
        <r>
          <rPr>
            <b/>
            <sz val="9"/>
            <color indexed="81"/>
            <rFont val="Tahoma"/>
            <family val="2"/>
          </rPr>
          <t>Note:</t>
        </r>
        <r>
          <rPr>
            <sz val="9"/>
            <color indexed="81"/>
            <rFont val="Tahoma"/>
            <family val="2"/>
          </rPr>
          <t xml:space="preserve">
Including $20,000 of earmarked for late busses in Arlington.</t>
        </r>
      </text>
    </comment>
    <comment ref="K24" authorId="0" shapeId="0" xr:uid="{00000000-0006-0000-0400-000002000000}">
      <text>
        <r>
          <rPr>
            <b/>
            <sz val="9"/>
            <color indexed="81"/>
            <rFont val="Tahoma"/>
            <family val="2"/>
          </rPr>
          <t>Note:</t>
        </r>
        <r>
          <rPr>
            <sz val="9"/>
            <color indexed="81"/>
            <rFont val="Tahoma"/>
            <family val="2"/>
          </rPr>
          <t xml:space="preserve">
Including $20K earmarked for late busses in Lexington.</t>
        </r>
      </text>
    </comment>
  </commentList>
</comments>
</file>

<file path=xl/sharedStrings.xml><?xml version="1.0" encoding="utf-8"?>
<sst xmlns="http://schemas.openxmlformats.org/spreadsheetml/2006/main" count="505" uniqueCount="267">
  <si>
    <t>District</t>
  </si>
  <si>
    <t>ARLINGTON</t>
  </si>
  <si>
    <t>BEDFORD</t>
  </si>
  <si>
    <t>BELMONT</t>
  </si>
  <si>
    <t>BRAINTREE</t>
  </si>
  <si>
    <t>BROOKLINE</t>
  </si>
  <si>
    <t>COHASSET</t>
  </si>
  <si>
    <t>CONCORD</t>
  </si>
  <si>
    <t>DOVER</t>
  </si>
  <si>
    <t>EAST LONGMEADOW</t>
  </si>
  <si>
    <t>FOXBOROUGH</t>
  </si>
  <si>
    <t>HINGHAM</t>
  </si>
  <si>
    <t>LEXINGTON</t>
  </si>
  <si>
    <t>LINCOLN</t>
  </si>
  <si>
    <t>LONGMEADOW</t>
  </si>
  <si>
    <t>LYNNFIELD</t>
  </si>
  <si>
    <t>MARBLEHEAD</t>
  </si>
  <si>
    <t>MELROSE</t>
  </si>
  <si>
    <t>NATICK</t>
  </si>
  <si>
    <t>NEEDHAM</t>
  </si>
  <si>
    <t>NEWTON</t>
  </si>
  <si>
    <t>READING</t>
  </si>
  <si>
    <t>SCITUATE</t>
  </si>
  <si>
    <t>SHARON</t>
  </si>
  <si>
    <t>SHERBORN</t>
  </si>
  <si>
    <t>SPRINGFIELD</t>
  </si>
  <si>
    <t>SUDBURY</t>
  </si>
  <si>
    <t>SWAMPSCOTT</t>
  </si>
  <si>
    <t>WAKEFIELD</t>
  </si>
  <si>
    <t>WALPOLE</t>
  </si>
  <si>
    <t>WAYLAND</t>
  </si>
  <si>
    <t>WELLESLEY</t>
  </si>
  <si>
    <t>WESTON</t>
  </si>
  <si>
    <t>WESTWOOD</t>
  </si>
  <si>
    <t>CONCORD CARLISLE</t>
  </si>
  <si>
    <t>DOVER SHERBORN</t>
  </si>
  <si>
    <t>HAMPDEN WILBRAHAM</t>
  </si>
  <si>
    <t>LINCOLN SUDBURY</t>
  </si>
  <si>
    <t>LEA</t>
  </si>
  <si>
    <t>STATE TOTAL</t>
  </si>
  <si>
    <t>Total</t>
  </si>
  <si>
    <t>Springfield</t>
  </si>
  <si>
    <t>SOUTHWICK TOLLAND GRANVILLE</t>
  </si>
  <si>
    <t>District enrollment count of METCO students by grade - SIMS18A</t>
  </si>
  <si>
    <t>District Name</t>
  </si>
  <si>
    <t>Org Code</t>
  </si>
  <si>
    <t>Count</t>
  </si>
  <si>
    <t>Percent</t>
  </si>
  <si>
    <t>0010</t>
  </si>
  <si>
    <t>0023</t>
  </si>
  <si>
    <t>0026</t>
  </si>
  <si>
    <t>0040</t>
  </si>
  <si>
    <t>0046</t>
  </si>
  <si>
    <t>0065</t>
  </si>
  <si>
    <t>0067</t>
  </si>
  <si>
    <t>0078</t>
  </si>
  <si>
    <t>0087</t>
  </si>
  <si>
    <t>0099</t>
  </si>
  <si>
    <t>0131</t>
  </si>
  <si>
    <t>0155</t>
  </si>
  <si>
    <t>0157</t>
  </si>
  <si>
    <t>0159</t>
  </si>
  <si>
    <t>0164</t>
  </si>
  <si>
    <t>0168</t>
  </si>
  <si>
    <t>0178</t>
  </si>
  <si>
    <t>0198</t>
  </si>
  <si>
    <t>0199</t>
  </si>
  <si>
    <t>0207</t>
  </si>
  <si>
    <t>0246</t>
  </si>
  <si>
    <t>0264</t>
  </si>
  <si>
    <t>0266</t>
  </si>
  <si>
    <t>0269</t>
  </si>
  <si>
    <t>0288</t>
  </si>
  <si>
    <t>0291</t>
  </si>
  <si>
    <t>0305</t>
  </si>
  <si>
    <t>0307</t>
  </si>
  <si>
    <t>0315</t>
  </si>
  <si>
    <t>0317</t>
  </si>
  <si>
    <t>0330</t>
  </si>
  <si>
    <t>0335</t>
  </si>
  <si>
    <t>0640</t>
  </si>
  <si>
    <t>0655</t>
  </si>
  <si>
    <t>0680</t>
  </si>
  <si>
    <t>0695</t>
  </si>
  <si>
    <t>0766</t>
  </si>
  <si>
    <t>Per pupil</t>
  </si>
  <si>
    <t>MAX(FY19 and 3-year)</t>
  </si>
  <si>
    <t>Delta FY19 final - FY18</t>
  </si>
  <si>
    <t>Delta FY19 final - prelim</t>
  </si>
  <si>
    <t>FY2019 Final Grant Totals</t>
  </si>
  <si>
    <t>Transportation (Historical)</t>
  </si>
  <si>
    <t>METCO Inc. Contract + DESE Administration</t>
  </si>
  <si>
    <t>Total Final FY2019 METCO Budget (with INCREASE)</t>
  </si>
  <si>
    <t>NA</t>
  </si>
  <si>
    <t>Increase for Transportation or other services*</t>
  </si>
  <si>
    <t>*See FY19 Budget Assumptions tab for more detail</t>
  </si>
  <si>
    <t>Arlington</t>
  </si>
  <si>
    <t>Bedford</t>
  </si>
  <si>
    <t>Belmont</t>
  </si>
  <si>
    <t>Braintree</t>
  </si>
  <si>
    <t>Brookline</t>
  </si>
  <si>
    <t>Cohasset</t>
  </si>
  <si>
    <t>Concord</t>
  </si>
  <si>
    <t>Concord-Carlisle</t>
  </si>
  <si>
    <t>Dover</t>
  </si>
  <si>
    <t>Dover-Sherborn</t>
  </si>
  <si>
    <t>East Longmeadow</t>
  </si>
  <si>
    <t>Foxborough</t>
  </si>
  <si>
    <t>Hampden-Wilbraham</t>
  </si>
  <si>
    <t>Hingham</t>
  </si>
  <si>
    <t>Lexington</t>
  </si>
  <si>
    <t>Lincoln</t>
  </si>
  <si>
    <t>Lincoln-Sudbury</t>
  </si>
  <si>
    <t>Longmeadow</t>
  </si>
  <si>
    <t>Lynnfield</t>
  </si>
  <si>
    <t>Marblehead</t>
  </si>
  <si>
    <t>Melrose</t>
  </si>
  <si>
    <t>Natick</t>
  </si>
  <si>
    <t>Needham</t>
  </si>
  <si>
    <t>Newton</t>
  </si>
  <si>
    <t>Reading</t>
  </si>
  <si>
    <t>Scituate</t>
  </si>
  <si>
    <t>Sharon</t>
  </si>
  <si>
    <t>Sherborn</t>
  </si>
  <si>
    <t>Southwick-Tolland-Granville Regional School District</t>
  </si>
  <si>
    <t>Sudbury</t>
  </si>
  <si>
    <t>Swampscott</t>
  </si>
  <si>
    <t>Wakefield</t>
  </si>
  <si>
    <t>Walpole</t>
  </si>
  <si>
    <t>Wayland</t>
  </si>
  <si>
    <t>Wellesley</t>
  </si>
  <si>
    <t>Weston</t>
  </si>
  <si>
    <t>Westwood</t>
  </si>
  <si>
    <t>FY19 Preliminary (Historical) Transportation Allotment</t>
  </si>
  <si>
    <t>FY19 Prelim Per Pupil Allotment (@$4,147.49/
Oct. 1, 2017 pupil)</t>
  </si>
  <si>
    <t>FY2018 Grant Totals (For Reference Only)</t>
  </si>
  <si>
    <t>Oct. 1, 2018  Enro</t>
  </si>
  <si>
    <t>3-year average Oct. 1 enro (2016, 2017, 2018)</t>
  </si>
  <si>
    <t>https://budget.digital.mass.gov/bb/h1/fy20h1/brec_20/act_20/h70100012.htm</t>
  </si>
  <si>
    <t>SCHOOL_YEAR</t>
  </si>
  <si>
    <t>HOME_DIST</t>
  </si>
  <si>
    <t>ORG_CODE</t>
  </si>
  <si>
    <t>DIST_NAME</t>
  </si>
  <si>
    <t>TOTAL</t>
  </si>
  <si>
    <t>FEMALE</t>
  </si>
  <si>
    <t>MALE</t>
  </si>
  <si>
    <t>RACE_BL</t>
  </si>
  <si>
    <t>RACE_HS</t>
  </si>
  <si>
    <t>RACE_MR</t>
  </si>
  <si>
    <t>RACE_AS</t>
  </si>
  <si>
    <t>RACE_HP</t>
  </si>
  <si>
    <t>RACE_AI</t>
  </si>
  <si>
    <t>RACE_WH</t>
  </si>
  <si>
    <t>GRADE_K</t>
  </si>
  <si>
    <t>GRADE_01</t>
  </si>
  <si>
    <t>GRADE_02</t>
  </si>
  <si>
    <t>GRADE_03</t>
  </si>
  <si>
    <t>GRADE_04</t>
  </si>
  <si>
    <t>GRADE_05</t>
  </si>
  <si>
    <t>GRADE_06</t>
  </si>
  <si>
    <t>GRADE_07</t>
  </si>
  <si>
    <t>GRADE_08</t>
  </si>
  <si>
    <t>GRADE_09</t>
  </si>
  <si>
    <t>GRADE_10</t>
  </si>
  <si>
    <t>GRADE_11</t>
  </si>
  <si>
    <t>GRADE_12</t>
  </si>
  <si>
    <t>GRADE_SP</t>
  </si>
  <si>
    <t>2019</t>
  </si>
  <si>
    <t>Boston</t>
  </si>
  <si>
    <t>00100000</t>
  </si>
  <si>
    <t>00230000</t>
  </si>
  <si>
    <t>00260000</t>
  </si>
  <si>
    <t>00400000</t>
  </si>
  <si>
    <t>00460000</t>
  </si>
  <si>
    <t>00650000</t>
  </si>
  <si>
    <t>00670000</t>
  </si>
  <si>
    <t>00780000</t>
  </si>
  <si>
    <t>00990000</t>
  </si>
  <si>
    <t>01310000</t>
  </si>
  <si>
    <t>01550000</t>
  </si>
  <si>
    <t>01570000</t>
  </si>
  <si>
    <t>01640000</t>
  </si>
  <si>
    <t>01680000</t>
  </si>
  <si>
    <t>01780000</t>
  </si>
  <si>
    <t>01980000</t>
  </si>
  <si>
    <t>01990000</t>
  </si>
  <si>
    <t>02070000</t>
  </si>
  <si>
    <t>02460000</t>
  </si>
  <si>
    <t>02640000</t>
  </si>
  <si>
    <t>02660000</t>
  </si>
  <si>
    <t>02690000</t>
  </si>
  <si>
    <t>02880000</t>
  </si>
  <si>
    <t>02910000</t>
  </si>
  <si>
    <t>03050000</t>
  </si>
  <si>
    <t>03070000</t>
  </si>
  <si>
    <t>03150000</t>
  </si>
  <si>
    <t>03170000</t>
  </si>
  <si>
    <t>03300000</t>
  </si>
  <si>
    <t>03350000</t>
  </si>
  <si>
    <t>06400000</t>
  </si>
  <si>
    <t>06550000</t>
  </si>
  <si>
    <t>06950000</t>
  </si>
  <si>
    <t>00870000</t>
  </si>
  <si>
    <t>01590000</t>
  </si>
  <si>
    <t>06800000</t>
  </si>
  <si>
    <t>07660000</t>
  </si>
  <si>
    <t>METCO Enrollment Trnds</t>
  </si>
  <si>
    <t>10/1/18  Enro
(FY19)</t>
  </si>
  <si>
    <t>10/1/17  Enro
(FY18)</t>
  </si>
  <si>
    <t>10/1/16  Enro (FY17)</t>
  </si>
  <si>
    <t>10/1/15  Enro (FY16)</t>
  </si>
  <si>
    <t>3-year Average Enro</t>
  </si>
  <si>
    <t>*See FY20 Budget Assumptions tab for more detail</t>
  </si>
  <si>
    <t>Max of Oct. 1, 2018 and 3-year average)</t>
  </si>
  <si>
    <t>METCO, Inc. Contract, Springfield Administrative Funds, DESE Administrative Funds</t>
  </si>
  <si>
    <t>FY2020 Preliminary  Total</t>
  </si>
  <si>
    <t>FY2019 Grant Totals (For Reference Only)</t>
  </si>
  <si>
    <t>FY2020 Final State Budget</t>
  </si>
  <si>
    <r>
      <rPr>
        <b/>
        <sz val="10"/>
        <rFont val="Calibri"/>
        <family val="2"/>
      </rPr>
      <t xml:space="preserve">7010-0012 Programs to Eliminate Racial Imbalance - METCO </t>
    </r>
    <r>
      <rPr>
        <sz val="10"/>
        <rFont val="Calibri"/>
        <family val="2"/>
      </rPr>
      <t xml:space="preserve">
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the Metropolitan Council for Educational Opportunity (METCO), Inc. and Springfield public schools; provided further, that all grant applications submitted to and approved by the department of elementary and secondary education shall include a detailed line item budget specifying how such funds shall be allocated and expended; provided further, that not later than December 2, 2019, the department shall submit a report to the joint committee on education and the house and senate committees on ways and means on the impact of the grant program regarding student outcomes, the expenditure of funds by districts and the extent to which the services rendered by METCO support the goals of the grant program; and provided further, that not less than $45,000 shall be expended to provide late afternoon and evening transportation for METCO students attending public schools in Arlington and Lexington ......................................................... $24,225,000</t>
    </r>
  </si>
  <si>
    <t>FY19</t>
  </si>
  <si>
    <t>Late transportation for Arlington and Lexington</t>
  </si>
  <si>
    <t>FY20</t>
  </si>
  <si>
    <t>Historical Transportation PP</t>
  </si>
  <si>
    <t>Oct. 1, 2017  Enro</t>
  </si>
  <si>
    <t>Hold-Harmless at least $X/pp</t>
  </si>
  <si>
    <t>Amount over hold harmless</t>
  </si>
  <si>
    <t>Prorated amount over hold harmless</t>
  </si>
  <si>
    <t>hold harmless amount + prorated above hold harmless amount</t>
  </si>
  <si>
    <t>Total Losses</t>
  </si>
  <si>
    <t>Straight Per-Pupil:</t>
  </si>
  <si>
    <t>Total# of hold harmless students:</t>
  </si>
  <si>
    <t>Remaining students</t>
  </si>
  <si>
    <t>Earmarks</t>
  </si>
  <si>
    <t>Remainder</t>
  </si>
  <si>
    <t>Special Education Grant Fund</t>
  </si>
  <si>
    <t>Final Total Per-Pupil Rate</t>
  </si>
  <si>
    <t>*The per-pupil rate is calculated by taking the total line item amount and subtracting any earmarks and the METCO/Springfield/DESE administrative amounts, and dividing the remainder by 3,272 pupils statewide [the sum of the  greater of the Oct. 1, 2018 enrollment level or the 3-year enrollment average from Oct. 1 of 2016, 2017, and 2018 for each district). See Per Pupil Hold Harmless Calc worksheet for full details.</t>
  </si>
  <si>
    <t>3-year average Oct. 1 enro (2015, 2016, 2017)</t>
  </si>
  <si>
    <t>FY19 FINAL METCO Grant Allocations - As of September 5, 2018</t>
  </si>
  <si>
    <t>*Calculated based on the greater of the Oct. 1, 2017 enrollment level or the 3-year enrollment average from Oct. 1 of 2015, 2016, and 2017 for each district multiplied by an increased amount of $4,410.78/pupil (determined by taking the total FY19 funds available, subtracting METCO/Springfield/DESE administrative and historical/ earmarked transportation costs, and dividing by 3,283 pupils statewide [the greater of Oct. 1, 2017 enrollment and the 3-year 2015-2017 average enrollment ] minus the original preliminary grant amount.</t>
  </si>
  <si>
    <t>FY2019 Total</t>
  </si>
  <si>
    <t>METCO Contract, Springfield Administrative Funds, DESE Administrative Funds</t>
  </si>
  <si>
    <t>Transportation &amp; Other Services (Increases)*</t>
  </si>
  <si>
    <t>Preliminary FY19 Per-Pupil (3,216 pupils at $4,147.49/pupil)</t>
  </si>
  <si>
    <t>Final FY2019 State Budget</t>
  </si>
  <si>
    <r>
      <rPr>
        <b/>
        <sz val="10"/>
        <rFont val="Calibri"/>
        <family val="2"/>
      </rPr>
      <t xml:space="preserve">7010-0012 Programs to Eliminate Racial Imbalance - METCO </t>
    </r>
    <r>
      <rPr>
        <sz val="10"/>
        <rFont val="Calibri"/>
        <family val="2"/>
      </rPr>
      <t xml:space="preserve">
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the Metropolitan Council for Educational Opportunity (METCO), Inc. and Springfield public schools; provided further, that all grant applications submitted to and approved by the department of elementary and secondary education shall include a detailed line item budget specifying how such funds shall be allocated and expended; provided further, that the department of elementary and secondary education shall submit a report on the impact of the grant program on student outcomes, the expenditure of funds by districts, and the extent to which the services rendered by METCO support the goals of the grant program to the joint committee on education and the house and senate committees on ways and means not later than December 3, 2018; and provided further, that not less than $40,000 shall be expended to provide late afternoon and evening transportation for METCO students attending public schools in the towns of Arlington and Lexington..</t>
    </r>
    <r>
      <rPr>
        <b/>
        <sz val="10"/>
        <rFont val="Calibri"/>
        <family val="2"/>
      </rPr>
      <t>.$22,182,582</t>
    </r>
  </si>
  <si>
    <t>http://budget.digital.mass.gov/bb/gaa/fy2019/app_19/act_19/h70100012.htm</t>
  </si>
  <si>
    <t>FY2019 Final Grant Totals (minus earmarks)</t>
  </si>
  <si>
    <t>Late transportation earmarks</t>
  </si>
  <si>
    <t>&lt;-- Total initial amount above hold harmless</t>
  </si>
  <si>
    <t>&lt;-- Hold Harmless Amount</t>
  </si>
  <si>
    <t>Total available grant funds to distribute*</t>
  </si>
  <si>
    <t>Total of Enro * $6,744.50/pupil</t>
  </si>
  <si>
    <t>Enro = Max of Oct. 1, 2018 and 3-year average)</t>
  </si>
  <si>
    <t>Final FY20 METCO Budget</t>
  </si>
  <si>
    <t>FY20 Final Grant Totals</t>
  </si>
  <si>
    <t>FY20 FINAL METCO Grant Allocations - As of Sept. 6, 2019</t>
  </si>
  <si>
    <t>FY2020 Prelim Grant Totals (minus earmarks)</t>
  </si>
  <si>
    <t>Max of FY19 Final and FY20 Prelim</t>
  </si>
  <si>
    <t>Difference from Max of FY19 Final and FY20 Prelim</t>
  </si>
  <si>
    <t>Initial Payment Calculation =IF(K&gt;J,K,J)</t>
  </si>
  <si>
    <t>FY20 Final Grant Amounts</t>
  </si>
  <si>
    <r>
      <rPr>
        <b/>
        <sz val="14"/>
        <color theme="1"/>
        <rFont val="Calibri"/>
        <family val="2"/>
        <scheme val="minor"/>
      </rPr>
      <t>FY20 methodology for allocating METCO grant funds for FY20 with line item increase:</t>
    </r>
    <r>
      <rPr>
        <sz val="14"/>
        <color theme="1"/>
        <rFont val="Calibri"/>
        <family val="2"/>
        <scheme val="minor"/>
      </rPr>
      <t xml:space="preserve"> After subtracting out earmarks and administrative costs for METCO, Inc., Springfield Public Schools, and DESE, multiply the enrollment figure (the larger of Oct. 1, 2018 and 3-year average) by the straight per-pupil amount, and then apply a hold-harmless provision of $40/per pupil against the greater of the FY19 final grant amount and the FY20 preliminary grant amount.</t>
    </r>
  </si>
  <si>
    <t>Delta Check against FY19 Final</t>
  </si>
  <si>
    <t>Delta Check against FY20 Prelim</t>
  </si>
  <si>
    <r>
      <t xml:space="preserve">*Final FY20 Per-Pupil: </t>
    </r>
    <r>
      <rPr>
        <sz val="11"/>
        <color rgb="FFFF0000"/>
        <rFont val="Calibri"/>
        <family val="2"/>
        <scheme val="minor"/>
      </rPr>
      <t>3,272 pupils at $6,744.50/pupil with Hold Harmless of $40/pupil to the greater of FY19 final grant amounts or FY20 preliminary grant amounts.</t>
    </r>
  </si>
  <si>
    <t>FY2020 Preliminary Grant Totals as of May 8, 2019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</si>
</sst>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
    <numFmt numFmtId="166" formatCode="0.0"/>
    <numFmt numFmtId="167" formatCode="&quot;$&quot;#,##0.00"/>
    <numFmt numFmtId="168" formatCode="&quot;$&quot;#,##0"/>
    <numFmt numFmtId="169" formatCode="&quot;$&quot;#,##0.000"/>
    <numFmt numFmtId="170" formatCode="0.0000%"/>
  </numFmts>
  <fonts count="40">
    <font>
      <sz val="12"/>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9"/>
      <name val="Geneva"/>
    </font>
    <font>
      <sz val="12"/>
      <name val="Calibri"/>
      <family val="2"/>
    </font>
    <font>
      <sz val="11"/>
      <name val="Calibri"/>
      <family val="2"/>
    </font>
    <font>
      <sz val="11"/>
      <name val="Calibri"/>
      <family val="2"/>
      <scheme val="minor"/>
    </font>
    <font>
      <sz val="22"/>
      <name val="Calibri"/>
      <family val="2"/>
      <scheme val="minor"/>
    </font>
    <font>
      <b/>
      <sz val="11"/>
      <color theme="1"/>
      <name val="Calibri"/>
      <family val="2"/>
      <scheme val="minor"/>
    </font>
    <font>
      <b/>
      <sz val="9"/>
      <color indexed="8"/>
      <name val="Arial Bold"/>
    </font>
    <font>
      <b/>
      <sz val="9"/>
      <color indexed="8"/>
      <name val="Arial"/>
      <family val="2"/>
    </font>
    <font>
      <b/>
      <sz val="10"/>
      <name val="Arial"/>
      <family val="2"/>
    </font>
    <font>
      <sz val="9"/>
      <color indexed="8"/>
      <name val="Arial"/>
      <family val="2"/>
    </font>
    <font>
      <sz val="10"/>
      <name val="Calibri"/>
      <family val="2"/>
    </font>
    <font>
      <u/>
      <sz val="12"/>
      <color theme="10"/>
      <name val="Calibri"/>
      <family val="2"/>
    </font>
    <font>
      <b/>
      <sz val="11"/>
      <name val="Calibri"/>
      <family val="2"/>
      <scheme val="minor"/>
    </font>
    <font>
      <sz val="9"/>
      <color indexed="81"/>
      <name val="Tahoma"/>
      <family val="2"/>
    </font>
    <font>
      <b/>
      <sz val="9"/>
      <color indexed="81"/>
      <name val="Tahoma"/>
      <family val="2"/>
    </font>
    <font>
      <b/>
      <sz val="12"/>
      <name val="Calibri"/>
      <family val="2"/>
      <scheme val="minor"/>
    </font>
    <font>
      <b/>
      <sz val="22"/>
      <name val="Calibri"/>
      <family val="2"/>
      <scheme val="minor"/>
    </font>
    <font>
      <b/>
      <sz val="10"/>
      <name val="Calibri"/>
      <family val="2"/>
    </font>
    <font>
      <b/>
      <sz val="11"/>
      <name val="Calibri"/>
      <family val="2"/>
    </font>
    <font>
      <i/>
      <sz val="11"/>
      <name val="Calibri"/>
      <family val="2"/>
      <scheme val="minor"/>
    </font>
    <font>
      <i/>
      <sz val="11"/>
      <color theme="1"/>
      <name val="Calibri"/>
      <family val="2"/>
      <scheme val="minor"/>
    </font>
    <font>
      <b/>
      <i/>
      <sz val="11"/>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2"/>
      <color theme="0" tint="-0.14999847407452621"/>
      <name val="Calibri"/>
      <family val="2"/>
      <scheme val="minor"/>
    </font>
    <font>
      <b/>
      <sz val="16"/>
      <color rgb="FFFF0000"/>
      <name val="Calibri"/>
      <family val="2"/>
      <scheme val="minor"/>
    </font>
    <font>
      <b/>
      <sz val="16"/>
      <color theme="1"/>
      <name val="Calibri"/>
      <family val="2"/>
      <scheme val="minor"/>
    </font>
    <font>
      <b/>
      <sz val="14"/>
      <name val="Calibri"/>
      <family val="2"/>
      <scheme val="minor"/>
    </font>
    <font>
      <sz val="9"/>
      <color indexed="81"/>
      <name val="Tahoma"/>
      <charset val="1"/>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top style="medium">
        <color indexed="64"/>
      </top>
      <bottom style="thin">
        <color theme="0" tint="-0.24994659260841701"/>
      </bottom>
      <diagonal/>
    </border>
    <border>
      <left/>
      <right style="thin">
        <color indexed="8"/>
      </right>
      <top style="medium">
        <color indexed="64"/>
      </top>
      <bottom style="thin">
        <color theme="0" tint="-0.24994659260841701"/>
      </bottom>
      <diagonal/>
    </border>
    <border>
      <left style="thin">
        <color indexed="8"/>
      </left>
      <right style="thin">
        <color indexed="8"/>
      </right>
      <top style="medium">
        <color indexed="64"/>
      </top>
      <bottom style="thin">
        <color theme="0" tint="-0.24994659260841701"/>
      </bottom>
      <diagonal/>
    </border>
    <border>
      <left style="thin">
        <color indexed="8"/>
      </left>
      <right/>
      <top style="thin">
        <color theme="0" tint="-0.24994659260841701"/>
      </top>
      <bottom style="thin">
        <color theme="0" tint="-0.24994659260841701"/>
      </bottom>
      <diagonal/>
    </border>
    <border>
      <left/>
      <right style="thin">
        <color indexed="8"/>
      </right>
      <top style="thin">
        <color theme="0" tint="-0.24994659260841701"/>
      </top>
      <bottom style="thin">
        <color theme="0" tint="-0.24994659260841701"/>
      </bottom>
      <diagonal/>
    </border>
    <border>
      <left style="thin">
        <color indexed="8"/>
      </left>
      <right style="thin">
        <color indexed="8"/>
      </right>
      <top style="thin">
        <color theme="0" tint="-0.24994659260841701"/>
      </top>
      <bottom style="thin">
        <color theme="0" tint="-0.24994659260841701"/>
      </bottom>
      <diagonal/>
    </border>
    <border>
      <left style="thin">
        <color indexed="8"/>
      </left>
      <right/>
      <top style="thin">
        <color theme="0" tint="-0.24994659260841701"/>
      </top>
      <bottom style="medium">
        <color indexed="64"/>
      </bottom>
      <diagonal/>
    </border>
    <border>
      <left/>
      <right style="thin">
        <color indexed="8"/>
      </right>
      <top style="thin">
        <color theme="0" tint="-0.24994659260841701"/>
      </top>
      <bottom style="medium">
        <color indexed="64"/>
      </bottom>
      <diagonal/>
    </border>
    <border>
      <left style="thin">
        <color indexed="8"/>
      </left>
      <right style="thin">
        <color indexed="8"/>
      </right>
      <top style="thin">
        <color theme="0" tint="-0.24994659260841701"/>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9">
    <xf numFmtId="0" fontId="0" fillId="0" borderId="0"/>
    <xf numFmtId="0" fontId="7" fillId="0" borderId="0">
      <protection locked="0"/>
    </xf>
    <xf numFmtId="0" fontId="6" fillId="0" borderId="0"/>
    <xf numFmtId="43" fontId="8" fillId="0" borderId="0" applyFont="0" applyFill="0" applyBorder="0" applyAlignment="0" applyProtection="0"/>
    <xf numFmtId="0" fontId="6" fillId="0" borderId="0"/>
    <xf numFmtId="0" fontId="6" fillId="0" borderId="0"/>
    <xf numFmtId="0" fontId="18" fillId="0" borderId="0" applyNumberFormat="0" applyFill="0" applyBorder="0" applyAlignment="0" applyProtection="0"/>
    <xf numFmtId="0" fontId="4" fillId="0" borderId="0"/>
    <xf numFmtId="0" fontId="30" fillId="0" borderId="0"/>
  </cellStyleXfs>
  <cellXfs count="225">
    <xf numFmtId="0" fontId="0" fillId="0" borderId="0" xfId="0"/>
    <xf numFmtId="0" fontId="10" fillId="0" borderId="0" xfId="2" applyFont="1" applyAlignment="1">
      <alignment wrapText="1"/>
    </xf>
    <xf numFmtId="0" fontId="10" fillId="0" borderId="0" xfId="2" applyFont="1"/>
    <xf numFmtId="0" fontId="10" fillId="0" borderId="0" xfId="0" applyFont="1" applyAlignment="1">
      <alignment wrapText="1"/>
    </xf>
    <xf numFmtId="0" fontId="14" fillId="0" borderId="9" xfId="4" applyFont="1" applyBorder="1" applyAlignment="1">
      <alignment vertical="center"/>
    </xf>
    <xf numFmtId="0" fontId="14" fillId="0" borderId="10" xfId="4" applyFont="1" applyBorder="1" applyAlignment="1">
      <alignment vertical="center"/>
    </xf>
    <xf numFmtId="0" fontId="15" fillId="0" borderId="11" xfId="5" applyFont="1" applyFill="1" applyBorder="1" applyAlignment="1">
      <alignment horizontal="center" vertical="center"/>
    </xf>
    <xf numFmtId="0" fontId="12" fillId="0" borderId="12" xfId="0" applyFont="1" applyFill="1" applyBorder="1" applyAlignment="1">
      <alignment horizontal="center" vertical="center"/>
    </xf>
    <xf numFmtId="0" fontId="16" fillId="0" borderId="13" xfId="4" applyFont="1" applyBorder="1" applyAlignment="1">
      <alignment vertical="top"/>
    </xf>
    <xf numFmtId="49" fontId="16" fillId="0" borderId="14" xfId="4" applyNumberFormat="1" applyFont="1" applyBorder="1" applyAlignment="1">
      <alignment horizontal="left" vertical="top"/>
    </xf>
    <xf numFmtId="165" fontId="16" fillId="0" borderId="14" xfId="4" applyNumberFormat="1" applyFont="1" applyFill="1" applyBorder="1" applyAlignment="1">
      <alignment horizontal="center" vertical="center"/>
    </xf>
    <xf numFmtId="2" fontId="0" fillId="0" borderId="15" xfId="0" applyNumberFormat="1" applyFill="1" applyBorder="1" applyAlignment="1">
      <alignment horizontal="center" vertical="center"/>
    </xf>
    <xf numFmtId="0" fontId="16" fillId="0" borderId="16" xfId="4" applyFont="1" applyBorder="1" applyAlignment="1">
      <alignment vertical="top"/>
    </xf>
    <xf numFmtId="49" fontId="16" fillId="0" borderId="17" xfId="4" applyNumberFormat="1" applyFont="1" applyBorder="1" applyAlignment="1">
      <alignment horizontal="left" vertical="top"/>
    </xf>
    <xf numFmtId="165" fontId="16" fillId="0" borderId="17" xfId="4" applyNumberFormat="1" applyFont="1" applyFill="1" applyBorder="1" applyAlignment="1">
      <alignment horizontal="center" vertical="center"/>
    </xf>
    <xf numFmtId="2" fontId="0" fillId="0" borderId="18" xfId="0" applyNumberFormat="1" applyFill="1" applyBorder="1" applyAlignment="1">
      <alignment horizontal="center" vertical="center"/>
    </xf>
    <xf numFmtId="0" fontId="16" fillId="0" borderId="19" xfId="4" applyFont="1" applyBorder="1" applyAlignment="1">
      <alignment vertical="top"/>
    </xf>
    <xf numFmtId="49" fontId="16" fillId="0" borderId="20" xfId="4" applyNumberFormat="1" applyFont="1" applyBorder="1" applyAlignment="1">
      <alignment horizontal="left" vertical="top"/>
    </xf>
    <xf numFmtId="165" fontId="16" fillId="0" borderId="20" xfId="4" applyNumberFormat="1" applyFont="1" applyFill="1" applyBorder="1" applyAlignment="1">
      <alignment horizontal="center" vertical="center"/>
    </xf>
    <xf numFmtId="2" fontId="0" fillId="0" borderId="21" xfId="0" applyNumberFormat="1" applyFill="1" applyBorder="1" applyAlignment="1">
      <alignment horizontal="center" vertical="center"/>
    </xf>
    <xf numFmtId="3" fontId="14" fillId="0" borderId="24" xfId="4" applyNumberFormat="1" applyFont="1" applyFill="1" applyBorder="1" applyAlignment="1">
      <alignment horizontal="center" vertical="center"/>
    </xf>
    <xf numFmtId="166" fontId="12" fillId="0" borderId="25" xfId="0" applyNumberFormat="1" applyFont="1" applyFill="1" applyBorder="1" applyAlignment="1">
      <alignment horizontal="center" vertical="center"/>
    </xf>
    <xf numFmtId="0" fontId="0" fillId="0" borderId="0" xfId="0" applyFill="1"/>
    <xf numFmtId="0" fontId="13" fillId="4" borderId="1" xfId="4" applyFont="1" applyFill="1" applyBorder="1" applyAlignment="1">
      <alignment horizontal="center" vertical="center"/>
    </xf>
    <xf numFmtId="0" fontId="13" fillId="4" borderId="2" xfId="4" applyFont="1" applyFill="1" applyBorder="1" applyAlignment="1">
      <alignment horizontal="center" vertical="center"/>
    </xf>
    <xf numFmtId="0" fontId="13" fillId="4" borderId="7" xfId="4" applyFont="1" applyFill="1" applyBorder="1" applyAlignment="1">
      <alignment horizontal="center" vertical="center"/>
    </xf>
    <xf numFmtId="0" fontId="14" fillId="3" borderId="22" xfId="4" applyFont="1" applyFill="1" applyBorder="1" applyAlignment="1">
      <alignment horizontal="center" vertical="top"/>
    </xf>
    <xf numFmtId="0" fontId="14" fillId="3" borderId="23" xfId="4" applyFont="1" applyFill="1" applyBorder="1" applyAlignment="1">
      <alignment horizontal="center" vertical="top"/>
    </xf>
    <xf numFmtId="0" fontId="16" fillId="0" borderId="26" xfId="4" applyFont="1" applyBorder="1" applyAlignment="1">
      <alignment vertical="top"/>
    </xf>
    <xf numFmtId="49" fontId="16" fillId="0" borderId="27" xfId="4" applyNumberFormat="1" applyFont="1" applyBorder="1" applyAlignment="1">
      <alignment horizontal="left" vertical="top"/>
    </xf>
    <xf numFmtId="165" fontId="16" fillId="0" borderId="27" xfId="4" applyNumberFormat="1" applyFont="1" applyFill="1" applyBorder="1" applyAlignment="1">
      <alignment horizontal="center" vertical="center"/>
    </xf>
    <xf numFmtId="2" fontId="0" fillId="0" borderId="28" xfId="0" applyNumberFormat="1" applyFill="1" applyBorder="1" applyAlignment="1">
      <alignment horizontal="center" vertical="center"/>
    </xf>
    <xf numFmtId="0" fontId="10" fillId="0" borderId="0" xfId="0" applyFont="1" applyFill="1"/>
    <xf numFmtId="43" fontId="10" fillId="0" borderId="0" xfId="3" applyFont="1"/>
    <xf numFmtId="164" fontId="0" fillId="0" borderId="0" xfId="3" applyNumberFormat="1" applyFont="1"/>
    <xf numFmtId="0" fontId="0" fillId="0" borderId="0" xfId="0"/>
    <xf numFmtId="0" fontId="10" fillId="0" borderId="0" xfId="0" applyFont="1"/>
    <xf numFmtId="0" fontId="10" fillId="0" borderId="29" xfId="2" applyFont="1" applyBorder="1" applyAlignment="1">
      <alignment wrapText="1"/>
    </xf>
    <xf numFmtId="0" fontId="10" fillId="0" borderId="0" xfId="2" applyFont="1" applyBorder="1"/>
    <xf numFmtId="0" fontId="10" fillId="0" borderId="4" xfId="0" applyFont="1" applyBorder="1"/>
    <xf numFmtId="0" fontId="10" fillId="0" borderId="0" xfId="0" applyFont="1" applyFill="1" applyBorder="1"/>
    <xf numFmtId="0" fontId="10" fillId="0" borderId="0" xfId="0" applyFont="1" applyBorder="1"/>
    <xf numFmtId="38" fontId="10" fillId="0" borderId="0" xfId="0" applyNumberFormat="1" applyFont="1" applyFill="1" applyBorder="1" applyAlignment="1">
      <alignment horizontal="center"/>
    </xf>
    <xf numFmtId="0" fontId="10" fillId="0" borderId="4" xfId="2" applyFont="1" applyBorder="1" applyAlignment="1">
      <alignment horizontal="left" vertical="center"/>
    </xf>
    <xf numFmtId="0" fontId="10" fillId="0" borderId="4" xfId="0" applyFont="1" applyBorder="1" applyAlignment="1">
      <alignment horizontal="center"/>
    </xf>
    <xf numFmtId="0" fontId="10" fillId="0" borderId="5" xfId="0" applyFont="1" applyBorder="1"/>
    <xf numFmtId="0" fontId="10" fillId="0" borderId="6" xfId="0" applyFont="1" applyBorder="1"/>
    <xf numFmtId="38" fontId="10" fillId="0" borderId="6" xfId="0" applyNumberFormat="1" applyFont="1" applyBorder="1" applyAlignment="1">
      <alignment horizontal="center"/>
    </xf>
    <xf numFmtId="0" fontId="23" fillId="0" borderId="3" xfId="2" applyFont="1" applyBorder="1" applyAlignment="1">
      <alignment horizontal="left" vertical="center"/>
    </xf>
    <xf numFmtId="0" fontId="10" fillId="0" borderId="0" xfId="0" applyFont="1" applyBorder="1" applyAlignment="1">
      <alignment horizontal="center"/>
    </xf>
    <xf numFmtId="3" fontId="10" fillId="0" borderId="6" xfId="0" applyNumberFormat="1" applyFont="1" applyFill="1" applyBorder="1" applyAlignment="1">
      <alignment horizontal="center"/>
    </xf>
    <xf numFmtId="0" fontId="19" fillId="2" borderId="4"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0" fillId="0" borderId="29" xfId="2" applyFont="1" applyBorder="1" applyAlignment="1">
      <alignment horizontal="center" wrapText="1"/>
    </xf>
    <xf numFmtId="0" fontId="10" fillId="0" borderId="0" xfId="2" applyFont="1" applyBorder="1" applyAlignment="1">
      <alignment horizontal="center"/>
    </xf>
    <xf numFmtId="0" fontId="10" fillId="0" borderId="6" xfId="0" applyFont="1" applyBorder="1" applyAlignment="1">
      <alignment horizontal="center"/>
    </xf>
    <xf numFmtId="0" fontId="10" fillId="0" borderId="0" xfId="0" applyFont="1" applyAlignment="1">
      <alignment horizontal="center"/>
    </xf>
    <xf numFmtId="0" fontId="11" fillId="0" borderId="3" xfId="2" applyFont="1" applyBorder="1" applyAlignment="1">
      <alignment horizontal="center" vertical="center"/>
    </xf>
    <xf numFmtId="0" fontId="10" fillId="0" borderId="4" xfId="2" applyFont="1" applyBorder="1" applyAlignment="1">
      <alignment horizontal="center"/>
    </xf>
    <xf numFmtId="0" fontId="10" fillId="0" borderId="5" xfId="0" applyFont="1" applyBorder="1" applyAlignment="1">
      <alignment horizontal="center"/>
    </xf>
    <xf numFmtId="0" fontId="10" fillId="0" borderId="4" xfId="0" applyFont="1" applyFill="1" applyBorder="1" applyAlignment="1">
      <alignment horizontal="center"/>
    </xf>
    <xf numFmtId="38" fontId="10" fillId="0" borderId="0" xfId="0" applyNumberFormat="1" applyFont="1" applyFill="1" applyBorder="1"/>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3" fontId="10" fillId="0" borderId="29" xfId="2" applyNumberFormat="1" applyFont="1" applyBorder="1" applyAlignment="1">
      <alignment horizontal="center" wrapText="1"/>
    </xf>
    <xf numFmtId="3" fontId="10" fillId="0" borderId="0" xfId="2" applyNumberFormat="1" applyFont="1" applyBorder="1" applyAlignment="1">
      <alignment horizontal="center"/>
    </xf>
    <xf numFmtId="3" fontId="10" fillId="0" borderId="0" xfId="0" applyNumberFormat="1" applyFont="1" applyBorder="1" applyAlignment="1">
      <alignment horizontal="center"/>
    </xf>
    <xf numFmtId="3" fontId="19" fillId="2"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xf>
    <xf numFmtId="3" fontId="10" fillId="0" borderId="0" xfId="0" applyNumberFormat="1" applyFont="1" applyAlignment="1">
      <alignment horizontal="center"/>
    </xf>
    <xf numFmtId="3" fontId="10" fillId="0" borderId="0" xfId="3" applyNumberFormat="1" applyFont="1"/>
    <xf numFmtId="0" fontId="17" fillId="0" borderId="0" xfId="0" applyFont="1" applyAlignment="1">
      <alignment vertical="center" wrapText="1"/>
    </xf>
    <xf numFmtId="0" fontId="18" fillId="0" borderId="0" xfId="6"/>
    <xf numFmtId="0" fontId="19" fillId="0" borderId="0" xfId="0" applyFont="1"/>
    <xf numFmtId="38" fontId="10" fillId="0" borderId="0" xfId="0" applyNumberFormat="1" applyFont="1"/>
    <xf numFmtId="3" fontId="10" fillId="0" borderId="0" xfId="0" applyNumberFormat="1" applyFont="1" applyFill="1"/>
    <xf numFmtId="3" fontId="19" fillId="0" borderId="0" xfId="3" applyNumberFormat="1" applyFont="1"/>
    <xf numFmtId="0" fontId="19" fillId="0" borderId="0" xfId="0" applyFont="1" applyAlignment="1">
      <alignment horizontal="right"/>
    </xf>
    <xf numFmtId="3" fontId="25" fillId="0" borderId="0" xfId="0" applyNumberFormat="1" applyFont="1"/>
    <xf numFmtId="0" fontId="26" fillId="0" borderId="4" xfId="0" applyFont="1" applyFill="1" applyBorder="1" applyAlignment="1">
      <alignment horizontal="center"/>
    </xf>
    <xf numFmtId="0" fontId="26" fillId="0" borderId="0" xfId="0" applyFont="1" applyFill="1" applyBorder="1"/>
    <xf numFmtId="38" fontId="26" fillId="0" borderId="0" xfId="0" applyNumberFormat="1" applyFont="1" applyFill="1" applyBorder="1"/>
    <xf numFmtId="1" fontId="27" fillId="0" borderId="4" xfId="0" applyNumberFormat="1" applyFont="1" applyFill="1" applyBorder="1" applyAlignment="1">
      <alignment horizontal="center"/>
    </xf>
    <xf numFmtId="1" fontId="26" fillId="0" borderId="0" xfId="0" applyNumberFormat="1" applyFont="1" applyFill="1" applyBorder="1" applyAlignment="1">
      <alignment horizontal="center"/>
    </xf>
    <xf numFmtId="3" fontId="26" fillId="0" borderId="0" xfId="0" applyNumberFormat="1" applyFont="1" applyFill="1" applyBorder="1" applyAlignment="1">
      <alignment horizontal="center"/>
    </xf>
    <xf numFmtId="38" fontId="26" fillId="0" borderId="0" xfId="0" applyNumberFormat="1" applyFont="1" applyFill="1" applyBorder="1" applyAlignment="1">
      <alignment horizontal="center"/>
    </xf>
    <xf numFmtId="0" fontId="19" fillId="0" borderId="4" xfId="0" applyFont="1" applyFill="1" applyBorder="1" applyAlignment="1">
      <alignment horizontal="center"/>
    </xf>
    <xf numFmtId="0" fontId="19" fillId="0" borderId="0" xfId="0" applyFont="1" applyFill="1" applyBorder="1"/>
    <xf numFmtId="38" fontId="19" fillId="0" borderId="0" xfId="0" applyNumberFormat="1" applyFont="1" applyFill="1" applyBorder="1"/>
    <xf numFmtId="1" fontId="12" fillId="0" borderId="4" xfId="0" applyNumberFormat="1" applyFont="1" applyFill="1" applyBorder="1" applyAlignment="1">
      <alignment horizontal="center"/>
    </xf>
    <xf numFmtId="1"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38" fontId="19" fillId="0" borderId="0" xfId="0" applyNumberFormat="1" applyFont="1" applyFill="1" applyBorder="1" applyAlignment="1">
      <alignment horizontal="center"/>
    </xf>
    <xf numFmtId="38" fontId="22" fillId="0" borderId="0" xfId="0" applyNumberFormat="1" applyFont="1" applyFill="1" applyAlignment="1">
      <alignment horizontal="center"/>
    </xf>
    <xf numFmtId="0" fontId="22" fillId="0" borderId="0" xfId="0" applyFont="1" applyFill="1"/>
    <xf numFmtId="0" fontId="19" fillId="0" borderId="0" xfId="0" applyFont="1" applyFill="1" applyAlignment="1">
      <alignment horizontal="center"/>
    </xf>
    <xf numFmtId="0" fontId="22" fillId="0" borderId="0" xfId="0" applyFont="1" applyFill="1" applyAlignment="1">
      <alignment horizontal="center"/>
    </xf>
    <xf numFmtId="3" fontId="22" fillId="0" borderId="0" xfId="0" applyNumberFormat="1" applyFont="1" applyFill="1" applyAlignment="1">
      <alignment horizontal="center"/>
    </xf>
    <xf numFmtId="0" fontId="19" fillId="0" borderId="0" xfId="0" applyFont="1" applyFill="1"/>
    <xf numFmtId="38" fontId="19" fillId="0" borderId="0" xfId="0" applyNumberFormat="1" applyFont="1" applyFill="1" applyAlignment="1">
      <alignment horizontal="center"/>
    </xf>
    <xf numFmtId="4" fontId="9" fillId="0" borderId="0" xfId="0" applyNumberFormat="1" applyFont="1"/>
    <xf numFmtId="0" fontId="28" fillId="2" borderId="0" xfId="0" applyFont="1" applyFill="1" applyBorder="1" applyAlignment="1">
      <alignment horizontal="center" vertical="center" wrapText="1"/>
    </xf>
    <xf numFmtId="49" fontId="4" fillId="0" borderId="0" xfId="7" applyNumberFormat="1"/>
    <xf numFmtId="0" fontId="4" fillId="0" borderId="0" xfId="7"/>
    <xf numFmtId="0" fontId="23" fillId="0" borderId="0" xfId="2" applyFont="1" applyFill="1" applyBorder="1" applyAlignment="1">
      <alignment horizontal="left" vertical="center"/>
    </xf>
    <xf numFmtId="0" fontId="10" fillId="0" borderId="0" xfId="2" applyFont="1" applyFill="1" applyBorder="1" applyAlignment="1">
      <alignment wrapText="1"/>
    </xf>
    <xf numFmtId="0" fontId="10" fillId="0" borderId="0" xfId="0" applyFont="1" applyFill="1" applyBorder="1" applyAlignment="1">
      <alignment wrapText="1"/>
    </xf>
    <xf numFmtId="0" fontId="19" fillId="2" borderId="8" xfId="0" applyFont="1" applyFill="1" applyBorder="1" applyAlignment="1">
      <alignment horizontal="center" vertical="center" wrapText="1"/>
    </xf>
    <xf numFmtId="0" fontId="19" fillId="2" borderId="8" xfId="0" applyFont="1" applyFill="1" applyBorder="1" applyAlignment="1">
      <alignment vertical="center" wrapText="1"/>
    </xf>
    <xf numFmtId="0" fontId="10" fillId="2" borderId="8" xfId="0" applyFont="1" applyFill="1" applyBorder="1" applyAlignment="1">
      <alignment horizontal="center" vertical="center" wrapText="1"/>
    </xf>
    <xf numFmtId="0" fontId="10" fillId="0" borderId="0" xfId="2" applyFont="1" applyFill="1" applyBorder="1" applyAlignment="1">
      <alignment horizontal="center" wrapText="1"/>
    </xf>
    <xf numFmtId="0" fontId="11" fillId="0" borderId="0" xfId="2" applyFont="1" applyFill="1" applyBorder="1" applyAlignment="1">
      <alignment horizontal="center" vertical="center"/>
    </xf>
    <xf numFmtId="0" fontId="0" fillId="0" borderId="0" xfId="0" applyFill="1" applyBorder="1" applyAlignment="1">
      <alignment horizontal="center"/>
    </xf>
    <xf numFmtId="1" fontId="3" fillId="0" borderId="0" xfId="0" applyNumberFormat="1" applyFont="1" applyFill="1" applyBorder="1" applyAlignment="1">
      <alignment horizontal="center"/>
    </xf>
    <xf numFmtId="0" fontId="10" fillId="0" borderId="8" xfId="0" applyFont="1" applyFill="1" applyBorder="1" applyAlignment="1">
      <alignment horizontal="center"/>
    </xf>
    <xf numFmtId="0" fontId="10" fillId="0" borderId="8" xfId="0" applyFont="1" applyFill="1" applyBorder="1"/>
    <xf numFmtId="38" fontId="10" fillId="0" borderId="8" xfId="0" applyNumberFormat="1" applyFont="1" applyFill="1" applyBorder="1" applyAlignment="1">
      <alignment horizontal="center"/>
    </xf>
    <xf numFmtId="1" fontId="10" fillId="0" borderId="8" xfId="0" applyNumberFormat="1" applyFont="1" applyFill="1" applyBorder="1" applyAlignment="1">
      <alignment horizontal="center"/>
    </xf>
    <xf numFmtId="0" fontId="4" fillId="0" borderId="8" xfId="7" applyFill="1" applyBorder="1" applyAlignment="1">
      <alignment horizontal="center"/>
    </xf>
    <xf numFmtId="1" fontId="3" fillId="0" borderId="8" xfId="0" applyNumberFormat="1" applyFont="1" applyFill="1" applyBorder="1" applyAlignment="1">
      <alignment horizontal="center"/>
    </xf>
    <xf numFmtId="1" fontId="5" fillId="2" borderId="4" xfId="0" applyNumberFormat="1" applyFont="1" applyFill="1" applyBorder="1" applyAlignment="1">
      <alignment horizontal="center"/>
    </xf>
    <xf numFmtId="1" fontId="10" fillId="2" borderId="0" xfId="0" applyNumberFormat="1" applyFont="1" applyFill="1" applyBorder="1" applyAlignment="1">
      <alignment horizontal="center"/>
    </xf>
    <xf numFmtId="1" fontId="12" fillId="2" borderId="4" xfId="0" applyNumberFormat="1" applyFont="1" applyFill="1" applyBorder="1" applyAlignment="1">
      <alignment horizontal="center"/>
    </xf>
    <xf numFmtId="1" fontId="12" fillId="0" borderId="0" xfId="0" applyNumberFormat="1" applyFont="1" applyFill="1" applyBorder="1" applyAlignment="1">
      <alignment horizontal="center"/>
    </xf>
    <xf numFmtId="1" fontId="12" fillId="2" borderId="0" xfId="0" applyNumberFormat="1" applyFont="1" applyFill="1" applyBorder="1" applyAlignment="1">
      <alignment horizontal="center"/>
    </xf>
    <xf numFmtId="3" fontId="10" fillId="0" borderId="0" xfId="3" applyNumberFormat="1" applyFont="1" applyFill="1"/>
    <xf numFmtId="4" fontId="0" fillId="0" borderId="0" xfId="0" applyNumberFormat="1" applyAlignment="1">
      <alignment horizontal="right"/>
    </xf>
    <xf numFmtId="38" fontId="10" fillId="0" borderId="0" xfId="0" applyNumberFormat="1" applyFont="1" applyAlignment="1">
      <alignment horizontal="center"/>
    </xf>
    <xf numFmtId="0" fontId="17" fillId="0" borderId="0" xfId="0" applyFont="1" applyAlignment="1">
      <alignment horizontal="left" vertical="top" wrapText="1"/>
    </xf>
    <xf numFmtId="0" fontId="10" fillId="0" borderId="0" xfId="0" applyFont="1" applyAlignment="1">
      <alignment horizontal="left" vertical="top" wrapText="1"/>
    </xf>
    <xf numFmtId="0" fontId="30" fillId="0" borderId="0" xfId="8"/>
    <xf numFmtId="0" fontId="19" fillId="2" borderId="8" xfId="8" applyFont="1" applyFill="1" applyBorder="1" applyAlignment="1">
      <alignment horizontal="center" vertical="center" wrapText="1"/>
    </xf>
    <xf numFmtId="3" fontId="19" fillId="2" borderId="8" xfId="8" applyNumberFormat="1" applyFont="1" applyFill="1" applyBorder="1" applyAlignment="1">
      <alignment horizontal="center" vertical="center" wrapText="1"/>
    </xf>
    <xf numFmtId="3" fontId="30" fillId="0" borderId="0" xfId="8" applyNumberFormat="1"/>
    <xf numFmtId="0" fontId="10" fillId="0" borderId="30" xfId="8" applyFont="1" applyBorder="1"/>
    <xf numFmtId="3" fontId="10" fillId="0" borderId="30" xfId="8" applyNumberFormat="1" applyFont="1" applyBorder="1" applyAlignment="1">
      <alignment horizontal="center"/>
    </xf>
    <xf numFmtId="3" fontId="10" fillId="0" borderId="31" xfId="8" applyNumberFormat="1" applyFont="1" applyBorder="1" applyAlignment="1">
      <alignment horizontal="center"/>
    </xf>
    <xf numFmtId="3" fontId="2" fillId="0" borderId="30" xfId="8" applyNumberFormat="1" applyFont="1" applyBorder="1" applyAlignment="1">
      <alignment horizontal="center"/>
    </xf>
    <xf numFmtId="3" fontId="10" fillId="0" borderId="31" xfId="8" applyNumberFormat="1" applyFont="1" applyFill="1" applyBorder="1" applyAlignment="1">
      <alignment horizontal="center"/>
    </xf>
    <xf numFmtId="3" fontId="30" fillId="0" borderId="0" xfId="8" applyNumberFormat="1" applyBorder="1"/>
    <xf numFmtId="38" fontId="30" fillId="0" borderId="0" xfId="8" applyNumberFormat="1" applyBorder="1"/>
    <xf numFmtId="0" fontId="10" fillId="0" borderId="8" xfId="8" applyFont="1" applyBorder="1"/>
    <xf numFmtId="3" fontId="10" fillId="0" borderId="8" xfId="8" applyNumberFormat="1" applyFont="1" applyBorder="1" applyAlignment="1">
      <alignment horizontal="center"/>
    </xf>
    <xf numFmtId="3" fontId="10" fillId="0" borderId="1" xfId="8" applyNumberFormat="1" applyFont="1" applyBorder="1" applyAlignment="1">
      <alignment horizontal="center"/>
    </xf>
    <xf numFmtId="38" fontId="30" fillId="0" borderId="8" xfId="8" applyNumberFormat="1" applyBorder="1"/>
    <xf numFmtId="0" fontId="19" fillId="0" borderId="32" xfId="8" applyFont="1" applyBorder="1"/>
    <xf numFmtId="3" fontId="19" fillId="0" borderId="32" xfId="8" applyNumberFormat="1" applyFont="1" applyBorder="1" applyAlignment="1">
      <alignment horizontal="center"/>
    </xf>
    <xf numFmtId="3" fontId="10" fillId="0" borderId="33" xfId="8" applyNumberFormat="1" applyFont="1" applyBorder="1" applyAlignment="1">
      <alignment horizontal="center"/>
    </xf>
    <xf numFmtId="3" fontId="19" fillId="0" borderId="33" xfId="8" applyNumberFormat="1" applyFont="1" applyBorder="1" applyAlignment="1">
      <alignment horizontal="center"/>
    </xf>
    <xf numFmtId="3" fontId="12" fillId="0" borderId="32" xfId="8" applyNumberFormat="1" applyFont="1" applyBorder="1" applyAlignment="1">
      <alignment horizontal="center"/>
    </xf>
    <xf numFmtId="3" fontId="33" fillId="0" borderId="32" xfId="8" applyNumberFormat="1" applyFont="1" applyBorder="1"/>
    <xf numFmtId="168" fontId="30" fillId="0" borderId="0" xfId="8" applyNumberFormat="1" applyBorder="1"/>
    <xf numFmtId="169" fontId="30" fillId="0" borderId="0" xfId="8" applyNumberFormat="1" applyBorder="1"/>
    <xf numFmtId="3" fontId="34" fillId="0" borderId="0" xfId="8" applyNumberFormat="1" applyFont="1" applyBorder="1"/>
    <xf numFmtId="3" fontId="34" fillId="0" borderId="0" xfId="8" applyNumberFormat="1" applyFont="1" applyBorder="1" applyAlignment="1">
      <alignment horizontal="right"/>
    </xf>
    <xf numFmtId="3" fontId="0" fillId="0" borderId="0" xfId="0" applyNumberFormat="1"/>
    <xf numFmtId="170" fontId="0" fillId="0" borderId="0" xfId="0" applyNumberFormat="1"/>
    <xf numFmtId="0" fontId="23" fillId="5" borderId="3" xfId="2" applyFont="1" applyFill="1" applyBorder="1" applyAlignment="1">
      <alignment horizontal="left" vertical="center"/>
    </xf>
    <xf numFmtId="0" fontId="10" fillId="5" borderId="29" xfId="2" applyFont="1" applyFill="1" applyBorder="1" applyAlignment="1">
      <alignment wrapText="1"/>
    </xf>
    <xf numFmtId="0" fontId="11" fillId="5" borderId="3" xfId="2" applyFont="1" applyFill="1" applyBorder="1" applyAlignment="1">
      <alignment horizontal="center" vertical="center"/>
    </xf>
    <xf numFmtId="0" fontId="10" fillId="5" borderId="29" xfId="2" applyFont="1" applyFill="1" applyBorder="1" applyAlignment="1">
      <alignment horizontal="center" wrapText="1"/>
    </xf>
    <xf numFmtId="38" fontId="28" fillId="0" borderId="0" xfId="0" applyNumberFormat="1" applyFont="1" applyFill="1" applyBorder="1" applyAlignment="1">
      <alignment horizontal="center"/>
    </xf>
    <xf numFmtId="38" fontId="26" fillId="0" borderId="6" xfId="0" applyNumberFormat="1" applyFont="1" applyBorder="1" applyAlignment="1">
      <alignment horizontal="center"/>
    </xf>
    <xf numFmtId="1" fontId="1" fillId="0" borderId="4" xfId="0" applyNumberFormat="1" applyFont="1" applyFill="1" applyBorder="1" applyAlignment="1">
      <alignment horizontal="center"/>
    </xf>
    <xf numFmtId="4" fontId="0" fillId="0" borderId="0" xfId="0" applyNumberFormat="1"/>
    <xf numFmtId="0" fontId="10" fillId="0" borderId="32" xfId="8" applyFont="1" applyBorder="1"/>
    <xf numFmtId="3" fontId="10" fillId="0" borderId="32" xfId="8" applyNumberFormat="1" applyFont="1" applyBorder="1" applyAlignment="1">
      <alignment horizontal="center"/>
    </xf>
    <xf numFmtId="3" fontId="2" fillId="0" borderId="34" xfId="8" applyNumberFormat="1" applyFont="1" applyBorder="1" applyAlignment="1">
      <alignment horizontal="center"/>
    </xf>
    <xf numFmtId="3" fontId="10" fillId="0" borderId="35" xfId="8" applyNumberFormat="1" applyFont="1" applyFill="1" applyBorder="1" applyAlignment="1">
      <alignment horizontal="center"/>
    </xf>
    <xf numFmtId="3" fontId="30" fillId="0" borderId="8" xfId="8" applyNumberFormat="1" applyBorder="1"/>
    <xf numFmtId="38" fontId="30" fillId="0" borderId="32" xfId="8" applyNumberFormat="1" applyBorder="1"/>
    <xf numFmtId="0" fontId="26" fillId="0" borderId="0" xfId="0" applyFont="1" applyFill="1" applyBorder="1" applyAlignment="1">
      <alignment horizontal="center"/>
    </xf>
    <xf numFmtId="167" fontId="34" fillId="0" borderId="0" xfId="8" applyNumberFormat="1" applyFont="1" applyBorder="1"/>
    <xf numFmtId="168" fontId="34" fillId="0" borderId="0" xfId="8" applyNumberFormat="1" applyFont="1" applyBorder="1"/>
    <xf numFmtId="0" fontId="30" fillId="0" borderId="0" xfId="8" applyBorder="1"/>
    <xf numFmtId="0" fontId="10" fillId="0" borderId="8" xfId="8" applyFont="1" applyFill="1" applyBorder="1" applyAlignment="1">
      <alignment horizontal="right" wrapText="1"/>
    </xf>
    <xf numFmtId="0" fontId="30" fillId="0" borderId="8" xfId="8" applyBorder="1" applyAlignment="1">
      <alignment horizontal="right"/>
    </xf>
    <xf numFmtId="167" fontId="30" fillId="0" borderId="8" xfId="8" applyNumberFormat="1" applyBorder="1"/>
    <xf numFmtId="3" fontId="35" fillId="5" borderId="8" xfId="8" applyNumberFormat="1" applyFont="1" applyFill="1" applyBorder="1" applyAlignment="1">
      <alignment wrapText="1"/>
    </xf>
    <xf numFmtId="168" fontId="30" fillId="5" borderId="8" xfId="8" applyNumberFormat="1" applyFill="1" applyBorder="1"/>
    <xf numFmtId="3" fontId="36" fillId="5" borderId="8" xfId="8" applyNumberFormat="1" applyFont="1" applyFill="1" applyBorder="1" applyAlignment="1">
      <alignment horizontal="center" vertical="center" wrapText="1"/>
    </xf>
    <xf numFmtId="38" fontId="30" fillId="2" borderId="30" xfId="8" applyNumberFormat="1" applyFill="1" applyBorder="1"/>
    <xf numFmtId="3" fontId="30" fillId="2" borderId="8" xfId="8" applyNumberFormat="1" applyFill="1" applyBorder="1"/>
    <xf numFmtId="38" fontId="30" fillId="2" borderId="8" xfId="8" applyNumberFormat="1" applyFill="1" applyBorder="1"/>
    <xf numFmtId="3" fontId="30" fillId="2" borderId="30" xfId="8" applyNumberFormat="1" applyFill="1" applyBorder="1"/>
    <xf numFmtId="3" fontId="37" fillId="2" borderId="8" xfId="8" applyNumberFormat="1" applyFont="1" applyFill="1" applyBorder="1" applyAlignment="1">
      <alignment horizontal="center" vertical="center" wrapText="1"/>
    </xf>
    <xf numFmtId="38" fontId="31" fillId="0" borderId="30" xfId="8" applyNumberFormat="1" applyFont="1" applyBorder="1"/>
    <xf numFmtId="38" fontId="31" fillId="0" borderId="0" xfId="8" applyNumberFormat="1" applyFont="1" applyBorder="1"/>
    <xf numFmtId="3" fontId="32" fillId="0" borderId="32" xfId="8" applyNumberFormat="1" applyFont="1" applyBorder="1"/>
    <xf numFmtId="3" fontId="31" fillId="0" borderId="0" xfId="8" applyNumberFormat="1" applyFont="1" applyBorder="1"/>
    <xf numFmtId="3" fontId="31" fillId="0" borderId="0" xfId="8" applyNumberFormat="1" applyFont="1"/>
    <xf numFmtId="38" fontId="10" fillId="0" borderId="0" xfId="0" applyNumberFormat="1" applyFont="1" applyFill="1"/>
    <xf numFmtId="3" fontId="10" fillId="0" borderId="35" xfId="8" applyNumberFormat="1" applyFont="1" applyBorder="1" applyAlignment="1">
      <alignment horizontal="center"/>
    </xf>
    <xf numFmtId="3" fontId="22" fillId="2" borderId="8" xfId="8" applyNumberFormat="1" applyFont="1" applyFill="1" applyBorder="1" applyAlignment="1">
      <alignment horizontal="center" vertical="center" wrapText="1"/>
    </xf>
    <xf numFmtId="0" fontId="30" fillId="0" borderId="0" xfId="8" applyFont="1" applyAlignment="1">
      <alignment horizontal="left" wrapText="1"/>
    </xf>
    <xf numFmtId="0" fontId="30" fillId="0" borderId="0" xfId="8" applyFont="1"/>
    <xf numFmtId="38" fontId="30" fillId="0" borderId="30" xfId="8" applyNumberFormat="1" applyFont="1" applyBorder="1"/>
    <xf numFmtId="38" fontId="30" fillId="0" borderId="8" xfId="8" applyNumberFormat="1" applyFont="1" applyBorder="1"/>
    <xf numFmtId="38" fontId="30" fillId="0" borderId="0" xfId="8" applyNumberFormat="1" applyFont="1" applyBorder="1"/>
    <xf numFmtId="3" fontId="33" fillId="0" borderId="0" xfId="8" applyNumberFormat="1" applyFont="1" applyBorder="1"/>
    <xf numFmtId="168" fontId="30" fillId="5" borderId="0" xfId="8" applyNumberFormat="1" applyFont="1" applyFill="1" applyBorder="1" applyAlignment="1">
      <alignment horizontal="center" wrapText="1"/>
    </xf>
    <xf numFmtId="0" fontId="30" fillId="0" borderId="0" xfId="8" applyFont="1" applyBorder="1"/>
    <xf numFmtId="3" fontId="30" fillId="0" borderId="0" xfId="8" applyNumberFormat="1" applyFont="1" applyBorder="1"/>
    <xf numFmtId="3" fontId="30" fillId="0" borderId="0" xfId="8" applyNumberFormat="1" applyFont="1"/>
    <xf numFmtId="0" fontId="39" fillId="0" borderId="8" xfId="2" applyFont="1" applyBorder="1" applyAlignment="1">
      <alignment horizontal="center" vertical="center"/>
    </xf>
    <xf numFmtId="0" fontId="30" fillId="0" borderId="8" xfId="8" applyFont="1" applyBorder="1" applyAlignment="1">
      <alignment horizontal="center" vertical="center" wrapText="1"/>
    </xf>
    <xf numFmtId="0" fontId="30" fillId="0" borderId="8" xfId="8" applyFont="1" applyBorder="1" applyAlignment="1">
      <alignment horizontal="center" vertical="center"/>
    </xf>
    <xf numFmtId="0" fontId="30" fillId="0" borderId="0" xfId="8" applyFont="1" applyAlignment="1">
      <alignment horizontal="center" vertical="center"/>
    </xf>
    <xf numFmtId="0" fontId="30" fillId="5" borderId="8" xfId="8" applyFont="1" applyFill="1" applyBorder="1" applyAlignment="1">
      <alignment horizontal="center" vertical="center" wrapText="1"/>
    </xf>
    <xf numFmtId="0" fontId="26" fillId="5" borderId="29" xfId="2" applyFont="1" applyFill="1" applyBorder="1" applyAlignment="1">
      <alignment wrapText="1"/>
    </xf>
    <xf numFmtId="3" fontId="26" fillId="0" borderId="0" xfId="8" applyNumberFormat="1" applyFont="1" applyBorder="1" applyAlignment="1">
      <alignment horizontal="center"/>
    </xf>
    <xf numFmtId="38" fontId="28" fillId="0" borderId="0" xfId="0" applyNumberFormat="1" applyFont="1" applyFill="1" applyAlignment="1">
      <alignment horizontal="center"/>
    </xf>
    <xf numFmtId="0" fontId="26" fillId="0" borderId="0" xfId="0" applyFont="1"/>
    <xf numFmtId="0" fontId="10" fillId="5" borderId="36" xfId="2" applyFont="1" applyFill="1" applyBorder="1" applyAlignment="1">
      <alignment horizontal="center" wrapText="1"/>
    </xf>
    <xf numFmtId="0" fontId="19" fillId="2" borderId="37" xfId="0" applyFont="1" applyFill="1" applyBorder="1" applyAlignment="1">
      <alignment horizontal="center" vertical="center" wrapText="1"/>
    </xf>
    <xf numFmtId="38" fontId="10" fillId="0" borderId="37" xfId="0" applyNumberFormat="1" applyFont="1" applyFill="1" applyBorder="1" applyAlignment="1">
      <alignment horizontal="center"/>
    </xf>
    <xf numFmtId="3" fontId="12" fillId="0" borderId="37" xfId="0" applyNumberFormat="1" applyFont="1" applyFill="1" applyBorder="1" applyAlignment="1">
      <alignment horizontal="center"/>
    </xf>
    <xf numFmtId="38" fontId="26" fillId="0" borderId="37" xfId="0" applyNumberFormat="1" applyFont="1" applyFill="1" applyBorder="1" applyAlignment="1">
      <alignment horizontal="center"/>
    </xf>
    <xf numFmtId="38" fontId="19" fillId="0" borderId="38" xfId="0" applyNumberFormat="1" applyFont="1" applyBorder="1" applyAlignment="1">
      <alignment horizontal="center"/>
    </xf>
    <xf numFmtId="0" fontId="17" fillId="0" borderId="0" xfId="0" applyFont="1" applyAlignment="1">
      <alignment horizontal="left" vertical="top" wrapText="1"/>
    </xf>
    <xf numFmtId="0" fontId="10" fillId="0" borderId="0" xfId="0" applyFont="1" applyAlignment="1">
      <alignment horizontal="left" vertical="top" wrapText="1"/>
    </xf>
    <xf numFmtId="0" fontId="31" fillId="0" borderId="0" xfId="8" applyFont="1" applyAlignment="1">
      <alignment horizontal="left" wrapText="1"/>
    </xf>
    <xf numFmtId="168" fontId="30" fillId="5" borderId="1" xfId="8" applyNumberFormat="1" applyFill="1" applyBorder="1" applyAlignment="1">
      <alignment horizontal="center" wrapText="1"/>
    </xf>
    <xf numFmtId="168" fontId="30" fillId="5" borderId="7" xfId="8" applyNumberFormat="1" applyFill="1" applyBorder="1" applyAlignment="1">
      <alignment horizontal="center" wrapText="1"/>
    </xf>
  </cellXfs>
  <cellStyles count="9">
    <cellStyle name="Comma" xfId="3" builtinId="3"/>
    <cellStyle name="Default" xfId="1" xr:uid="{00000000-0005-0000-0000-000001000000}"/>
    <cellStyle name="Hyperlink" xfId="6" builtinId="8"/>
    <cellStyle name="Normal" xfId="0" builtinId="0"/>
    <cellStyle name="Normal 2" xfId="7" xr:uid="{00000000-0005-0000-0000-000004000000}"/>
    <cellStyle name="Normal 3" xfId="8" xr:uid="{00000000-0005-0000-0000-000005000000}"/>
    <cellStyle name="Normal_07 - MET enro" xfId="2" xr:uid="{00000000-0005-0000-0000-000006000000}"/>
    <cellStyle name="Normal_Sheet1" xfId="4" xr:uid="{00000000-0005-0000-0000-000007000000}"/>
    <cellStyle name="Normal_Sheet1_1" xfId="5"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00"/>
      <rgbColor rgb="00993366"/>
      <rgbColor rgb="00FFFFCC"/>
      <rgbColor rgb="00CCFFFF"/>
      <rgbColor rgb="00660066"/>
      <rgbColor rgb="00FF8080"/>
      <rgbColor rgb="000066CC"/>
      <rgbColor rgb="00CCCCFF"/>
      <rgbColor rgb="00DFDF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8E8"/>
      <color rgb="FFC4C4BA"/>
      <color rgb="FFE1EFEA"/>
      <color rgb="FFEEF6F3"/>
      <color rgb="FFE5FFF7"/>
      <color rgb="FFE4F9C7"/>
      <color rgb="FFCCC6FA"/>
      <color rgb="FFFFEAAF"/>
      <color rgb="FFFFF2CD"/>
      <color rgb="FFE5B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ETCO\FY18\FY17%20Legislative%20Report\Copy%20of%20SIMS18A_METCO%20student%20enrollment%20count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huang/Documents/Z/FY19%20Proposed%20Final%20METCO%20grant%20allocations%20with%20erno%20history%200729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chuang/AppData/Local/Packages/Microsoft.MicrosoftEdge_8wekyb3d8bbwe/TempState/Downloads/alloc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x Gr. 11 &amp; 12_18A"/>
      <sheetName val="Sheet2"/>
      <sheetName val="School x Grade_18A"/>
      <sheetName val="District x Grade_18A"/>
      <sheetName val="Sheet3"/>
      <sheetName val="District x Gender_18A"/>
      <sheetName val="District x Race.Ethnicity_18A"/>
      <sheetName val="District x EcoDis_18A"/>
      <sheetName val="District x SWD_18A"/>
      <sheetName val="District x EL_18A"/>
      <sheetName val="District 18A Totals(2)"/>
    </sheetNames>
    <sheetDataSet>
      <sheetData sheetId="0"/>
      <sheetData sheetId="1"/>
      <sheetData sheetId="2"/>
      <sheetData sheetId="3"/>
      <sheetData sheetId="4">
        <row r="1">
          <cell r="A1" t="str">
            <v>Org Code</v>
          </cell>
          <cell r="B1" t="str">
            <v>Org Name</v>
          </cell>
        </row>
        <row r="2">
          <cell r="A2" t="str">
            <v>0445</v>
          </cell>
          <cell r="B2" t="str">
            <v>Abby Kelley Foster Charter Public (District)</v>
          </cell>
        </row>
        <row r="3">
          <cell r="A3" t="str">
            <v>0001</v>
          </cell>
          <cell r="B3" t="str">
            <v>Abington</v>
          </cell>
        </row>
        <row r="4">
          <cell r="A4" t="str">
            <v>0412</v>
          </cell>
          <cell r="B4" t="str">
            <v>Academy Of the Pacific Rim Charter Public (District)</v>
          </cell>
        </row>
        <row r="5">
          <cell r="A5" t="str">
            <v>0002</v>
          </cell>
          <cell r="B5" t="str">
            <v>Acton (non-op)</v>
          </cell>
        </row>
        <row r="6">
          <cell r="A6" t="str">
            <v>0600</v>
          </cell>
          <cell r="B6" t="str">
            <v>Acton-Boxborough</v>
          </cell>
        </row>
        <row r="7">
          <cell r="A7" t="str">
            <v>0003</v>
          </cell>
          <cell r="B7" t="str">
            <v>Acushnet</v>
          </cell>
        </row>
        <row r="8">
          <cell r="A8" t="str">
            <v>0004</v>
          </cell>
          <cell r="B8" t="str">
            <v>Adams (non-op)</v>
          </cell>
        </row>
        <row r="9">
          <cell r="A9" t="str">
            <v>0603</v>
          </cell>
          <cell r="B9" t="str">
            <v>Adams-Cheshire</v>
          </cell>
        </row>
        <row r="10">
          <cell r="A10" t="str">
            <v>0430</v>
          </cell>
          <cell r="B10" t="str">
            <v>Advanced Math and Science Academy Charter (District)</v>
          </cell>
        </row>
        <row r="11">
          <cell r="A11" t="str">
            <v>0005</v>
          </cell>
          <cell r="B11" t="str">
            <v>Agawam</v>
          </cell>
        </row>
        <row r="12">
          <cell r="A12" t="str">
            <v>0006</v>
          </cell>
          <cell r="B12" t="str">
            <v>Alford (non-op)</v>
          </cell>
        </row>
        <row r="13">
          <cell r="A13" t="str">
            <v>0409</v>
          </cell>
          <cell r="B13" t="str">
            <v>Alma del Mar Charter School (District)</v>
          </cell>
        </row>
        <row r="14">
          <cell r="A14" t="str">
            <v>0007</v>
          </cell>
          <cell r="B14" t="str">
            <v>Amesbury</v>
          </cell>
        </row>
        <row r="15">
          <cell r="A15" t="str">
            <v>0008</v>
          </cell>
          <cell r="B15" t="str">
            <v>Amherst</v>
          </cell>
        </row>
        <row r="16">
          <cell r="A16" t="str">
            <v>0605</v>
          </cell>
          <cell r="B16" t="str">
            <v>Amherst-Pelham</v>
          </cell>
        </row>
        <row r="17">
          <cell r="A17" t="str">
            <v>0009</v>
          </cell>
          <cell r="B17" t="str">
            <v>Andover</v>
          </cell>
        </row>
        <row r="18">
          <cell r="A18" t="str">
            <v>0104</v>
          </cell>
          <cell r="B18" t="str">
            <v>Aquinnah (non-op)</v>
          </cell>
        </row>
        <row r="19">
          <cell r="A19" t="str">
            <v>3509</v>
          </cell>
          <cell r="B19" t="str">
            <v>Argosy Collegiate Charter School (District)</v>
          </cell>
        </row>
        <row r="20">
          <cell r="A20" t="str">
            <v>0010</v>
          </cell>
          <cell r="B20" t="str">
            <v>Arlington</v>
          </cell>
        </row>
        <row r="21">
          <cell r="A21" t="str">
            <v>0011</v>
          </cell>
          <cell r="B21" t="str">
            <v>Ashburnham (non-op)</v>
          </cell>
        </row>
        <row r="22">
          <cell r="A22" t="str">
            <v>0610</v>
          </cell>
          <cell r="B22" t="str">
            <v>Ashburnham-Westminster</v>
          </cell>
        </row>
        <row r="23">
          <cell r="A23" t="str">
            <v>0012</v>
          </cell>
          <cell r="B23" t="str">
            <v>Ashby (non-op)</v>
          </cell>
        </row>
        <row r="24">
          <cell r="A24" t="str">
            <v>0013</v>
          </cell>
          <cell r="B24" t="str">
            <v>Ashfield (non-op)</v>
          </cell>
        </row>
        <row r="25">
          <cell r="A25" t="str">
            <v>0014</v>
          </cell>
          <cell r="B25" t="str">
            <v>Ashland</v>
          </cell>
        </row>
        <row r="26">
          <cell r="A26" t="str">
            <v>0801</v>
          </cell>
          <cell r="B26" t="str">
            <v>Assabet Valley Regional Vocational Technical</v>
          </cell>
        </row>
        <row r="27">
          <cell r="A27" t="str">
            <v>0015</v>
          </cell>
          <cell r="B27" t="str">
            <v>Athol (non-op)</v>
          </cell>
        </row>
        <row r="28">
          <cell r="A28" t="str">
            <v>0615</v>
          </cell>
          <cell r="B28" t="str">
            <v>Athol-Royalston</v>
          </cell>
        </row>
        <row r="29">
          <cell r="A29" t="str">
            <v>0491</v>
          </cell>
          <cell r="B29" t="str">
            <v>Atlantis Charter (District)</v>
          </cell>
        </row>
        <row r="30">
          <cell r="A30" t="str">
            <v>0016</v>
          </cell>
          <cell r="B30" t="str">
            <v>Attleboro</v>
          </cell>
        </row>
        <row r="31">
          <cell r="A31" t="str">
            <v>0017</v>
          </cell>
          <cell r="B31" t="str">
            <v>Auburn</v>
          </cell>
        </row>
        <row r="32">
          <cell r="A32" t="str">
            <v>0018</v>
          </cell>
          <cell r="B32" t="str">
            <v>Avon</v>
          </cell>
        </row>
        <row r="33">
          <cell r="A33" t="str">
            <v>0019</v>
          </cell>
          <cell r="B33" t="str">
            <v>Ayer (non-op)</v>
          </cell>
        </row>
        <row r="34">
          <cell r="A34" t="str">
            <v>0616</v>
          </cell>
          <cell r="B34" t="str">
            <v>Ayer Shirley School District</v>
          </cell>
        </row>
        <row r="35">
          <cell r="A35" t="str">
            <v>0020</v>
          </cell>
          <cell r="B35" t="str">
            <v>Barnstable</v>
          </cell>
        </row>
        <row r="36">
          <cell r="A36" t="str">
            <v>0427</v>
          </cell>
          <cell r="B36" t="str">
            <v>Barnstable Community Horace Mann Charter Public (District)</v>
          </cell>
        </row>
        <row r="37">
          <cell r="A37" t="str">
            <v>0021</v>
          </cell>
          <cell r="B37" t="str">
            <v>Barre (non-op)</v>
          </cell>
        </row>
        <row r="38">
          <cell r="A38" t="str">
            <v>3502</v>
          </cell>
          <cell r="B38" t="str">
            <v>Baystate Academy Charter Public School (District)</v>
          </cell>
        </row>
        <row r="39">
          <cell r="A39" t="str">
            <v>0022</v>
          </cell>
          <cell r="B39" t="str">
            <v>Becket (non-op)</v>
          </cell>
        </row>
        <row r="40">
          <cell r="A40" t="str">
            <v>0023</v>
          </cell>
          <cell r="B40" t="str">
            <v>Bedford</v>
          </cell>
        </row>
        <row r="41">
          <cell r="A41" t="str">
            <v>0024</v>
          </cell>
          <cell r="B41" t="str">
            <v>Belchertown</v>
          </cell>
        </row>
        <row r="42">
          <cell r="A42" t="str">
            <v>0025</v>
          </cell>
          <cell r="B42" t="str">
            <v>Bellingham</v>
          </cell>
        </row>
        <row r="43">
          <cell r="A43" t="str">
            <v>0026</v>
          </cell>
          <cell r="B43" t="str">
            <v>Belmont</v>
          </cell>
        </row>
        <row r="44">
          <cell r="A44" t="str">
            <v>0420</v>
          </cell>
          <cell r="B44" t="str">
            <v>Benjamin Banneker Charter Public (District)</v>
          </cell>
        </row>
        <row r="45">
          <cell r="A45" t="str">
            <v>0447</v>
          </cell>
          <cell r="B45" t="str">
            <v>Benjamin Franklin Classical Charter Public (District)</v>
          </cell>
        </row>
        <row r="46">
          <cell r="A46" t="str">
            <v>3511</v>
          </cell>
          <cell r="B46" t="str">
            <v>Bentley Academy Charter School (District)</v>
          </cell>
        </row>
        <row r="47">
          <cell r="A47" t="str">
            <v>0027</v>
          </cell>
          <cell r="B47" t="str">
            <v>Berkley</v>
          </cell>
        </row>
        <row r="48">
          <cell r="A48" t="str">
            <v>0414</v>
          </cell>
          <cell r="B48" t="str">
            <v>Berkshire Arts and Technology Charter Public (District)</v>
          </cell>
        </row>
        <row r="49">
          <cell r="A49" t="str">
            <v>0618</v>
          </cell>
          <cell r="B49" t="str">
            <v>Berkshire Hills</v>
          </cell>
        </row>
        <row r="50">
          <cell r="A50" t="str">
            <v>0028</v>
          </cell>
          <cell r="B50" t="str">
            <v>Berlin</v>
          </cell>
        </row>
        <row r="51">
          <cell r="A51" t="str">
            <v>0620</v>
          </cell>
          <cell r="B51" t="str">
            <v>Berlin-Boylston</v>
          </cell>
        </row>
        <row r="52">
          <cell r="A52" t="str">
            <v>0029</v>
          </cell>
          <cell r="B52" t="str">
            <v>Bernardston (non-op)</v>
          </cell>
        </row>
        <row r="53">
          <cell r="A53" t="str">
            <v>0030</v>
          </cell>
          <cell r="B53" t="str">
            <v>Beverly</v>
          </cell>
        </row>
        <row r="54">
          <cell r="A54" t="str">
            <v>0031</v>
          </cell>
          <cell r="B54" t="str">
            <v>Billerica</v>
          </cell>
        </row>
        <row r="55">
          <cell r="A55" t="str">
            <v>0032</v>
          </cell>
          <cell r="B55" t="str">
            <v>Blackstone (non-op)</v>
          </cell>
        </row>
        <row r="56">
          <cell r="A56" t="str">
            <v>0805</v>
          </cell>
          <cell r="B56" t="str">
            <v>Blackstone Valley Regional Vocational Technical</v>
          </cell>
        </row>
        <row r="57">
          <cell r="A57" t="str">
            <v>0622</v>
          </cell>
          <cell r="B57" t="str">
            <v>Blackstone-Millville</v>
          </cell>
        </row>
        <row r="58">
          <cell r="A58" t="str">
            <v>0033</v>
          </cell>
          <cell r="B58" t="str">
            <v>Blandford (non-op)</v>
          </cell>
        </row>
        <row r="59">
          <cell r="A59" t="str">
            <v>0806</v>
          </cell>
          <cell r="B59" t="str">
            <v>Blue Hills Regional Vocational Technical</v>
          </cell>
        </row>
        <row r="60">
          <cell r="A60" t="str">
            <v>0034</v>
          </cell>
          <cell r="B60" t="str">
            <v>Bolton (non-op)</v>
          </cell>
        </row>
        <row r="61">
          <cell r="A61" t="str">
            <v>0035</v>
          </cell>
          <cell r="B61" t="str">
            <v>Boston</v>
          </cell>
        </row>
        <row r="62">
          <cell r="A62" t="str">
            <v>0449</v>
          </cell>
          <cell r="B62" t="str">
            <v>Boston Collegiate Charter (District)</v>
          </cell>
        </row>
        <row r="63">
          <cell r="A63" t="str">
            <v>0424</v>
          </cell>
          <cell r="B63" t="str">
            <v>Boston Day and Evening Academy Charter (District)</v>
          </cell>
        </row>
        <row r="64">
          <cell r="A64" t="str">
            <v>0411</v>
          </cell>
          <cell r="B64" t="str">
            <v>Boston Green Academy Horace Mann Charter School (District)</v>
          </cell>
        </row>
        <row r="65">
          <cell r="A65" t="str">
            <v>0416</v>
          </cell>
          <cell r="B65" t="str">
            <v>Boston Preparatory Charter Public (District)</v>
          </cell>
        </row>
        <row r="66">
          <cell r="A66" t="str">
            <v>0481</v>
          </cell>
          <cell r="B66" t="str">
            <v>Boston Renaissance Charter Public (District)</v>
          </cell>
        </row>
        <row r="67">
          <cell r="A67" t="str">
            <v>0036</v>
          </cell>
          <cell r="B67" t="str">
            <v>Bourne</v>
          </cell>
        </row>
        <row r="68">
          <cell r="A68" t="str">
            <v>0037</v>
          </cell>
          <cell r="B68" t="str">
            <v>Boxborough (non-op)</v>
          </cell>
        </row>
        <row r="69">
          <cell r="A69" t="str">
            <v>0038</v>
          </cell>
          <cell r="B69" t="str">
            <v>Boxford</v>
          </cell>
        </row>
        <row r="70">
          <cell r="A70" t="str">
            <v>0039</v>
          </cell>
          <cell r="B70" t="str">
            <v>Boylston</v>
          </cell>
        </row>
        <row r="71">
          <cell r="A71" t="str">
            <v>0040</v>
          </cell>
          <cell r="B71" t="str">
            <v>Braintree</v>
          </cell>
        </row>
        <row r="72">
          <cell r="A72" t="str">
            <v>0041</v>
          </cell>
          <cell r="B72" t="str">
            <v>Brewster</v>
          </cell>
        </row>
        <row r="73">
          <cell r="A73" t="str">
            <v>0417</v>
          </cell>
          <cell r="B73" t="str">
            <v>Bridge Boston Charter School (District)</v>
          </cell>
        </row>
        <row r="74">
          <cell r="A74" t="str">
            <v>0042</v>
          </cell>
          <cell r="B74" t="str">
            <v>Bridgewater (non-op)</v>
          </cell>
        </row>
        <row r="75">
          <cell r="A75" t="str">
            <v>0625</v>
          </cell>
          <cell r="B75" t="str">
            <v>Bridgewater-Raynham</v>
          </cell>
        </row>
        <row r="76">
          <cell r="A76" t="str">
            <v>0043</v>
          </cell>
          <cell r="B76" t="str">
            <v>Brimfield</v>
          </cell>
        </row>
        <row r="77">
          <cell r="A77" t="str">
            <v>0910</v>
          </cell>
          <cell r="B77" t="str">
            <v>Bristol County Agricultural</v>
          </cell>
        </row>
        <row r="78">
          <cell r="A78" t="str">
            <v>0810</v>
          </cell>
          <cell r="B78" t="str">
            <v>Bristol-Plymouth Regional Vocational Technical</v>
          </cell>
        </row>
        <row r="79">
          <cell r="A79" t="str">
            <v>0044</v>
          </cell>
          <cell r="B79" t="str">
            <v>Brockton</v>
          </cell>
        </row>
        <row r="80">
          <cell r="A80" t="str">
            <v>0428</v>
          </cell>
          <cell r="B80" t="str">
            <v>Brooke Charter School (District)</v>
          </cell>
        </row>
        <row r="81">
          <cell r="A81" t="str">
            <v>0045</v>
          </cell>
          <cell r="B81" t="str">
            <v>Brookfield</v>
          </cell>
        </row>
        <row r="82">
          <cell r="A82" t="str">
            <v>0046</v>
          </cell>
          <cell r="B82" t="str">
            <v>Brookline</v>
          </cell>
        </row>
        <row r="83">
          <cell r="A83" t="str">
            <v>0047</v>
          </cell>
          <cell r="B83" t="str">
            <v>Buckland (non-op)</v>
          </cell>
        </row>
        <row r="84">
          <cell r="A84" t="str">
            <v>0048</v>
          </cell>
          <cell r="B84" t="str">
            <v>Burlington</v>
          </cell>
        </row>
        <row r="85">
          <cell r="A85" t="str">
            <v>0049</v>
          </cell>
          <cell r="B85" t="str">
            <v>Cambridge</v>
          </cell>
        </row>
        <row r="86">
          <cell r="A86" t="str">
            <v>0050</v>
          </cell>
          <cell r="B86" t="str">
            <v>Canton</v>
          </cell>
        </row>
        <row r="87">
          <cell r="A87" t="str">
            <v>0432</v>
          </cell>
          <cell r="B87" t="str">
            <v>Cape Cod Lighthouse Charter (District)</v>
          </cell>
        </row>
        <row r="88">
          <cell r="A88" t="str">
            <v>0815</v>
          </cell>
          <cell r="B88" t="str">
            <v>Cape Cod Regional Vocational Technical</v>
          </cell>
        </row>
        <row r="89">
          <cell r="A89" t="str">
            <v>0051</v>
          </cell>
          <cell r="B89" t="str">
            <v>Carlisle</v>
          </cell>
        </row>
        <row r="90">
          <cell r="A90" t="str">
            <v>0052</v>
          </cell>
          <cell r="B90" t="str">
            <v>Carver</v>
          </cell>
        </row>
        <row r="91">
          <cell r="A91" t="str">
            <v>0635</v>
          </cell>
          <cell r="B91" t="str">
            <v>Central Berkshire</v>
          </cell>
        </row>
        <row r="92">
          <cell r="A92" t="str">
            <v>0053</v>
          </cell>
          <cell r="B92" t="str">
            <v>Charlemont (non-op)</v>
          </cell>
        </row>
        <row r="93">
          <cell r="A93" t="str">
            <v>0054</v>
          </cell>
          <cell r="B93" t="str">
            <v>Charlton (non-op)</v>
          </cell>
        </row>
        <row r="94">
          <cell r="A94" t="str">
            <v>0055</v>
          </cell>
          <cell r="B94" t="str">
            <v>Chatham (non-op)</v>
          </cell>
        </row>
        <row r="95">
          <cell r="A95" t="str">
            <v>0056</v>
          </cell>
          <cell r="B95" t="str">
            <v>Chelmsford</v>
          </cell>
        </row>
        <row r="96">
          <cell r="A96" t="str">
            <v>0057</v>
          </cell>
          <cell r="B96" t="str">
            <v>Chelsea</v>
          </cell>
        </row>
        <row r="97">
          <cell r="A97" t="str">
            <v>0058</v>
          </cell>
          <cell r="B97" t="str">
            <v>Cheshire (non-op)</v>
          </cell>
        </row>
        <row r="98">
          <cell r="A98" t="str">
            <v>0059</v>
          </cell>
          <cell r="B98" t="str">
            <v>Chester (non-op)</v>
          </cell>
        </row>
        <row r="99">
          <cell r="A99" t="str">
            <v>0060</v>
          </cell>
          <cell r="B99" t="str">
            <v>Chesterfield (non-op)</v>
          </cell>
        </row>
        <row r="100">
          <cell r="A100" t="str">
            <v>0632</v>
          </cell>
          <cell r="B100" t="str">
            <v>Chesterfield-Goshen</v>
          </cell>
        </row>
        <row r="101">
          <cell r="A101" t="str">
            <v>0061</v>
          </cell>
          <cell r="B101" t="str">
            <v>Chicopee</v>
          </cell>
        </row>
        <row r="102">
          <cell r="A102" t="str">
            <v>0062</v>
          </cell>
          <cell r="B102" t="str">
            <v>Chilmark (non-op)</v>
          </cell>
        </row>
        <row r="103">
          <cell r="A103" t="str">
            <v>0418</v>
          </cell>
          <cell r="B103" t="str">
            <v>Christa McAuliffe Charter Public (District)</v>
          </cell>
        </row>
        <row r="104">
          <cell r="A104" t="str">
            <v>0437</v>
          </cell>
          <cell r="B104" t="str">
            <v>City on a Hill Charter Public School Circuit Street (District)</v>
          </cell>
        </row>
        <row r="105">
          <cell r="A105" t="str">
            <v>3504</v>
          </cell>
          <cell r="B105" t="str">
            <v>City on a Hill Charter Public School Dudley Square (District)</v>
          </cell>
        </row>
        <row r="106">
          <cell r="A106" t="str">
            <v>3507</v>
          </cell>
          <cell r="B106" t="str">
            <v>City on a Hill Charter Public School New Bedford (District)</v>
          </cell>
        </row>
        <row r="107">
          <cell r="A107" t="str">
            <v>0063</v>
          </cell>
          <cell r="B107" t="str">
            <v>Clarksburg</v>
          </cell>
        </row>
        <row r="108">
          <cell r="A108" t="str">
            <v>0064</v>
          </cell>
          <cell r="B108" t="str">
            <v>Clinton</v>
          </cell>
        </row>
        <row r="109">
          <cell r="A109" t="str">
            <v>0438</v>
          </cell>
          <cell r="B109" t="str">
            <v>Codman Academy Charter Public (District)</v>
          </cell>
        </row>
        <row r="110">
          <cell r="A110" t="str">
            <v>0065</v>
          </cell>
          <cell r="B110" t="str">
            <v>Cohasset</v>
          </cell>
        </row>
        <row r="111">
          <cell r="A111" t="str">
            <v>3503</v>
          </cell>
          <cell r="B111" t="str">
            <v>Collegiate Charter School of Lowell (District)</v>
          </cell>
        </row>
        <row r="112">
          <cell r="A112" t="str">
            <v>0066</v>
          </cell>
          <cell r="B112" t="str">
            <v>Colrain (non-op)</v>
          </cell>
        </row>
        <row r="113">
          <cell r="A113" t="str">
            <v>0436</v>
          </cell>
          <cell r="B113" t="str">
            <v>Community Charter School of Cambridge (District)</v>
          </cell>
        </row>
        <row r="114">
          <cell r="A114" t="str">
            <v>0426</v>
          </cell>
          <cell r="B114" t="str">
            <v>Community Day Charter Public School - Gateway (District)</v>
          </cell>
        </row>
        <row r="115">
          <cell r="A115" t="str">
            <v>0440</v>
          </cell>
          <cell r="B115" t="str">
            <v>Community Day Charter Public School - Prospect (District)</v>
          </cell>
        </row>
        <row r="116">
          <cell r="A116" t="str">
            <v>0431</v>
          </cell>
          <cell r="B116" t="str">
            <v>Community Day Charter Public School - R. Kingman Webster (District)</v>
          </cell>
        </row>
        <row r="117">
          <cell r="A117" t="str">
            <v>0067</v>
          </cell>
          <cell r="B117" t="str">
            <v>Concord</v>
          </cell>
        </row>
        <row r="118">
          <cell r="A118" t="str">
            <v>0640</v>
          </cell>
          <cell r="B118" t="str">
            <v>Concord-Carlisle</v>
          </cell>
        </row>
        <row r="119">
          <cell r="A119" t="str">
            <v>0439</v>
          </cell>
          <cell r="B119" t="str">
            <v>Conservatory Lab Charter (District)</v>
          </cell>
        </row>
        <row r="120">
          <cell r="A120" t="str">
            <v>0068</v>
          </cell>
          <cell r="B120" t="str">
            <v>Conway</v>
          </cell>
        </row>
        <row r="121">
          <cell r="A121" t="str">
            <v>0069</v>
          </cell>
          <cell r="B121" t="str">
            <v>Cummington (non-op)</v>
          </cell>
        </row>
        <row r="122">
          <cell r="A122" t="str">
            <v>0070</v>
          </cell>
          <cell r="B122" t="str">
            <v>Dalton (non-op)</v>
          </cell>
        </row>
        <row r="123">
          <cell r="A123" t="str">
            <v>0071</v>
          </cell>
          <cell r="B123" t="str">
            <v>Danvers</v>
          </cell>
        </row>
        <row r="124">
          <cell r="A124" t="str">
            <v>0072</v>
          </cell>
          <cell r="B124" t="str">
            <v>Dartmouth</v>
          </cell>
        </row>
        <row r="125">
          <cell r="A125" t="str">
            <v>0073</v>
          </cell>
          <cell r="B125" t="str">
            <v>Dedham</v>
          </cell>
        </row>
        <row r="126">
          <cell r="A126" t="str">
            <v>0074</v>
          </cell>
          <cell r="B126" t="str">
            <v>Deerfield</v>
          </cell>
        </row>
        <row r="127">
          <cell r="A127" t="str">
            <v>0075</v>
          </cell>
          <cell r="B127" t="str">
            <v>Dennis (non-op)</v>
          </cell>
        </row>
        <row r="128">
          <cell r="A128" t="str">
            <v>0645</v>
          </cell>
          <cell r="B128" t="str">
            <v>Dennis-Yarmouth</v>
          </cell>
        </row>
        <row r="129">
          <cell r="A129" t="str">
            <v>0352</v>
          </cell>
          <cell r="B129" t="str">
            <v>Devens (non-op)</v>
          </cell>
        </row>
        <row r="130">
          <cell r="A130" t="str">
            <v>0076</v>
          </cell>
          <cell r="B130" t="str">
            <v>Dighton (non-op)</v>
          </cell>
        </row>
        <row r="131">
          <cell r="A131" t="str">
            <v>0650</v>
          </cell>
          <cell r="B131" t="str">
            <v>Dighton-Rehoboth</v>
          </cell>
        </row>
        <row r="132">
          <cell r="A132" t="str">
            <v>0077</v>
          </cell>
          <cell r="B132" t="str">
            <v>Douglas</v>
          </cell>
        </row>
        <row r="133">
          <cell r="A133" t="str">
            <v>0078</v>
          </cell>
          <cell r="B133" t="str">
            <v>Dover</v>
          </cell>
        </row>
        <row r="134">
          <cell r="A134" t="str">
            <v>0655</v>
          </cell>
          <cell r="B134" t="str">
            <v>Dover-Sherborn</v>
          </cell>
        </row>
        <row r="135">
          <cell r="A135" t="str">
            <v>0079</v>
          </cell>
          <cell r="B135" t="str">
            <v>Dracut</v>
          </cell>
        </row>
        <row r="136">
          <cell r="A136" t="str">
            <v>0080</v>
          </cell>
          <cell r="B136" t="str">
            <v>Dudley (non-op)</v>
          </cell>
        </row>
        <row r="137">
          <cell r="A137" t="str">
            <v>0407</v>
          </cell>
          <cell r="B137" t="str">
            <v>Dudley Street Neighborhood Charter School (District)</v>
          </cell>
        </row>
        <row r="138">
          <cell r="A138" t="str">
            <v>0658</v>
          </cell>
          <cell r="B138" t="str">
            <v>Dudley-Charlton Reg</v>
          </cell>
        </row>
        <row r="139">
          <cell r="A139" t="str">
            <v>0081</v>
          </cell>
          <cell r="B139" t="str">
            <v>Dunstable (non-op)</v>
          </cell>
        </row>
        <row r="140">
          <cell r="A140" t="str">
            <v>0082</v>
          </cell>
          <cell r="B140" t="str">
            <v>Duxbury</v>
          </cell>
        </row>
        <row r="141">
          <cell r="A141" t="str">
            <v>0083</v>
          </cell>
          <cell r="B141" t="str">
            <v>East Bridgewater</v>
          </cell>
        </row>
        <row r="142">
          <cell r="A142" t="str">
            <v>0084</v>
          </cell>
          <cell r="B142" t="str">
            <v>East Brookfield (non-op)</v>
          </cell>
        </row>
        <row r="143">
          <cell r="A143" t="str">
            <v>0087</v>
          </cell>
          <cell r="B143" t="str">
            <v>East Longmeadow</v>
          </cell>
        </row>
        <row r="144">
          <cell r="A144" t="str">
            <v>0085</v>
          </cell>
          <cell r="B144" t="str">
            <v>Eastham</v>
          </cell>
        </row>
        <row r="145">
          <cell r="A145" t="str">
            <v>0086</v>
          </cell>
          <cell r="B145" t="str">
            <v>Easthampton</v>
          </cell>
        </row>
        <row r="146">
          <cell r="A146" t="str">
            <v>0088</v>
          </cell>
          <cell r="B146" t="str">
            <v>Easton</v>
          </cell>
        </row>
        <row r="147">
          <cell r="A147" t="str">
            <v>0089</v>
          </cell>
          <cell r="B147" t="str">
            <v>Edgartown</v>
          </cell>
        </row>
        <row r="148">
          <cell r="A148" t="str">
            <v>0452</v>
          </cell>
          <cell r="B148" t="str">
            <v>Edward M. Kennedy Academy for Health Careers (Horace Mann Charter) (District)</v>
          </cell>
        </row>
        <row r="149">
          <cell r="A149" t="str">
            <v>0090</v>
          </cell>
          <cell r="B149" t="str">
            <v>Egremont (non-op)</v>
          </cell>
        </row>
        <row r="150">
          <cell r="A150" t="str">
            <v>0091</v>
          </cell>
          <cell r="B150" t="str">
            <v>Erving</v>
          </cell>
        </row>
        <row r="151">
          <cell r="A151" t="str">
            <v>0092</v>
          </cell>
          <cell r="B151" t="str">
            <v>Essex (non-op)</v>
          </cell>
        </row>
        <row r="152">
          <cell r="A152" t="str">
            <v>0817</v>
          </cell>
          <cell r="B152" t="str">
            <v>Essex North Shore Agricultural and Technical School District</v>
          </cell>
        </row>
        <row r="153">
          <cell r="A153" t="str">
            <v>0093</v>
          </cell>
          <cell r="B153" t="str">
            <v>Everett</v>
          </cell>
        </row>
        <row r="154">
          <cell r="A154" t="str">
            <v>0410</v>
          </cell>
          <cell r="B154" t="str">
            <v>Excel Academy Charter (District)</v>
          </cell>
        </row>
        <row r="155">
          <cell r="A155" t="str">
            <v>0094</v>
          </cell>
          <cell r="B155" t="str">
            <v>Fairhaven</v>
          </cell>
        </row>
        <row r="156">
          <cell r="A156" t="str">
            <v>0095</v>
          </cell>
          <cell r="B156" t="str">
            <v>Fall River</v>
          </cell>
        </row>
        <row r="157">
          <cell r="A157" t="str">
            <v>0096</v>
          </cell>
          <cell r="B157" t="str">
            <v>Falmouth</v>
          </cell>
        </row>
        <row r="158">
          <cell r="A158" t="str">
            <v>0662</v>
          </cell>
          <cell r="B158" t="str">
            <v>Farmington River Reg</v>
          </cell>
        </row>
        <row r="159">
          <cell r="A159" t="str">
            <v>0097</v>
          </cell>
          <cell r="B159" t="str">
            <v>Fitchburg</v>
          </cell>
        </row>
        <row r="160">
          <cell r="A160" t="str">
            <v>0098</v>
          </cell>
          <cell r="B160" t="str">
            <v>Florida</v>
          </cell>
        </row>
        <row r="161">
          <cell r="A161" t="str">
            <v>0413</v>
          </cell>
          <cell r="B161" t="str">
            <v>Four Rivers Charter Public (District)</v>
          </cell>
        </row>
        <row r="162">
          <cell r="A162" t="str">
            <v>0099</v>
          </cell>
          <cell r="B162" t="str">
            <v>Foxborough</v>
          </cell>
        </row>
        <row r="163">
          <cell r="A163" t="str">
            <v>0446</v>
          </cell>
          <cell r="B163" t="str">
            <v>Foxborough Regional Charter (District)</v>
          </cell>
        </row>
        <row r="164">
          <cell r="A164" t="str">
            <v>0100</v>
          </cell>
          <cell r="B164" t="str">
            <v>Framingham</v>
          </cell>
        </row>
        <row r="165">
          <cell r="A165" t="str">
            <v>0478</v>
          </cell>
          <cell r="B165" t="str">
            <v>Francis W. Parker Charter Essential (District)</v>
          </cell>
        </row>
        <row r="166">
          <cell r="A166" t="str">
            <v>0101</v>
          </cell>
          <cell r="B166" t="str">
            <v>Franklin</v>
          </cell>
        </row>
        <row r="167">
          <cell r="A167" t="str">
            <v>0818</v>
          </cell>
          <cell r="B167" t="str">
            <v>Franklin County Regional Vocational Technical</v>
          </cell>
        </row>
        <row r="168">
          <cell r="A168" t="str">
            <v>0102</v>
          </cell>
          <cell r="B168" t="str">
            <v>Freetown (non-op)</v>
          </cell>
        </row>
        <row r="169">
          <cell r="A169" t="str">
            <v>0665</v>
          </cell>
          <cell r="B169" t="str">
            <v>Freetown-Lakeville</v>
          </cell>
        </row>
        <row r="170">
          <cell r="A170" t="str">
            <v>0670</v>
          </cell>
          <cell r="B170" t="str">
            <v>Frontier</v>
          </cell>
        </row>
        <row r="171">
          <cell r="A171" t="str">
            <v>0103</v>
          </cell>
          <cell r="B171" t="str">
            <v>Gardner</v>
          </cell>
        </row>
        <row r="172">
          <cell r="A172" t="str">
            <v>0672</v>
          </cell>
          <cell r="B172" t="str">
            <v>Gateway</v>
          </cell>
        </row>
        <row r="173">
          <cell r="A173" t="str">
            <v>0105</v>
          </cell>
          <cell r="B173" t="str">
            <v>Georgetown</v>
          </cell>
        </row>
        <row r="174">
          <cell r="A174" t="str">
            <v>0106</v>
          </cell>
          <cell r="B174" t="str">
            <v>Gill (non-op)</v>
          </cell>
        </row>
        <row r="175">
          <cell r="A175" t="str">
            <v>0674</v>
          </cell>
          <cell r="B175" t="str">
            <v>Gill-Montague</v>
          </cell>
        </row>
        <row r="176">
          <cell r="A176" t="str">
            <v>0496</v>
          </cell>
          <cell r="B176" t="str">
            <v>Global Learning Charter Public (District)</v>
          </cell>
        </row>
        <row r="177">
          <cell r="A177" t="str">
            <v>0107</v>
          </cell>
          <cell r="B177" t="str">
            <v>Gloucester</v>
          </cell>
        </row>
        <row r="178">
          <cell r="A178" t="str">
            <v>0108</v>
          </cell>
          <cell r="B178" t="str">
            <v>Goshen (non-op)</v>
          </cell>
        </row>
        <row r="179">
          <cell r="A179" t="str">
            <v>0109</v>
          </cell>
          <cell r="B179" t="str">
            <v>Gosnold</v>
          </cell>
        </row>
        <row r="180">
          <cell r="A180" t="str">
            <v>0110</v>
          </cell>
          <cell r="B180" t="str">
            <v>Grafton</v>
          </cell>
        </row>
        <row r="181">
          <cell r="A181" t="str">
            <v>0111</v>
          </cell>
          <cell r="B181" t="str">
            <v>Granby</v>
          </cell>
        </row>
        <row r="182">
          <cell r="A182" t="str">
            <v>0112</v>
          </cell>
          <cell r="B182" t="str">
            <v>Granville (non-op)</v>
          </cell>
        </row>
        <row r="183">
          <cell r="A183" t="str">
            <v>0113</v>
          </cell>
          <cell r="B183" t="str">
            <v>Great Barrington (non-op)</v>
          </cell>
        </row>
        <row r="184">
          <cell r="A184" t="str">
            <v>0821</v>
          </cell>
          <cell r="B184" t="str">
            <v>Greater Fall River Regional Vocational Technical</v>
          </cell>
        </row>
        <row r="185">
          <cell r="A185" t="str">
            <v>0823</v>
          </cell>
          <cell r="B185" t="str">
            <v>Greater Lawrence Regional Vocational Technical</v>
          </cell>
        </row>
        <row r="186">
          <cell r="A186" t="str">
            <v>0828</v>
          </cell>
          <cell r="B186" t="str">
            <v>Greater Lowell Regional Vocational Technical</v>
          </cell>
        </row>
        <row r="187">
          <cell r="A187" t="str">
            <v>0825</v>
          </cell>
          <cell r="B187" t="str">
            <v>Greater New Bedford Regional Vocational Technical</v>
          </cell>
        </row>
        <row r="188">
          <cell r="A188" t="str">
            <v>0114</v>
          </cell>
          <cell r="B188" t="str">
            <v>Greenfield</v>
          </cell>
        </row>
        <row r="189">
          <cell r="A189" t="str">
            <v>3901</v>
          </cell>
          <cell r="B189" t="str">
            <v>Greenfield Commonwealth Virtual District</v>
          </cell>
        </row>
        <row r="190">
          <cell r="A190" t="str">
            <v>0115</v>
          </cell>
          <cell r="B190" t="str">
            <v>Groton (non-op)</v>
          </cell>
        </row>
        <row r="191">
          <cell r="A191" t="str">
            <v>0673</v>
          </cell>
          <cell r="B191" t="str">
            <v>Groton-Dunstable</v>
          </cell>
        </row>
        <row r="192">
          <cell r="A192" t="str">
            <v>0116</v>
          </cell>
          <cell r="B192" t="str">
            <v>Groveland (non-op)</v>
          </cell>
        </row>
        <row r="193">
          <cell r="A193" t="str">
            <v>0117</v>
          </cell>
          <cell r="B193" t="str">
            <v>Hadley</v>
          </cell>
        </row>
        <row r="194">
          <cell r="A194" t="str">
            <v>0118</v>
          </cell>
          <cell r="B194" t="str">
            <v>Halifax</v>
          </cell>
        </row>
        <row r="195">
          <cell r="A195" t="str">
            <v>0119</v>
          </cell>
          <cell r="B195" t="str">
            <v>Hamilton (non-op)</v>
          </cell>
        </row>
        <row r="196">
          <cell r="A196" t="str">
            <v>0675</v>
          </cell>
          <cell r="B196" t="str">
            <v>Hamilton-Wenham</v>
          </cell>
        </row>
        <row r="197">
          <cell r="A197" t="str">
            <v>0120</v>
          </cell>
          <cell r="B197" t="str">
            <v>Hampden (non-op)</v>
          </cell>
        </row>
        <row r="198">
          <cell r="A198" t="str">
            <v>0499</v>
          </cell>
          <cell r="B198" t="str">
            <v>Hampden Charter School of Science East (District)</v>
          </cell>
        </row>
        <row r="199">
          <cell r="A199" t="str">
            <v>3516</v>
          </cell>
          <cell r="B199" t="str">
            <v>Hampden Charter School of Science West (District)</v>
          </cell>
        </row>
        <row r="200">
          <cell r="A200" t="str">
            <v>0680</v>
          </cell>
          <cell r="B200" t="str">
            <v>Hampden-Wilbraham</v>
          </cell>
        </row>
        <row r="201">
          <cell r="A201" t="str">
            <v>0683</v>
          </cell>
          <cell r="B201" t="str">
            <v>Hampshire</v>
          </cell>
        </row>
        <row r="202">
          <cell r="A202" t="str">
            <v>0121</v>
          </cell>
          <cell r="B202" t="str">
            <v>Hancock</v>
          </cell>
        </row>
        <row r="203">
          <cell r="A203" t="str">
            <v>0122</v>
          </cell>
          <cell r="B203" t="str">
            <v>Hanover</v>
          </cell>
        </row>
        <row r="204">
          <cell r="A204" t="str">
            <v>0123</v>
          </cell>
          <cell r="B204" t="str">
            <v>Hanson (non-op)</v>
          </cell>
        </row>
        <row r="205">
          <cell r="A205" t="str">
            <v>0124</v>
          </cell>
          <cell r="B205" t="str">
            <v>Hardwick (non-op)</v>
          </cell>
        </row>
        <row r="206">
          <cell r="A206" t="str">
            <v>0125</v>
          </cell>
          <cell r="B206" t="str">
            <v>Harvard</v>
          </cell>
        </row>
        <row r="207">
          <cell r="A207" t="str">
            <v>0126</v>
          </cell>
          <cell r="B207" t="str">
            <v>Harwich (non-op)</v>
          </cell>
        </row>
        <row r="208">
          <cell r="A208" t="str">
            <v>0127</v>
          </cell>
          <cell r="B208" t="str">
            <v>Hatfield</v>
          </cell>
        </row>
        <row r="209">
          <cell r="A209" t="str">
            <v>0128</v>
          </cell>
          <cell r="B209" t="str">
            <v>Haverhill</v>
          </cell>
        </row>
        <row r="210">
          <cell r="A210" t="str">
            <v>0685</v>
          </cell>
          <cell r="B210" t="str">
            <v>Hawlemont</v>
          </cell>
        </row>
        <row r="211">
          <cell r="A211" t="str">
            <v>0129</v>
          </cell>
          <cell r="B211" t="str">
            <v>Hawley (non-op)</v>
          </cell>
        </row>
        <row r="212">
          <cell r="A212" t="str">
            <v>0130</v>
          </cell>
          <cell r="B212" t="str">
            <v>Heath (non-op)</v>
          </cell>
        </row>
        <row r="213">
          <cell r="A213" t="str">
            <v>0419</v>
          </cell>
          <cell r="B213" t="str">
            <v>Helen Y. Davis Leadership Academy Charter Public (District)</v>
          </cell>
        </row>
        <row r="214">
          <cell r="A214" t="str">
            <v>0455</v>
          </cell>
          <cell r="B214" t="str">
            <v>Hill View Montessori Charter Public (District)</v>
          </cell>
        </row>
        <row r="215">
          <cell r="A215" t="str">
            <v>0450</v>
          </cell>
          <cell r="B215" t="str">
            <v>Hilltown Cooperative Charter Public (District)</v>
          </cell>
        </row>
        <row r="216">
          <cell r="A216" t="str">
            <v>0131</v>
          </cell>
          <cell r="B216" t="str">
            <v>Hingham</v>
          </cell>
        </row>
        <row r="217">
          <cell r="A217" t="str">
            <v>0132</v>
          </cell>
          <cell r="B217" t="str">
            <v>Hinsdale (non-op)</v>
          </cell>
        </row>
        <row r="218">
          <cell r="A218" t="str">
            <v>0133</v>
          </cell>
          <cell r="B218" t="str">
            <v>Holbrook</v>
          </cell>
        </row>
        <row r="219">
          <cell r="A219" t="str">
            <v>0134</v>
          </cell>
          <cell r="B219" t="str">
            <v>Holden (non-op)</v>
          </cell>
        </row>
        <row r="220">
          <cell r="A220" t="str">
            <v>0135</v>
          </cell>
          <cell r="B220" t="str">
            <v>Holland</v>
          </cell>
        </row>
        <row r="221">
          <cell r="A221" t="str">
            <v>0136</v>
          </cell>
          <cell r="B221" t="str">
            <v>Holliston</v>
          </cell>
        </row>
        <row r="222">
          <cell r="A222" t="str">
            <v>0137</v>
          </cell>
          <cell r="B222" t="str">
            <v>Holyoke</v>
          </cell>
        </row>
        <row r="223">
          <cell r="A223" t="str">
            <v>0453</v>
          </cell>
          <cell r="B223" t="str">
            <v>Holyoke Community Charter (District)</v>
          </cell>
        </row>
        <row r="224">
          <cell r="A224" t="str">
            <v>0138</v>
          </cell>
          <cell r="B224" t="str">
            <v>Hopedale</v>
          </cell>
        </row>
        <row r="225">
          <cell r="A225" t="str">
            <v>0139</v>
          </cell>
          <cell r="B225" t="str">
            <v>Hopkinton</v>
          </cell>
        </row>
        <row r="226">
          <cell r="A226" t="str">
            <v>0140</v>
          </cell>
          <cell r="B226" t="str">
            <v>Hubbardston (non-op)</v>
          </cell>
        </row>
        <row r="227">
          <cell r="A227" t="str">
            <v>0141</v>
          </cell>
          <cell r="B227" t="str">
            <v>Hudson</v>
          </cell>
        </row>
        <row r="228">
          <cell r="A228" t="str">
            <v>0142</v>
          </cell>
          <cell r="B228" t="str">
            <v>Hull</v>
          </cell>
        </row>
        <row r="229">
          <cell r="A229" t="str">
            <v>0143</v>
          </cell>
          <cell r="B229" t="str">
            <v>Huntington (non-op)</v>
          </cell>
        </row>
        <row r="230">
          <cell r="A230" t="str">
            <v>0435</v>
          </cell>
          <cell r="B230" t="str">
            <v>Innovation Academy Charter (District)</v>
          </cell>
        </row>
        <row r="231">
          <cell r="A231" t="str">
            <v>0370</v>
          </cell>
          <cell r="B231" t="str">
            <v>Institutional Schools</v>
          </cell>
        </row>
        <row r="232">
          <cell r="A232" t="str">
            <v>0144</v>
          </cell>
          <cell r="B232" t="str">
            <v>Ipswich</v>
          </cell>
        </row>
        <row r="233">
          <cell r="A233" t="str">
            <v>0463</v>
          </cell>
          <cell r="B233" t="str">
            <v>KIPP Academy Boston Charter School (District)</v>
          </cell>
        </row>
        <row r="234">
          <cell r="A234" t="str">
            <v>0429</v>
          </cell>
          <cell r="B234" t="str">
            <v>KIPP Academy Lynn Charter (District)</v>
          </cell>
        </row>
        <row r="235">
          <cell r="A235" t="str">
            <v>0690</v>
          </cell>
          <cell r="B235" t="str">
            <v>King Philip</v>
          </cell>
        </row>
        <row r="236">
          <cell r="A236" t="str">
            <v>0145</v>
          </cell>
          <cell r="B236" t="str">
            <v>Kingston</v>
          </cell>
        </row>
        <row r="237">
          <cell r="A237" t="str">
            <v>0146</v>
          </cell>
          <cell r="B237" t="str">
            <v>Lakeville (non-op)</v>
          </cell>
        </row>
        <row r="238">
          <cell r="A238" t="str">
            <v>0147</v>
          </cell>
          <cell r="B238" t="str">
            <v>Lancaster (non-op)</v>
          </cell>
        </row>
        <row r="239">
          <cell r="A239" t="str">
            <v>0148</v>
          </cell>
          <cell r="B239" t="str">
            <v>Lanesborough</v>
          </cell>
        </row>
        <row r="240">
          <cell r="A240" t="str">
            <v>0149</v>
          </cell>
          <cell r="B240" t="str">
            <v>Lawrence</v>
          </cell>
        </row>
        <row r="241">
          <cell r="A241" t="str">
            <v>0454</v>
          </cell>
          <cell r="B241" t="str">
            <v>Lawrence Family Development Charter (District)</v>
          </cell>
        </row>
        <row r="242">
          <cell r="A242" t="str">
            <v>0150</v>
          </cell>
          <cell r="B242" t="str">
            <v>Lee</v>
          </cell>
        </row>
        <row r="243">
          <cell r="A243" t="str">
            <v>0151</v>
          </cell>
          <cell r="B243" t="str">
            <v>Leicester</v>
          </cell>
        </row>
        <row r="244">
          <cell r="A244" t="str">
            <v>0152</v>
          </cell>
          <cell r="B244" t="str">
            <v>Lenox</v>
          </cell>
        </row>
        <row r="245">
          <cell r="A245" t="str">
            <v>0153</v>
          </cell>
          <cell r="B245" t="str">
            <v>Leominster</v>
          </cell>
        </row>
        <row r="246">
          <cell r="A246" t="str">
            <v>0154</v>
          </cell>
          <cell r="B246" t="str">
            <v>Leverett</v>
          </cell>
        </row>
        <row r="247">
          <cell r="A247" t="str">
            <v>0155</v>
          </cell>
          <cell r="B247" t="str">
            <v>Lexington</v>
          </cell>
        </row>
        <row r="248">
          <cell r="A248" t="str">
            <v>0156</v>
          </cell>
          <cell r="B248" t="str">
            <v>Leyden (non-op)</v>
          </cell>
        </row>
        <row r="249">
          <cell r="A249" t="str">
            <v>3514</v>
          </cell>
          <cell r="B249" t="str">
            <v>Libertas Academy Charter School (District)</v>
          </cell>
        </row>
        <row r="250">
          <cell r="A250" t="str">
            <v>0157</v>
          </cell>
          <cell r="B250" t="str">
            <v>Lincoln</v>
          </cell>
        </row>
        <row r="251">
          <cell r="A251" t="str">
            <v>0695</v>
          </cell>
          <cell r="B251" t="str">
            <v>Lincoln-Sudbury</v>
          </cell>
        </row>
        <row r="252">
          <cell r="A252" t="str">
            <v>0158</v>
          </cell>
          <cell r="B252" t="str">
            <v>Littleton</v>
          </cell>
        </row>
        <row r="253">
          <cell r="A253" t="str">
            <v>0159</v>
          </cell>
          <cell r="B253" t="str">
            <v>Longmeadow</v>
          </cell>
        </row>
        <row r="254">
          <cell r="A254" t="str">
            <v>0160</v>
          </cell>
          <cell r="B254" t="str">
            <v>Lowell</v>
          </cell>
        </row>
        <row r="255">
          <cell r="A255" t="str">
            <v>0456</v>
          </cell>
          <cell r="B255" t="str">
            <v>Lowell Community Charter Public (District)</v>
          </cell>
        </row>
        <row r="256">
          <cell r="A256" t="str">
            <v>0458</v>
          </cell>
          <cell r="B256" t="str">
            <v>Lowell Middlesex Academy Charter (District)</v>
          </cell>
        </row>
        <row r="257">
          <cell r="A257" t="str">
            <v>0161</v>
          </cell>
          <cell r="B257" t="str">
            <v>Ludlow</v>
          </cell>
        </row>
        <row r="258">
          <cell r="A258" t="str">
            <v>0162</v>
          </cell>
          <cell r="B258" t="str">
            <v>Lunenburg</v>
          </cell>
        </row>
        <row r="259">
          <cell r="A259" t="str">
            <v>0163</v>
          </cell>
          <cell r="B259" t="str">
            <v>Lynn</v>
          </cell>
        </row>
        <row r="260">
          <cell r="A260" t="str">
            <v>0164</v>
          </cell>
          <cell r="B260" t="str">
            <v>Lynnfield</v>
          </cell>
        </row>
        <row r="261">
          <cell r="A261" t="str">
            <v>0469</v>
          </cell>
          <cell r="B261" t="str">
            <v>MATCH Charter Public School (District)</v>
          </cell>
        </row>
        <row r="262">
          <cell r="A262" t="str">
            <v>0468</v>
          </cell>
          <cell r="B262" t="str">
            <v>Ma Academy for Math and Science</v>
          </cell>
        </row>
        <row r="263">
          <cell r="A263" t="str">
            <v>0165</v>
          </cell>
          <cell r="B263" t="str">
            <v>Malden</v>
          </cell>
        </row>
        <row r="264">
          <cell r="A264" t="str">
            <v>0166</v>
          </cell>
          <cell r="B264" t="str">
            <v>Manchester (non-op)</v>
          </cell>
        </row>
        <row r="265">
          <cell r="A265" t="str">
            <v>0698</v>
          </cell>
          <cell r="B265" t="str">
            <v>Manchester Essex Regional</v>
          </cell>
        </row>
        <row r="266">
          <cell r="A266" t="str">
            <v>0167</v>
          </cell>
          <cell r="B266" t="str">
            <v>Mansfield</v>
          </cell>
        </row>
        <row r="267">
          <cell r="A267" t="str">
            <v>3517</v>
          </cell>
          <cell r="B267" t="str">
            <v>Map Academy Charter School (District)</v>
          </cell>
        </row>
        <row r="268">
          <cell r="A268" t="str">
            <v>0168</v>
          </cell>
          <cell r="B268" t="str">
            <v>Marblehead</v>
          </cell>
        </row>
        <row r="269">
          <cell r="A269" t="str">
            <v>0464</v>
          </cell>
          <cell r="B269" t="str">
            <v>Marblehead Community Charter Public (District)</v>
          </cell>
        </row>
        <row r="270">
          <cell r="A270" t="str">
            <v>0169</v>
          </cell>
          <cell r="B270" t="str">
            <v>Marion</v>
          </cell>
        </row>
        <row r="271">
          <cell r="A271" t="str">
            <v>0170</v>
          </cell>
          <cell r="B271" t="str">
            <v>Marlborough</v>
          </cell>
        </row>
        <row r="272">
          <cell r="A272" t="str">
            <v>0171</v>
          </cell>
          <cell r="B272" t="str">
            <v>Marshfield</v>
          </cell>
        </row>
        <row r="273">
          <cell r="A273" t="str">
            <v>0700</v>
          </cell>
          <cell r="B273" t="str">
            <v>Martha's Vineyard</v>
          </cell>
        </row>
        <row r="274">
          <cell r="A274" t="str">
            <v>0466</v>
          </cell>
          <cell r="B274" t="str">
            <v>Martha's Vineyard Charter (District)</v>
          </cell>
        </row>
        <row r="275">
          <cell r="A275" t="str">
            <v>0492</v>
          </cell>
          <cell r="B275" t="str">
            <v>Martin Luther King Jr. Charter School of Excellence (District)</v>
          </cell>
        </row>
        <row r="276">
          <cell r="A276" t="str">
            <v>0705</v>
          </cell>
          <cell r="B276" t="str">
            <v>Masconomet</v>
          </cell>
        </row>
        <row r="277">
          <cell r="A277" t="str">
            <v>0172</v>
          </cell>
          <cell r="B277" t="str">
            <v>Mashpee</v>
          </cell>
        </row>
        <row r="278">
          <cell r="A278" t="str">
            <v>0173</v>
          </cell>
          <cell r="B278" t="str">
            <v>Mattapoisett</v>
          </cell>
        </row>
        <row r="279">
          <cell r="A279" t="str">
            <v>0174</v>
          </cell>
          <cell r="B279" t="str">
            <v>Maynard</v>
          </cell>
        </row>
        <row r="280">
          <cell r="A280" t="str">
            <v>0175</v>
          </cell>
          <cell r="B280" t="str">
            <v>Medfield</v>
          </cell>
        </row>
        <row r="281">
          <cell r="A281" t="str">
            <v>0176</v>
          </cell>
          <cell r="B281" t="str">
            <v>Medford</v>
          </cell>
        </row>
        <row r="282">
          <cell r="A282" t="str">
            <v>0177</v>
          </cell>
          <cell r="B282" t="str">
            <v>Medway</v>
          </cell>
        </row>
        <row r="283">
          <cell r="A283" t="str">
            <v>0178</v>
          </cell>
          <cell r="B283" t="str">
            <v>Melrose</v>
          </cell>
        </row>
        <row r="284">
          <cell r="A284" t="str">
            <v>0179</v>
          </cell>
          <cell r="B284" t="str">
            <v>Mendon (non-op)</v>
          </cell>
        </row>
        <row r="285">
          <cell r="A285" t="str">
            <v>0710</v>
          </cell>
          <cell r="B285" t="str">
            <v>Mendon-Upton</v>
          </cell>
        </row>
        <row r="286">
          <cell r="A286" t="str">
            <v>0180</v>
          </cell>
          <cell r="B286" t="str">
            <v>Merrimac (non-op)</v>
          </cell>
        </row>
        <row r="287">
          <cell r="A287" t="str">
            <v>0181</v>
          </cell>
          <cell r="B287" t="str">
            <v>Methuen</v>
          </cell>
        </row>
        <row r="288">
          <cell r="A288" t="str">
            <v>0182</v>
          </cell>
          <cell r="B288" t="str">
            <v>Middleborough</v>
          </cell>
        </row>
        <row r="289">
          <cell r="A289" t="str">
            <v>0183</v>
          </cell>
          <cell r="B289" t="str">
            <v>Middlefield (non-op)</v>
          </cell>
        </row>
        <row r="290">
          <cell r="A290" t="str">
            <v>0184</v>
          </cell>
          <cell r="B290" t="str">
            <v>Middleton</v>
          </cell>
        </row>
        <row r="291">
          <cell r="A291" t="str">
            <v>0185</v>
          </cell>
          <cell r="B291" t="str">
            <v>Milford</v>
          </cell>
        </row>
        <row r="292">
          <cell r="A292" t="str">
            <v>0186</v>
          </cell>
          <cell r="B292" t="str">
            <v>Millbury</v>
          </cell>
        </row>
        <row r="293">
          <cell r="A293" t="str">
            <v>0187</v>
          </cell>
          <cell r="B293" t="str">
            <v>Millis</v>
          </cell>
        </row>
        <row r="294">
          <cell r="A294" t="str">
            <v>0188</v>
          </cell>
          <cell r="B294" t="str">
            <v>Millville (non-op)</v>
          </cell>
        </row>
        <row r="295">
          <cell r="A295" t="str">
            <v>0189</v>
          </cell>
          <cell r="B295" t="str">
            <v>Milton</v>
          </cell>
        </row>
        <row r="296">
          <cell r="A296" t="str">
            <v>0830</v>
          </cell>
          <cell r="B296" t="str">
            <v>Minuteman Regional Vocational Technical</v>
          </cell>
        </row>
        <row r="297">
          <cell r="A297" t="str">
            <v>0717</v>
          </cell>
          <cell r="B297" t="str">
            <v>Mohawk Trail</v>
          </cell>
        </row>
        <row r="298">
          <cell r="A298" t="str">
            <v>0712</v>
          </cell>
          <cell r="B298" t="str">
            <v>Monomoy Regional School District</v>
          </cell>
        </row>
        <row r="299">
          <cell r="A299" t="str">
            <v>0190</v>
          </cell>
          <cell r="B299" t="str">
            <v>Monroe (non-op)</v>
          </cell>
        </row>
        <row r="300">
          <cell r="A300" t="str">
            <v>0191</v>
          </cell>
          <cell r="B300" t="str">
            <v>Monson</v>
          </cell>
        </row>
        <row r="301">
          <cell r="A301" t="str">
            <v>0832</v>
          </cell>
          <cell r="B301" t="str">
            <v>Montachusett Regional Vocational Technical</v>
          </cell>
        </row>
        <row r="302">
          <cell r="A302" t="str">
            <v>0192</v>
          </cell>
          <cell r="B302" t="str">
            <v>Montague (non-op)</v>
          </cell>
        </row>
        <row r="303">
          <cell r="A303" t="str">
            <v>0193</v>
          </cell>
          <cell r="B303" t="str">
            <v>Monterey (non-op)</v>
          </cell>
        </row>
        <row r="304">
          <cell r="A304" t="str">
            <v>0194</v>
          </cell>
          <cell r="B304" t="str">
            <v>Montgomery (non-op)</v>
          </cell>
        </row>
        <row r="305">
          <cell r="A305" t="str">
            <v>0715</v>
          </cell>
          <cell r="B305" t="str">
            <v>Mount Greylock</v>
          </cell>
        </row>
        <row r="306">
          <cell r="A306" t="str">
            <v>0195</v>
          </cell>
          <cell r="B306" t="str">
            <v>Mount Washington (non-op)</v>
          </cell>
        </row>
        <row r="307">
          <cell r="A307" t="str">
            <v>0470</v>
          </cell>
          <cell r="B307" t="str">
            <v>Mystic Valley Regional Charter (District)</v>
          </cell>
        </row>
        <row r="308">
          <cell r="A308" t="str">
            <v>0196</v>
          </cell>
          <cell r="B308" t="str">
            <v>Nahant</v>
          </cell>
        </row>
        <row r="309">
          <cell r="A309" t="str">
            <v>0197</v>
          </cell>
          <cell r="B309" t="str">
            <v>Nantucket</v>
          </cell>
        </row>
        <row r="310">
          <cell r="A310" t="str">
            <v>0720</v>
          </cell>
          <cell r="B310" t="str">
            <v>Narragansett</v>
          </cell>
        </row>
        <row r="311">
          <cell r="A311" t="str">
            <v>0725</v>
          </cell>
          <cell r="B311" t="str">
            <v>Nashoba</v>
          </cell>
        </row>
        <row r="312">
          <cell r="A312" t="str">
            <v>0852</v>
          </cell>
          <cell r="B312" t="str">
            <v>Nashoba Valley Regional Vocational Technical</v>
          </cell>
        </row>
        <row r="313">
          <cell r="A313" t="str">
            <v>0198</v>
          </cell>
          <cell r="B313" t="str">
            <v>Natick</v>
          </cell>
        </row>
        <row r="314">
          <cell r="A314" t="str">
            <v>0660</v>
          </cell>
          <cell r="B314" t="str">
            <v>Nauset</v>
          </cell>
        </row>
        <row r="315">
          <cell r="A315" t="str">
            <v>0199</v>
          </cell>
          <cell r="B315" t="str">
            <v>Needham</v>
          </cell>
        </row>
        <row r="316">
          <cell r="A316" t="str">
            <v>0444</v>
          </cell>
          <cell r="B316" t="str">
            <v>Neighborhood House Charter (District)</v>
          </cell>
        </row>
        <row r="317">
          <cell r="A317" t="str">
            <v>0200</v>
          </cell>
          <cell r="B317" t="str">
            <v>New Ashford (non-op)</v>
          </cell>
        </row>
        <row r="318">
          <cell r="A318" t="str">
            <v>0201</v>
          </cell>
          <cell r="B318" t="str">
            <v>New Bedford</v>
          </cell>
        </row>
        <row r="319">
          <cell r="A319" t="str">
            <v>0202</v>
          </cell>
          <cell r="B319" t="str">
            <v>New Braintree (non-op)</v>
          </cell>
        </row>
        <row r="320">
          <cell r="A320" t="str">
            <v>3513</v>
          </cell>
          <cell r="B320" t="str">
            <v>New Heights Charter School of Brockton (District)</v>
          </cell>
        </row>
        <row r="321">
          <cell r="A321" t="str">
            <v>0205</v>
          </cell>
          <cell r="B321" t="str">
            <v>New Marlborough (non-op)</v>
          </cell>
        </row>
        <row r="322">
          <cell r="A322" t="str">
            <v>0206</v>
          </cell>
          <cell r="B322" t="str">
            <v>New Salem (non-op)</v>
          </cell>
        </row>
        <row r="323">
          <cell r="A323" t="str">
            <v>0728</v>
          </cell>
          <cell r="B323" t="str">
            <v>New Salem-Wendell</v>
          </cell>
        </row>
        <row r="324">
          <cell r="A324" t="str">
            <v>0203</v>
          </cell>
          <cell r="B324" t="str">
            <v>Newbury (non-op)</v>
          </cell>
        </row>
        <row r="325">
          <cell r="A325" t="str">
            <v>0204</v>
          </cell>
          <cell r="B325" t="str">
            <v>Newburyport</v>
          </cell>
        </row>
        <row r="326">
          <cell r="A326" t="str">
            <v>0207</v>
          </cell>
          <cell r="B326" t="str">
            <v>Newton</v>
          </cell>
        </row>
        <row r="327">
          <cell r="A327" t="str">
            <v>0208</v>
          </cell>
          <cell r="B327" t="str">
            <v>Norfolk</v>
          </cell>
        </row>
        <row r="328">
          <cell r="A328" t="str">
            <v>0915</v>
          </cell>
          <cell r="B328" t="str">
            <v>Norfolk County Agricultural</v>
          </cell>
        </row>
        <row r="329">
          <cell r="A329" t="str">
            <v>0209</v>
          </cell>
          <cell r="B329" t="str">
            <v>North Adams</v>
          </cell>
        </row>
        <row r="330">
          <cell r="A330" t="str">
            <v>0211</v>
          </cell>
          <cell r="B330" t="str">
            <v>North Andover</v>
          </cell>
        </row>
        <row r="331">
          <cell r="A331" t="str">
            <v>0212</v>
          </cell>
          <cell r="B331" t="str">
            <v>North Attleborough</v>
          </cell>
        </row>
        <row r="332">
          <cell r="A332" t="str">
            <v>0215</v>
          </cell>
          <cell r="B332" t="str">
            <v>North Brookfield</v>
          </cell>
        </row>
        <row r="333">
          <cell r="A333" t="str">
            <v>0735</v>
          </cell>
          <cell r="B333" t="str">
            <v>North Middlesex</v>
          </cell>
        </row>
        <row r="334">
          <cell r="A334" t="str">
            <v>0217</v>
          </cell>
          <cell r="B334" t="str">
            <v>North Reading</v>
          </cell>
        </row>
        <row r="335">
          <cell r="A335" t="str">
            <v>0210</v>
          </cell>
          <cell r="B335" t="str">
            <v>Northampton</v>
          </cell>
        </row>
        <row r="336">
          <cell r="A336" t="str">
            <v>0406</v>
          </cell>
          <cell r="B336" t="str">
            <v>Northampton-Smith Vocational Agricultural</v>
          </cell>
        </row>
        <row r="337">
          <cell r="A337" t="str">
            <v>0730</v>
          </cell>
          <cell r="B337" t="str">
            <v>Northboro-Southboro</v>
          </cell>
        </row>
        <row r="338">
          <cell r="A338" t="str">
            <v>0213</v>
          </cell>
          <cell r="B338" t="str">
            <v>Northborough</v>
          </cell>
        </row>
        <row r="339">
          <cell r="A339" t="str">
            <v>0214</v>
          </cell>
          <cell r="B339" t="str">
            <v>Northbridge</v>
          </cell>
        </row>
        <row r="340">
          <cell r="A340" t="str">
            <v>0853</v>
          </cell>
          <cell r="B340" t="str">
            <v>Northeast Metropolitan Regional Vocational Technical</v>
          </cell>
        </row>
        <row r="341">
          <cell r="A341" t="str">
            <v>0851</v>
          </cell>
          <cell r="B341" t="str">
            <v>Northern Berkshire Regional Vocational Technical</v>
          </cell>
        </row>
        <row r="342">
          <cell r="A342" t="str">
            <v>0216</v>
          </cell>
          <cell r="B342" t="str">
            <v>Northfield (non-op)</v>
          </cell>
        </row>
        <row r="343">
          <cell r="A343" t="str">
            <v>0218</v>
          </cell>
          <cell r="B343" t="str">
            <v>Norton</v>
          </cell>
        </row>
        <row r="344">
          <cell r="A344" t="str">
            <v>0219</v>
          </cell>
          <cell r="B344" t="str">
            <v>Norwell</v>
          </cell>
        </row>
        <row r="345">
          <cell r="A345" t="str">
            <v>0220</v>
          </cell>
          <cell r="B345" t="str">
            <v>Norwood</v>
          </cell>
        </row>
        <row r="346">
          <cell r="A346" t="str">
            <v>0221</v>
          </cell>
          <cell r="B346" t="str">
            <v>Oak Bluffs</v>
          </cell>
        </row>
        <row r="347">
          <cell r="A347" t="str">
            <v>0222</v>
          </cell>
          <cell r="B347" t="str">
            <v>Oakham (non-op)</v>
          </cell>
        </row>
        <row r="348">
          <cell r="A348" t="str">
            <v>0855</v>
          </cell>
          <cell r="B348" t="str">
            <v>Old Colony Regional Vocational Technical</v>
          </cell>
        </row>
        <row r="349">
          <cell r="A349" t="str">
            <v>0740</v>
          </cell>
          <cell r="B349" t="str">
            <v>Old Rochester</v>
          </cell>
        </row>
        <row r="350">
          <cell r="A350" t="str">
            <v>3515</v>
          </cell>
          <cell r="B350" t="str">
            <v>Old Sturbridge Academy Charter Public School (District)</v>
          </cell>
        </row>
        <row r="351">
          <cell r="A351" t="str">
            <v>0223</v>
          </cell>
          <cell r="B351" t="str">
            <v>Orange</v>
          </cell>
        </row>
        <row r="352">
          <cell r="A352" t="str">
            <v>0224</v>
          </cell>
          <cell r="B352" t="str">
            <v>Orleans</v>
          </cell>
        </row>
        <row r="353">
          <cell r="A353" t="str">
            <v>0225</v>
          </cell>
          <cell r="B353" t="str">
            <v>Otis (non-op)</v>
          </cell>
        </row>
        <row r="354">
          <cell r="A354" t="str">
            <v>0226</v>
          </cell>
          <cell r="B354" t="str">
            <v>Oxford</v>
          </cell>
        </row>
        <row r="355">
          <cell r="A355" t="str">
            <v>0227</v>
          </cell>
          <cell r="B355" t="str">
            <v>Palmer</v>
          </cell>
        </row>
        <row r="356">
          <cell r="A356" t="str">
            <v>0860</v>
          </cell>
          <cell r="B356" t="str">
            <v>Pathfinder Regional Vocational Technical</v>
          </cell>
        </row>
        <row r="357">
          <cell r="A357" t="str">
            <v>3501</v>
          </cell>
          <cell r="B357" t="str">
            <v>Paulo Freire Social Justice Charter School (District)</v>
          </cell>
        </row>
        <row r="358">
          <cell r="A358" t="str">
            <v>0228</v>
          </cell>
          <cell r="B358" t="str">
            <v>Paxton (non-op)</v>
          </cell>
        </row>
        <row r="359">
          <cell r="A359" t="str">
            <v>0229</v>
          </cell>
          <cell r="B359" t="str">
            <v>Peabody</v>
          </cell>
        </row>
        <row r="360">
          <cell r="A360" t="str">
            <v>0230</v>
          </cell>
          <cell r="B360" t="str">
            <v>Pelham</v>
          </cell>
        </row>
        <row r="361">
          <cell r="A361" t="str">
            <v>0231</v>
          </cell>
          <cell r="B361" t="str">
            <v>Pembroke</v>
          </cell>
        </row>
        <row r="362">
          <cell r="A362" t="str">
            <v>0745</v>
          </cell>
          <cell r="B362" t="str">
            <v>Pentucket</v>
          </cell>
        </row>
        <row r="363">
          <cell r="A363" t="str">
            <v>0232</v>
          </cell>
          <cell r="B363" t="str">
            <v>Pepperell (non-op)</v>
          </cell>
        </row>
        <row r="364">
          <cell r="A364" t="str">
            <v>0233</v>
          </cell>
          <cell r="B364" t="str">
            <v>Peru (non-op)</v>
          </cell>
        </row>
        <row r="365">
          <cell r="A365" t="str">
            <v>0234</v>
          </cell>
          <cell r="B365" t="str">
            <v>Petersham</v>
          </cell>
        </row>
        <row r="366">
          <cell r="A366" t="str">
            <v>0235</v>
          </cell>
          <cell r="B366" t="str">
            <v>Phillipston (non-op)</v>
          </cell>
        </row>
        <row r="367">
          <cell r="A367" t="str">
            <v>3508</v>
          </cell>
          <cell r="B367" t="str">
            <v>Phoenix Academy Public Charter High School Springfield (District)</v>
          </cell>
        </row>
        <row r="368">
          <cell r="A368" t="str">
            <v>0493</v>
          </cell>
          <cell r="B368" t="str">
            <v>Phoenix Charter Academy (District)</v>
          </cell>
        </row>
        <row r="369">
          <cell r="A369" t="str">
            <v>0494</v>
          </cell>
          <cell r="B369" t="str">
            <v>Pioneer Charter School of Science (District)</v>
          </cell>
        </row>
        <row r="370">
          <cell r="A370" t="str">
            <v>3506</v>
          </cell>
          <cell r="B370" t="str">
            <v>Pioneer Charter School of Science II (PCSS-II) (District)</v>
          </cell>
        </row>
        <row r="371">
          <cell r="A371" t="str">
            <v>0750</v>
          </cell>
          <cell r="B371" t="str">
            <v>Pioneer Valley</v>
          </cell>
        </row>
        <row r="372">
          <cell r="A372" t="str">
            <v>0497</v>
          </cell>
          <cell r="B372" t="str">
            <v>Pioneer Valley Chinese Immersion Charter (District)</v>
          </cell>
        </row>
        <row r="373">
          <cell r="A373" t="str">
            <v>0479</v>
          </cell>
          <cell r="B373" t="str">
            <v>Pioneer Valley Performing Arts Charter Public (District)</v>
          </cell>
        </row>
        <row r="374">
          <cell r="A374" t="str">
            <v>0236</v>
          </cell>
          <cell r="B374" t="str">
            <v>Pittsfield</v>
          </cell>
        </row>
        <row r="375">
          <cell r="A375" t="str">
            <v>0237</v>
          </cell>
          <cell r="B375" t="str">
            <v>Plainfield (non-op)</v>
          </cell>
        </row>
        <row r="376">
          <cell r="A376" t="str">
            <v>0238</v>
          </cell>
          <cell r="B376" t="str">
            <v>Plainville</v>
          </cell>
        </row>
        <row r="377">
          <cell r="A377" t="str">
            <v>0239</v>
          </cell>
          <cell r="B377" t="str">
            <v>Plymouth</v>
          </cell>
        </row>
        <row r="378">
          <cell r="A378" t="str">
            <v>0240</v>
          </cell>
          <cell r="B378" t="str">
            <v>Plympton</v>
          </cell>
        </row>
        <row r="379">
          <cell r="A379" t="str">
            <v>0241</v>
          </cell>
          <cell r="B379" t="str">
            <v>Princeton (non-op)</v>
          </cell>
        </row>
        <row r="380">
          <cell r="A380" t="str">
            <v>0487</v>
          </cell>
          <cell r="B380" t="str">
            <v>Prospect Hill Academy Charter (District)</v>
          </cell>
        </row>
        <row r="381">
          <cell r="A381" t="str">
            <v>0242</v>
          </cell>
          <cell r="B381" t="str">
            <v>Provincetown</v>
          </cell>
        </row>
        <row r="382">
          <cell r="A382" t="str">
            <v>0753</v>
          </cell>
          <cell r="B382" t="str">
            <v>Quabbin</v>
          </cell>
        </row>
        <row r="383">
          <cell r="A383" t="str">
            <v>0778</v>
          </cell>
          <cell r="B383" t="str">
            <v>Quaboag Regional</v>
          </cell>
        </row>
        <row r="384">
          <cell r="A384" t="str">
            <v>0243</v>
          </cell>
          <cell r="B384" t="str">
            <v>Quincy</v>
          </cell>
        </row>
        <row r="385">
          <cell r="A385" t="str">
            <v>0755</v>
          </cell>
          <cell r="B385" t="str">
            <v>Ralph C Mahar</v>
          </cell>
        </row>
        <row r="386">
          <cell r="A386" t="str">
            <v>0244</v>
          </cell>
          <cell r="B386" t="str">
            <v>Randolph</v>
          </cell>
        </row>
        <row r="387">
          <cell r="A387" t="str">
            <v>0245</v>
          </cell>
          <cell r="B387" t="str">
            <v>Raynham (non-op)</v>
          </cell>
        </row>
        <row r="388">
          <cell r="A388" t="str">
            <v>0246</v>
          </cell>
          <cell r="B388" t="str">
            <v>Reading</v>
          </cell>
        </row>
        <row r="389">
          <cell r="A389" t="str">
            <v>0247</v>
          </cell>
          <cell r="B389" t="str">
            <v>Rehoboth (non-op)</v>
          </cell>
        </row>
        <row r="390">
          <cell r="A390" t="str">
            <v>0248</v>
          </cell>
          <cell r="B390" t="str">
            <v>Revere</v>
          </cell>
        </row>
        <row r="391">
          <cell r="A391" t="str">
            <v>0249</v>
          </cell>
          <cell r="B391" t="str">
            <v>Richmond</v>
          </cell>
        </row>
        <row r="392">
          <cell r="A392" t="str">
            <v>0483</v>
          </cell>
          <cell r="B392" t="str">
            <v>Rising Tide Charter Public (District)</v>
          </cell>
        </row>
        <row r="393">
          <cell r="A393" t="str">
            <v>0482</v>
          </cell>
          <cell r="B393" t="str">
            <v>River Valley Charter (District)</v>
          </cell>
        </row>
        <row r="394">
          <cell r="A394" t="str">
            <v>0250</v>
          </cell>
          <cell r="B394" t="str">
            <v>Rochester</v>
          </cell>
        </row>
        <row r="395">
          <cell r="A395" t="str">
            <v>0251</v>
          </cell>
          <cell r="B395" t="str">
            <v>Rockland</v>
          </cell>
        </row>
        <row r="396">
          <cell r="A396" t="str">
            <v>0252</v>
          </cell>
          <cell r="B396" t="str">
            <v>Rockport</v>
          </cell>
        </row>
        <row r="397">
          <cell r="A397" t="str">
            <v>0253</v>
          </cell>
          <cell r="B397" t="str">
            <v>Rowe</v>
          </cell>
        </row>
        <row r="398">
          <cell r="A398" t="str">
            <v>0254</v>
          </cell>
          <cell r="B398" t="str">
            <v>Rowley (non-op)</v>
          </cell>
        </row>
        <row r="399">
          <cell r="A399" t="str">
            <v>0484</v>
          </cell>
          <cell r="B399" t="str">
            <v>Roxbury Preparatory Charter (District)</v>
          </cell>
        </row>
        <row r="400">
          <cell r="A400" t="str">
            <v>0255</v>
          </cell>
          <cell r="B400" t="str">
            <v>Royalston (non-op)</v>
          </cell>
        </row>
        <row r="401">
          <cell r="A401" t="str">
            <v>0256</v>
          </cell>
          <cell r="B401" t="str">
            <v>Russell (non-op)</v>
          </cell>
        </row>
        <row r="402">
          <cell r="A402" t="str">
            <v>0257</v>
          </cell>
          <cell r="B402" t="str">
            <v>Rutland (non-op)</v>
          </cell>
        </row>
        <row r="403">
          <cell r="A403" t="str">
            <v>0441</v>
          </cell>
          <cell r="B403" t="str">
            <v>Sabis International Charter (District)</v>
          </cell>
        </row>
        <row r="404">
          <cell r="A404" t="str">
            <v>0258</v>
          </cell>
          <cell r="B404" t="str">
            <v>Salem</v>
          </cell>
        </row>
        <row r="405">
          <cell r="A405" t="str">
            <v>0485</v>
          </cell>
          <cell r="B405" t="str">
            <v>Salem Academy Charter (District)</v>
          </cell>
        </row>
        <row r="406">
          <cell r="A406" t="str">
            <v>0259</v>
          </cell>
          <cell r="B406" t="str">
            <v>Salisbury (non-op)</v>
          </cell>
        </row>
        <row r="407">
          <cell r="A407" t="str">
            <v>0260</v>
          </cell>
          <cell r="B407" t="str">
            <v>Sandisfield (non-op)</v>
          </cell>
        </row>
        <row r="408">
          <cell r="A408" t="str">
            <v>0261</v>
          </cell>
          <cell r="B408" t="str">
            <v>Sandwich</v>
          </cell>
        </row>
        <row r="409">
          <cell r="A409" t="str">
            <v>0262</v>
          </cell>
          <cell r="B409" t="str">
            <v>Saugus</v>
          </cell>
        </row>
        <row r="410">
          <cell r="A410" t="str">
            <v>0263</v>
          </cell>
          <cell r="B410" t="str">
            <v>Savoy</v>
          </cell>
        </row>
        <row r="411">
          <cell r="A411" t="str">
            <v>0264</v>
          </cell>
          <cell r="B411" t="str">
            <v>Scituate</v>
          </cell>
        </row>
        <row r="412">
          <cell r="A412" t="str">
            <v>0265</v>
          </cell>
          <cell r="B412" t="str">
            <v>Seekonk</v>
          </cell>
        </row>
        <row r="413">
          <cell r="A413" t="str">
            <v>0486</v>
          </cell>
          <cell r="B413" t="str">
            <v>Seven Hills Charter Public (District)</v>
          </cell>
        </row>
        <row r="414">
          <cell r="A414" t="str">
            <v>0266</v>
          </cell>
          <cell r="B414" t="str">
            <v>Sharon</v>
          </cell>
        </row>
        <row r="415">
          <cell r="A415" t="str">
            <v>0871</v>
          </cell>
          <cell r="B415" t="str">
            <v>Shawsheen Valley Regional Vocational Technical</v>
          </cell>
        </row>
        <row r="416">
          <cell r="A416" t="str">
            <v>0267</v>
          </cell>
          <cell r="B416" t="str">
            <v>Sheffield (non-op)</v>
          </cell>
        </row>
        <row r="417">
          <cell r="A417" t="str">
            <v>0268</v>
          </cell>
          <cell r="B417" t="str">
            <v>Shelburne (non-op)</v>
          </cell>
        </row>
        <row r="418">
          <cell r="A418" t="str">
            <v>0269</v>
          </cell>
          <cell r="B418" t="str">
            <v>Sherborn</v>
          </cell>
        </row>
        <row r="419">
          <cell r="A419" t="str">
            <v>0270</v>
          </cell>
          <cell r="B419" t="str">
            <v>Shirley (non-op)</v>
          </cell>
        </row>
        <row r="420">
          <cell r="A420" t="str">
            <v>0271</v>
          </cell>
          <cell r="B420" t="str">
            <v>Shrewsbury</v>
          </cell>
        </row>
        <row r="421">
          <cell r="A421" t="str">
            <v>0272</v>
          </cell>
          <cell r="B421" t="str">
            <v>Shutesbury</v>
          </cell>
        </row>
        <row r="422">
          <cell r="A422" t="str">
            <v>0477</v>
          </cell>
          <cell r="B422" t="str">
            <v>Silver Hill Horace Mann Charter (District)</v>
          </cell>
        </row>
        <row r="423">
          <cell r="A423" t="str">
            <v>0760</v>
          </cell>
          <cell r="B423" t="str">
            <v>Silver Lake</v>
          </cell>
        </row>
        <row r="424">
          <cell r="A424" t="str">
            <v>0474</v>
          </cell>
          <cell r="B424" t="str">
            <v>Sizer School: A North Central Charter Essential (District)</v>
          </cell>
        </row>
        <row r="425">
          <cell r="A425" t="str">
            <v>0273</v>
          </cell>
          <cell r="B425" t="str">
            <v>Somerset</v>
          </cell>
        </row>
        <row r="426">
          <cell r="A426" t="str">
            <v>0763</v>
          </cell>
          <cell r="B426" t="str">
            <v>Somerset Berkley Regional School District</v>
          </cell>
        </row>
        <row r="427">
          <cell r="A427" t="str">
            <v>0274</v>
          </cell>
          <cell r="B427" t="str">
            <v>Somerville</v>
          </cell>
        </row>
        <row r="428">
          <cell r="A428" t="str">
            <v>0278</v>
          </cell>
          <cell r="B428" t="str">
            <v>South Hadley</v>
          </cell>
        </row>
        <row r="429">
          <cell r="A429" t="str">
            <v>0829</v>
          </cell>
          <cell r="B429" t="str">
            <v>South Middlesex Regional Vocational Technical</v>
          </cell>
        </row>
        <row r="430">
          <cell r="A430" t="str">
            <v>0488</v>
          </cell>
          <cell r="B430" t="str">
            <v>South Shore Charter Public (District)</v>
          </cell>
        </row>
        <row r="431">
          <cell r="A431" t="str">
            <v>0873</v>
          </cell>
          <cell r="B431" t="str">
            <v>South Shore Regional Vocational Technical</v>
          </cell>
        </row>
        <row r="432">
          <cell r="A432" t="str">
            <v>0275</v>
          </cell>
          <cell r="B432" t="str">
            <v>Southampton</v>
          </cell>
        </row>
        <row r="433">
          <cell r="A433" t="str">
            <v>0276</v>
          </cell>
          <cell r="B433" t="str">
            <v>Southborough</v>
          </cell>
        </row>
        <row r="434">
          <cell r="A434" t="str">
            <v>0277</v>
          </cell>
          <cell r="B434" t="str">
            <v>Southbridge</v>
          </cell>
        </row>
        <row r="435">
          <cell r="A435" t="str">
            <v>0872</v>
          </cell>
          <cell r="B435" t="str">
            <v>Southeastern Regional Vocational Technical</v>
          </cell>
        </row>
        <row r="436">
          <cell r="A436" t="str">
            <v>0765</v>
          </cell>
          <cell r="B436" t="str">
            <v>Southern Berkshire</v>
          </cell>
        </row>
        <row r="437">
          <cell r="A437" t="str">
            <v>0876</v>
          </cell>
          <cell r="B437" t="str">
            <v>Southern Worcester County Regional Vocational Technical</v>
          </cell>
        </row>
        <row r="438">
          <cell r="A438" t="str">
            <v>0353</v>
          </cell>
          <cell r="B438" t="str">
            <v>Southfield (non-op)</v>
          </cell>
        </row>
        <row r="439">
          <cell r="A439" t="str">
            <v>0279</v>
          </cell>
          <cell r="B439" t="str">
            <v>Southwick (non-op)</v>
          </cell>
        </row>
        <row r="440">
          <cell r="A440" t="str">
            <v>0766</v>
          </cell>
          <cell r="B440" t="str">
            <v>Southwick-Tolland-Granville Regional School District</v>
          </cell>
        </row>
        <row r="441">
          <cell r="A441" t="str">
            <v>0280</v>
          </cell>
          <cell r="B441" t="str">
            <v>Spencer (non-op)</v>
          </cell>
        </row>
        <row r="442">
          <cell r="A442" t="str">
            <v>0767</v>
          </cell>
          <cell r="B442" t="str">
            <v>Spencer-E Brookfield</v>
          </cell>
        </row>
        <row r="443">
          <cell r="A443" t="str">
            <v>0281</v>
          </cell>
          <cell r="B443" t="str">
            <v>Springfield</v>
          </cell>
        </row>
        <row r="444">
          <cell r="A444" t="str">
            <v>3510</v>
          </cell>
          <cell r="B444" t="str">
            <v>Springfield Preparatory Charter School (District)</v>
          </cell>
        </row>
        <row r="445">
          <cell r="A445" t="str">
            <v>0282</v>
          </cell>
          <cell r="B445" t="str">
            <v>Sterling (non-op)</v>
          </cell>
        </row>
        <row r="446">
          <cell r="A446" t="str">
            <v>0283</v>
          </cell>
          <cell r="B446" t="str">
            <v>Stockbridge (non-op)</v>
          </cell>
        </row>
        <row r="447">
          <cell r="A447" t="str">
            <v>0284</v>
          </cell>
          <cell r="B447" t="str">
            <v>Stoneham</v>
          </cell>
        </row>
        <row r="448">
          <cell r="A448" t="str">
            <v>0285</v>
          </cell>
          <cell r="B448" t="str">
            <v>Stoughton</v>
          </cell>
        </row>
        <row r="449">
          <cell r="A449" t="str">
            <v>0286</v>
          </cell>
          <cell r="B449" t="str">
            <v>Stow (non-op)</v>
          </cell>
        </row>
        <row r="450">
          <cell r="A450" t="str">
            <v>0287</v>
          </cell>
          <cell r="B450" t="str">
            <v>Sturbridge</v>
          </cell>
        </row>
        <row r="451">
          <cell r="A451" t="str">
            <v>0489</v>
          </cell>
          <cell r="B451" t="str">
            <v>Sturgis Charter Public (District)</v>
          </cell>
        </row>
        <row r="452">
          <cell r="A452" t="str">
            <v>0288</v>
          </cell>
          <cell r="B452" t="str">
            <v>Sudbury</v>
          </cell>
        </row>
        <row r="453">
          <cell r="A453" t="str">
            <v>0289</v>
          </cell>
          <cell r="B453" t="str">
            <v>Sunderland</v>
          </cell>
        </row>
        <row r="454">
          <cell r="A454" t="str">
            <v>0290</v>
          </cell>
          <cell r="B454" t="str">
            <v>Sutton</v>
          </cell>
        </row>
        <row r="455">
          <cell r="A455" t="str">
            <v>0291</v>
          </cell>
          <cell r="B455" t="str">
            <v>Swampscott</v>
          </cell>
        </row>
        <row r="456">
          <cell r="A456" t="str">
            <v>0292</v>
          </cell>
          <cell r="B456" t="str">
            <v>Swansea</v>
          </cell>
        </row>
        <row r="457">
          <cell r="A457" t="str">
            <v>3902</v>
          </cell>
          <cell r="B457" t="str">
            <v>TEC Connections Academy Commonwealth Virtual School District</v>
          </cell>
        </row>
        <row r="458">
          <cell r="A458" t="str">
            <v>0770</v>
          </cell>
          <cell r="B458" t="str">
            <v>Tantasqua</v>
          </cell>
        </row>
        <row r="459">
          <cell r="A459" t="str">
            <v>0293</v>
          </cell>
          <cell r="B459" t="str">
            <v>Taunton</v>
          </cell>
        </row>
        <row r="460">
          <cell r="A460" t="str">
            <v>0294</v>
          </cell>
          <cell r="B460" t="str">
            <v>Templeton (non-op)</v>
          </cell>
        </row>
        <row r="461">
          <cell r="A461" t="str">
            <v>0295</v>
          </cell>
          <cell r="B461" t="str">
            <v>Tewksbury</v>
          </cell>
        </row>
        <row r="462">
          <cell r="A462" t="str">
            <v>0296</v>
          </cell>
          <cell r="B462" t="str">
            <v>Tisbury</v>
          </cell>
        </row>
        <row r="463">
          <cell r="A463" t="str">
            <v>0297</v>
          </cell>
          <cell r="B463" t="str">
            <v>Tolland (non-op)</v>
          </cell>
        </row>
        <row r="464">
          <cell r="A464" t="str">
            <v>0298</v>
          </cell>
          <cell r="B464" t="str">
            <v>Topsfield</v>
          </cell>
        </row>
        <row r="465">
          <cell r="A465" t="str">
            <v>0299</v>
          </cell>
          <cell r="B465" t="str">
            <v>Townsend (non-op)</v>
          </cell>
        </row>
        <row r="466">
          <cell r="A466" t="str">
            <v>0878</v>
          </cell>
          <cell r="B466" t="str">
            <v>Tri-County Regional Vocational Technical</v>
          </cell>
        </row>
        <row r="467">
          <cell r="A467" t="str">
            <v>0773</v>
          </cell>
          <cell r="B467" t="str">
            <v>Triton</v>
          </cell>
        </row>
        <row r="468">
          <cell r="A468" t="str">
            <v>0300</v>
          </cell>
          <cell r="B468" t="str">
            <v>Truro</v>
          </cell>
        </row>
        <row r="469">
          <cell r="A469" t="str">
            <v>0301</v>
          </cell>
          <cell r="B469" t="str">
            <v>Tyngsborough</v>
          </cell>
        </row>
        <row r="470">
          <cell r="A470" t="str">
            <v>0302</v>
          </cell>
          <cell r="B470" t="str">
            <v>Tyringham (non-op)</v>
          </cell>
        </row>
        <row r="471">
          <cell r="A471" t="str">
            <v>0480</v>
          </cell>
          <cell r="B471" t="str">
            <v>UP Academy Charter School of Boston (District)</v>
          </cell>
        </row>
        <row r="472">
          <cell r="A472" t="str">
            <v>3505</v>
          </cell>
          <cell r="B472" t="str">
            <v>UP Academy Charter School of Dorchester (District)</v>
          </cell>
        </row>
        <row r="473">
          <cell r="A473" t="str">
            <v>0774</v>
          </cell>
          <cell r="B473" t="str">
            <v>Up-Island Regional</v>
          </cell>
        </row>
        <row r="474">
          <cell r="A474" t="str">
            <v>0879</v>
          </cell>
          <cell r="B474" t="str">
            <v>Upper Cape Cod Regional Vocational Technical</v>
          </cell>
        </row>
        <row r="475">
          <cell r="A475" t="str">
            <v>0303</v>
          </cell>
          <cell r="B475" t="str">
            <v>Upton (non-op)</v>
          </cell>
        </row>
        <row r="476">
          <cell r="A476" t="str">
            <v>0304</v>
          </cell>
          <cell r="B476" t="str">
            <v>Uxbridge</v>
          </cell>
        </row>
        <row r="477">
          <cell r="A477" t="str">
            <v>0498</v>
          </cell>
          <cell r="B477" t="str">
            <v>Veritas Preparatory Charter School (District)</v>
          </cell>
        </row>
        <row r="478">
          <cell r="A478" t="str">
            <v>0775</v>
          </cell>
          <cell r="B478" t="str">
            <v>Wachusett</v>
          </cell>
        </row>
        <row r="479">
          <cell r="A479" t="str">
            <v>0305</v>
          </cell>
          <cell r="B479" t="str">
            <v>Wakefield</v>
          </cell>
        </row>
        <row r="480">
          <cell r="A480" t="str">
            <v>0306</v>
          </cell>
          <cell r="B480" t="str">
            <v>Wales</v>
          </cell>
        </row>
        <row r="481">
          <cell r="A481" t="str">
            <v>0307</v>
          </cell>
          <cell r="B481" t="str">
            <v>Walpole</v>
          </cell>
        </row>
        <row r="482">
          <cell r="A482" t="str">
            <v>0308</v>
          </cell>
          <cell r="B482" t="str">
            <v>Waltham</v>
          </cell>
        </row>
        <row r="483">
          <cell r="A483" t="str">
            <v>0309</v>
          </cell>
          <cell r="B483" t="str">
            <v>Ware</v>
          </cell>
        </row>
        <row r="484">
          <cell r="A484" t="str">
            <v>0310</v>
          </cell>
          <cell r="B484" t="str">
            <v>Wareham</v>
          </cell>
        </row>
        <row r="485">
          <cell r="A485" t="str">
            <v>0311</v>
          </cell>
          <cell r="B485" t="str">
            <v>Warren (non-op)</v>
          </cell>
        </row>
        <row r="486">
          <cell r="A486" t="str">
            <v>0312</v>
          </cell>
          <cell r="B486" t="str">
            <v>Warwick (non-op)</v>
          </cell>
        </row>
        <row r="487">
          <cell r="A487" t="str">
            <v>0313</v>
          </cell>
          <cell r="B487" t="str">
            <v>Washington (non-op)</v>
          </cell>
        </row>
        <row r="488">
          <cell r="A488" t="str">
            <v>0314</v>
          </cell>
          <cell r="B488" t="str">
            <v>Watertown</v>
          </cell>
        </row>
        <row r="489">
          <cell r="A489" t="str">
            <v>0315</v>
          </cell>
          <cell r="B489" t="str">
            <v>Wayland</v>
          </cell>
        </row>
        <row r="490">
          <cell r="A490" t="str">
            <v>0316</v>
          </cell>
          <cell r="B490" t="str">
            <v>Webster</v>
          </cell>
        </row>
        <row r="491">
          <cell r="A491" t="str">
            <v>0317</v>
          </cell>
          <cell r="B491" t="str">
            <v>Wellesley</v>
          </cell>
        </row>
        <row r="492">
          <cell r="A492" t="str">
            <v>0318</v>
          </cell>
          <cell r="B492" t="str">
            <v>Wellfleet</v>
          </cell>
        </row>
        <row r="493">
          <cell r="A493" t="str">
            <v>0319</v>
          </cell>
          <cell r="B493" t="str">
            <v>Wendell (non-op)</v>
          </cell>
        </row>
        <row r="494">
          <cell r="A494" t="str">
            <v>0320</v>
          </cell>
          <cell r="B494" t="str">
            <v>Wenham (non-op)</v>
          </cell>
        </row>
        <row r="495">
          <cell r="A495" t="str">
            <v>0322</v>
          </cell>
          <cell r="B495" t="str">
            <v>West Boylston</v>
          </cell>
        </row>
        <row r="496">
          <cell r="A496" t="str">
            <v>0323</v>
          </cell>
          <cell r="B496" t="str">
            <v>West Bridgewater</v>
          </cell>
        </row>
        <row r="497">
          <cell r="A497" t="str">
            <v>0324</v>
          </cell>
          <cell r="B497" t="str">
            <v>West Brookfield (non-op)</v>
          </cell>
        </row>
        <row r="498">
          <cell r="A498" t="str">
            <v>0329</v>
          </cell>
          <cell r="B498" t="str">
            <v>West Newbury (non-op)</v>
          </cell>
        </row>
        <row r="499">
          <cell r="A499" t="str">
            <v>0332</v>
          </cell>
          <cell r="B499" t="str">
            <v>West Springfield</v>
          </cell>
        </row>
        <row r="500">
          <cell r="A500" t="str">
            <v>0333</v>
          </cell>
          <cell r="B500" t="str">
            <v>West Stockbridge (non-op)</v>
          </cell>
        </row>
        <row r="501">
          <cell r="A501" t="str">
            <v>0334</v>
          </cell>
          <cell r="B501" t="str">
            <v>West Tisbury (non-op)</v>
          </cell>
        </row>
        <row r="502">
          <cell r="A502" t="str">
            <v>0321</v>
          </cell>
          <cell r="B502" t="str">
            <v>Westborough</v>
          </cell>
        </row>
        <row r="503">
          <cell r="A503" t="str">
            <v>0325</v>
          </cell>
          <cell r="B503" t="str">
            <v>Westfield</v>
          </cell>
        </row>
        <row r="504">
          <cell r="A504" t="str">
            <v>0326</v>
          </cell>
          <cell r="B504" t="str">
            <v>Westford</v>
          </cell>
        </row>
        <row r="505">
          <cell r="A505" t="str">
            <v>0327</v>
          </cell>
          <cell r="B505" t="str">
            <v>Westhampton</v>
          </cell>
        </row>
        <row r="506">
          <cell r="A506" t="str">
            <v>0328</v>
          </cell>
          <cell r="B506" t="str">
            <v>Westminster (non-op)</v>
          </cell>
        </row>
        <row r="507">
          <cell r="A507" t="str">
            <v>0330</v>
          </cell>
          <cell r="B507" t="str">
            <v>Weston</v>
          </cell>
        </row>
        <row r="508">
          <cell r="A508" t="str">
            <v>0331</v>
          </cell>
          <cell r="B508" t="str">
            <v>Westport</v>
          </cell>
        </row>
        <row r="509">
          <cell r="A509" t="str">
            <v>0335</v>
          </cell>
          <cell r="B509" t="str">
            <v>Westwood</v>
          </cell>
        </row>
        <row r="510">
          <cell r="A510" t="str">
            <v>0336</v>
          </cell>
          <cell r="B510" t="str">
            <v>Weymouth</v>
          </cell>
        </row>
        <row r="511">
          <cell r="A511" t="str">
            <v>0337</v>
          </cell>
          <cell r="B511" t="str">
            <v>Whately</v>
          </cell>
        </row>
        <row r="512">
          <cell r="A512" t="str">
            <v>0338</v>
          </cell>
          <cell r="B512" t="str">
            <v>Whitman (non-op)</v>
          </cell>
        </row>
        <row r="513">
          <cell r="A513" t="str">
            <v>0780</v>
          </cell>
          <cell r="B513" t="str">
            <v>Whitman-Hanson</v>
          </cell>
        </row>
        <row r="514">
          <cell r="A514" t="str">
            <v>0885</v>
          </cell>
          <cell r="B514" t="str">
            <v>Whittier Regional Vocational Technical</v>
          </cell>
        </row>
        <row r="515">
          <cell r="A515" t="str">
            <v>0339</v>
          </cell>
          <cell r="B515" t="str">
            <v>Wilbraham (non-op)</v>
          </cell>
        </row>
        <row r="516">
          <cell r="A516" t="str">
            <v>0340</v>
          </cell>
          <cell r="B516" t="str">
            <v>Williamsburg</v>
          </cell>
        </row>
        <row r="517">
          <cell r="A517" t="str">
            <v>0341</v>
          </cell>
          <cell r="B517" t="str">
            <v>Williamstown</v>
          </cell>
        </row>
        <row r="518">
          <cell r="A518" t="str">
            <v>0342</v>
          </cell>
          <cell r="B518" t="str">
            <v>Wilmington</v>
          </cell>
        </row>
        <row r="519">
          <cell r="A519" t="str">
            <v>0343</v>
          </cell>
          <cell r="B519" t="str">
            <v>Winchendon</v>
          </cell>
        </row>
        <row r="520">
          <cell r="A520" t="str">
            <v>0344</v>
          </cell>
          <cell r="B520" t="str">
            <v>Winchester</v>
          </cell>
        </row>
        <row r="521">
          <cell r="A521" t="str">
            <v>0345</v>
          </cell>
          <cell r="B521" t="str">
            <v>Windsor (non-op)</v>
          </cell>
        </row>
        <row r="522">
          <cell r="A522" t="str">
            <v>0346</v>
          </cell>
          <cell r="B522" t="str">
            <v>Winthrop</v>
          </cell>
        </row>
        <row r="523">
          <cell r="A523" t="str">
            <v>0347</v>
          </cell>
          <cell r="B523" t="str">
            <v>Woburn</v>
          </cell>
        </row>
        <row r="524">
          <cell r="A524" t="str">
            <v>0348</v>
          </cell>
          <cell r="B524" t="str">
            <v>Worcester</v>
          </cell>
        </row>
        <row r="525">
          <cell r="A525" t="str">
            <v>0349</v>
          </cell>
          <cell r="B525" t="str">
            <v>Worthington</v>
          </cell>
        </row>
        <row r="526">
          <cell r="A526" t="str">
            <v>0350</v>
          </cell>
          <cell r="B526" t="str">
            <v>Wrentham</v>
          </cell>
        </row>
        <row r="527">
          <cell r="A527" t="str">
            <v>0351</v>
          </cell>
          <cell r="B527" t="str">
            <v>Yarmouth (non-op)</v>
          </cell>
        </row>
      </sheetData>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Budget Assumptions"/>
      <sheetName val="FY18 Metco SIMS"/>
      <sheetName val="provider sum"/>
      <sheetName val="FINAL"/>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grant final"/>
      <sheetName val="FY19 Budget Assumptions"/>
      <sheetName val="FY19 grant prelim"/>
      <sheetName val="FY18 Metco SIMS"/>
      <sheetName val="provider sum"/>
      <sheetName val="FIN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udget.digital.mass.gov/bb/h1/fy20h1/brec_20/act_20/h70100012.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digital.mass.gov/bb/gaa/fy2019/app_19/act_19/h70100012.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J46"/>
  <sheetViews>
    <sheetView showGridLines="0" tabSelected="1" zoomScaleNormal="100" workbookViewId="0">
      <pane ySplit="2" topLeftCell="A3" activePane="bottomLeft" state="frozen"/>
      <selection pane="bottomLeft" activeCell="A3" sqref="A3"/>
    </sheetView>
  </sheetViews>
  <sheetFormatPr defaultColWidth="9" defaultRowHeight="15"/>
  <cols>
    <col min="1" max="1" width="6" style="36" customWidth="1"/>
    <col min="2" max="2" width="34.875" style="36" customWidth="1"/>
    <col min="3" max="3" width="12.125" style="36" customWidth="1"/>
    <col min="4" max="4" width="14.75" style="213" customWidth="1"/>
    <col min="5" max="5" width="8.375" style="57" customWidth="1"/>
    <col min="6" max="7" width="11.875" style="57" customWidth="1"/>
    <col min="8" max="8" width="11.625" style="57" customWidth="1"/>
    <col min="9" max="9" width="9.5" style="36" bestFit="1" customWidth="1"/>
    <col min="10" max="16384" width="9" style="36"/>
  </cols>
  <sheetData>
    <row r="1" spans="1:8" s="1" customFormat="1" ht="33.75" customHeight="1">
      <c r="A1" s="158" t="s">
        <v>256</v>
      </c>
      <c r="B1" s="159"/>
      <c r="C1" s="159"/>
      <c r="D1" s="210"/>
      <c r="E1" s="160"/>
      <c r="F1" s="161"/>
      <c r="G1" s="161"/>
      <c r="H1" s="214"/>
    </row>
    <row r="2" spans="1:8" s="3" customFormat="1" ht="94.5" customHeight="1">
      <c r="A2" s="51" t="s">
        <v>38</v>
      </c>
      <c r="B2" s="52" t="s">
        <v>0</v>
      </c>
      <c r="C2" s="102" t="s">
        <v>216</v>
      </c>
      <c r="D2" s="102" t="s">
        <v>266</v>
      </c>
      <c r="E2" s="51" t="s">
        <v>136</v>
      </c>
      <c r="F2" s="53" t="s">
        <v>137</v>
      </c>
      <c r="G2" s="53" t="s">
        <v>213</v>
      </c>
      <c r="H2" s="215" t="s">
        <v>255</v>
      </c>
    </row>
    <row r="3" spans="1:8" s="32" customFormat="1">
      <c r="A3" s="61">
        <v>10</v>
      </c>
      <c r="B3" s="40" t="s">
        <v>1</v>
      </c>
      <c r="C3" s="86">
        <v>489063.10682372062</v>
      </c>
      <c r="D3" s="211">
        <v>479006.22884</v>
      </c>
      <c r="E3" s="121">
        <f t="shared" ref="E3:E39" si="0">VLOOKUP(A3, enro, 5)</f>
        <v>78</v>
      </c>
      <c r="F3" s="122">
        <f t="shared" ref="F3:F39" si="1">VLOOKUP(A3,enro,4)</f>
        <v>76.333333333333329</v>
      </c>
      <c r="G3" s="63">
        <f>ROUND(MAX(E3,F3),0)</f>
        <v>78</v>
      </c>
      <c r="H3" s="216">
        <f>VLOOKUP(A3,PPHH,16, FALSE)+22500</f>
        <v>534448.50659475569</v>
      </c>
    </row>
    <row r="4" spans="1:8" s="32" customFormat="1">
      <c r="A4" s="61">
        <v>23</v>
      </c>
      <c r="B4" s="40" t="s">
        <v>2</v>
      </c>
      <c r="C4" s="86">
        <v>654034.21669374499</v>
      </c>
      <c r="D4" s="211">
        <v>664293.67800000007</v>
      </c>
      <c r="E4" s="121">
        <f t="shared" si="0"/>
        <v>100</v>
      </c>
      <c r="F4" s="122">
        <f t="shared" si="1"/>
        <v>98.666666666666671</v>
      </c>
      <c r="G4" s="63">
        <f t="shared" ref="G4:G39" si="2">ROUND(MAX(E4,F4),0)</f>
        <v>100</v>
      </c>
      <c r="H4" s="216">
        <f t="shared" ref="H4:H16" si="3">VLOOKUP(A4,PPHH,16, FALSE)</f>
        <v>671827.1940599127</v>
      </c>
    </row>
    <row r="5" spans="1:8" s="32" customFormat="1">
      <c r="A5" s="61">
        <v>26</v>
      </c>
      <c r="B5" s="40" t="s">
        <v>3</v>
      </c>
      <c r="C5" s="86">
        <v>582970.10530056874</v>
      </c>
      <c r="D5" s="211">
        <v>584451.14834000007</v>
      </c>
      <c r="E5" s="121">
        <f t="shared" si="0"/>
        <v>103</v>
      </c>
      <c r="F5" s="122">
        <f t="shared" si="1"/>
        <v>103</v>
      </c>
      <c r="G5" s="63">
        <f t="shared" si="2"/>
        <v>103</v>
      </c>
      <c r="H5" s="216">
        <f t="shared" si="3"/>
        <v>676954.41281824058</v>
      </c>
    </row>
    <row r="6" spans="1:8" s="32" customFormat="1">
      <c r="A6" s="61">
        <v>40</v>
      </c>
      <c r="B6" s="40" t="s">
        <v>4</v>
      </c>
      <c r="C6" s="86">
        <v>220153.66531275387</v>
      </c>
      <c r="D6" s="211">
        <v>229349.07628000001</v>
      </c>
      <c r="E6" s="121">
        <f t="shared" si="0"/>
        <v>26</v>
      </c>
      <c r="F6" s="122">
        <f t="shared" si="1"/>
        <v>22.666666666666668</v>
      </c>
      <c r="G6" s="63">
        <f t="shared" si="2"/>
        <v>26</v>
      </c>
      <c r="H6" s="216">
        <f t="shared" si="3"/>
        <v>230255.74294666667</v>
      </c>
    </row>
    <row r="7" spans="1:8" s="32" customFormat="1">
      <c r="A7" s="61">
        <v>46</v>
      </c>
      <c r="B7" s="40" t="s">
        <v>5</v>
      </c>
      <c r="C7" s="86">
        <v>1605301.3538789605</v>
      </c>
      <c r="D7" s="211">
        <v>1661131.6611200001</v>
      </c>
      <c r="E7" s="121">
        <f t="shared" si="0"/>
        <v>304</v>
      </c>
      <c r="F7" s="122">
        <f t="shared" si="1"/>
        <v>296</v>
      </c>
      <c r="G7" s="63">
        <f t="shared" si="2"/>
        <v>304</v>
      </c>
      <c r="H7" s="216">
        <f t="shared" si="3"/>
        <v>1941295.2035569181</v>
      </c>
    </row>
    <row r="8" spans="1:8" s="32" customFormat="1">
      <c r="A8" s="61">
        <v>65</v>
      </c>
      <c r="B8" s="40" t="s">
        <v>6</v>
      </c>
      <c r="C8" s="86">
        <v>307386.55290414306</v>
      </c>
      <c r="D8" s="211">
        <v>303637.21188000002</v>
      </c>
      <c r="E8" s="121">
        <f t="shared" si="0"/>
        <v>46</v>
      </c>
      <c r="F8" s="122">
        <f t="shared" si="1"/>
        <v>45.666666666666664</v>
      </c>
      <c r="G8" s="63">
        <f t="shared" si="2"/>
        <v>46</v>
      </c>
      <c r="H8" s="216">
        <f t="shared" si="3"/>
        <v>310930.56571119797</v>
      </c>
    </row>
    <row r="9" spans="1:8" s="32" customFormat="1">
      <c r="A9" s="61">
        <v>67</v>
      </c>
      <c r="B9" s="40" t="s">
        <v>7</v>
      </c>
      <c r="C9" s="86">
        <v>512044.84707554843</v>
      </c>
      <c r="D9" s="211">
        <v>501461.85596000002</v>
      </c>
      <c r="E9" s="121">
        <f t="shared" si="0"/>
        <v>82</v>
      </c>
      <c r="F9" s="122">
        <f t="shared" si="1"/>
        <v>82</v>
      </c>
      <c r="G9" s="63">
        <f t="shared" si="2"/>
        <v>82</v>
      </c>
      <c r="H9" s="216">
        <f t="shared" si="3"/>
        <v>549389.7126970723</v>
      </c>
    </row>
    <row r="10" spans="1:8" s="32" customFormat="1">
      <c r="A10" s="61">
        <v>640</v>
      </c>
      <c r="B10" s="40" t="s">
        <v>34</v>
      </c>
      <c r="C10" s="86">
        <v>387082.99695369625</v>
      </c>
      <c r="D10" s="211">
        <v>383434.30934000004</v>
      </c>
      <c r="E10" s="121">
        <f t="shared" si="0"/>
        <v>53</v>
      </c>
      <c r="F10" s="122">
        <f t="shared" si="1"/>
        <v>52</v>
      </c>
      <c r="G10" s="63">
        <f t="shared" si="2"/>
        <v>53</v>
      </c>
      <c r="H10" s="216">
        <f t="shared" si="3"/>
        <v>389162.99695369625</v>
      </c>
    </row>
    <row r="11" spans="1:8" s="32" customFormat="1">
      <c r="A11" s="61">
        <v>78</v>
      </c>
      <c r="B11" s="40" t="s">
        <v>8</v>
      </c>
      <c r="C11" s="86">
        <v>35286.22177091796</v>
      </c>
      <c r="D11" s="211">
        <v>35401.254240000002</v>
      </c>
      <c r="E11" s="121">
        <f t="shared" si="0"/>
        <v>8</v>
      </c>
      <c r="F11" s="122">
        <f t="shared" si="1"/>
        <v>7.666666666666667</v>
      </c>
      <c r="G11" s="63">
        <f t="shared" si="2"/>
        <v>8</v>
      </c>
      <c r="H11" s="216">
        <f t="shared" si="3"/>
        <v>48576.502504835298</v>
      </c>
    </row>
    <row r="12" spans="1:8" s="32" customFormat="1">
      <c r="A12" s="61">
        <v>655</v>
      </c>
      <c r="B12" s="40" t="s">
        <v>35</v>
      </c>
      <c r="C12" s="86">
        <v>159925.88759138912</v>
      </c>
      <c r="D12" s="211">
        <v>173532.07628000001</v>
      </c>
      <c r="E12" s="121">
        <f t="shared" si="0"/>
        <v>26</v>
      </c>
      <c r="F12" s="122">
        <f t="shared" si="1"/>
        <v>24.333333333333332</v>
      </c>
      <c r="G12" s="63">
        <f t="shared" si="2"/>
        <v>26</v>
      </c>
      <c r="H12" s="216">
        <f t="shared" si="3"/>
        <v>174505.40961333335</v>
      </c>
    </row>
    <row r="13" spans="1:8" s="32" customFormat="1">
      <c r="A13" s="61">
        <v>87</v>
      </c>
      <c r="B13" s="40" t="s">
        <v>9</v>
      </c>
      <c r="C13" s="86">
        <v>266594.66429731925</v>
      </c>
      <c r="D13" s="211">
        <v>280474.0551</v>
      </c>
      <c r="E13" s="121">
        <f t="shared" si="0"/>
        <v>45</v>
      </c>
      <c r="F13" s="122">
        <f t="shared" si="1"/>
        <v>41.666666666666664</v>
      </c>
      <c r="G13" s="63">
        <f t="shared" si="2"/>
        <v>45</v>
      </c>
      <c r="H13" s="216">
        <f t="shared" si="3"/>
        <v>283698.42642561608</v>
      </c>
    </row>
    <row r="14" spans="1:8" s="32" customFormat="1">
      <c r="A14" s="61">
        <v>99</v>
      </c>
      <c r="B14" s="40" t="s">
        <v>10</v>
      </c>
      <c r="C14" s="86">
        <v>247773.77569049556</v>
      </c>
      <c r="D14" s="211">
        <v>243880.64408</v>
      </c>
      <c r="E14" s="121">
        <f t="shared" si="0"/>
        <v>35</v>
      </c>
      <c r="F14" s="122">
        <f t="shared" si="1"/>
        <v>35.666666666666664</v>
      </c>
      <c r="G14" s="63">
        <f t="shared" si="2"/>
        <v>36</v>
      </c>
      <c r="H14" s="216">
        <f t="shared" si="3"/>
        <v>249200.44235716222</v>
      </c>
    </row>
    <row r="15" spans="1:8" s="32" customFormat="1">
      <c r="A15" s="61">
        <v>680</v>
      </c>
      <c r="B15" s="40" t="s">
        <v>36</v>
      </c>
      <c r="C15" s="86">
        <v>128640.25822502034</v>
      </c>
      <c r="D15" s="211">
        <v>114153.3517</v>
      </c>
      <c r="E15" s="121">
        <f t="shared" si="0"/>
        <v>11</v>
      </c>
      <c r="F15" s="122">
        <f t="shared" si="1"/>
        <v>14.666666666666666</v>
      </c>
      <c r="G15" s="63">
        <f t="shared" si="2"/>
        <v>15</v>
      </c>
      <c r="H15" s="216">
        <f t="shared" si="3"/>
        <v>129226.92489168701</v>
      </c>
    </row>
    <row r="16" spans="1:8" s="32" customFormat="1">
      <c r="A16" s="61">
        <v>131</v>
      </c>
      <c r="B16" s="40" t="s">
        <v>11</v>
      </c>
      <c r="C16" s="86">
        <v>265975.66429731925</v>
      </c>
      <c r="D16" s="211">
        <v>266579.58476</v>
      </c>
      <c r="E16" s="121">
        <f t="shared" si="0"/>
        <v>42</v>
      </c>
      <c r="F16" s="122">
        <f t="shared" si="1"/>
        <v>41.333333333333336</v>
      </c>
      <c r="G16" s="63">
        <f t="shared" si="2"/>
        <v>42</v>
      </c>
      <c r="H16" s="216">
        <f t="shared" si="3"/>
        <v>278823.4939178839</v>
      </c>
    </row>
    <row r="17" spans="1:8" s="32" customFormat="1">
      <c r="A17" s="61">
        <v>155</v>
      </c>
      <c r="B17" s="40" t="s">
        <v>12</v>
      </c>
      <c r="C17" s="86">
        <v>1597799.616165719</v>
      </c>
      <c r="D17" s="211">
        <v>1525179.4322800001</v>
      </c>
      <c r="E17" s="121">
        <f t="shared" si="0"/>
        <v>215</v>
      </c>
      <c r="F17" s="122">
        <f t="shared" si="1"/>
        <v>225.66666666666666</v>
      </c>
      <c r="G17" s="63">
        <f t="shared" si="2"/>
        <v>226</v>
      </c>
      <c r="H17" s="216">
        <f>VLOOKUP(A17,PPHH,16, FALSE)+22500</f>
        <v>1609326.2828323867</v>
      </c>
    </row>
    <row r="18" spans="1:8" s="32" customFormat="1">
      <c r="A18" s="61">
        <v>157</v>
      </c>
      <c r="B18" s="40" t="s">
        <v>13</v>
      </c>
      <c r="C18" s="86">
        <v>546321.92099918774</v>
      </c>
      <c r="D18" s="211">
        <v>546102.63986</v>
      </c>
      <c r="E18" s="121">
        <f t="shared" si="0"/>
        <v>86</v>
      </c>
      <c r="F18" s="122">
        <f t="shared" si="1"/>
        <v>86.666666666666671</v>
      </c>
      <c r="G18" s="63">
        <f t="shared" si="2"/>
        <v>87</v>
      </c>
      <c r="H18" s="216">
        <f t="shared" ref="H18:H39" si="4">VLOOKUP(A18,PPHH,16, FALSE)</f>
        <v>581804.38464941783</v>
      </c>
    </row>
    <row r="19" spans="1:8" s="32" customFormat="1">
      <c r="A19" s="61">
        <v>695</v>
      </c>
      <c r="B19" s="40" t="s">
        <v>37</v>
      </c>
      <c r="C19" s="86">
        <v>543113.77264419175</v>
      </c>
      <c r="D19" s="211">
        <v>553272.58054</v>
      </c>
      <c r="E19" s="121">
        <f t="shared" si="0"/>
        <v>93</v>
      </c>
      <c r="F19" s="122">
        <f t="shared" si="1"/>
        <v>91.666666666666671</v>
      </c>
      <c r="G19" s="63">
        <f t="shared" si="2"/>
        <v>93</v>
      </c>
      <c r="H19" s="216">
        <f t="shared" si="4"/>
        <v>609876.10232144315</v>
      </c>
    </row>
    <row r="20" spans="1:8" s="32" customFormat="1">
      <c r="A20" s="61">
        <v>159</v>
      </c>
      <c r="B20" s="40" t="s">
        <v>14</v>
      </c>
      <c r="C20" s="86">
        <v>225806.96100731115</v>
      </c>
      <c r="D20" s="211">
        <v>227780.48730000001</v>
      </c>
      <c r="E20" s="121">
        <f t="shared" si="0"/>
        <v>35</v>
      </c>
      <c r="F20" s="122">
        <f t="shared" si="1"/>
        <v>35</v>
      </c>
      <c r="G20" s="63">
        <f t="shared" si="2"/>
        <v>35</v>
      </c>
      <c r="H20" s="216">
        <f t="shared" si="4"/>
        <v>236558.46611958963</v>
      </c>
    </row>
    <row r="21" spans="1:8" s="32" customFormat="1">
      <c r="A21" s="61">
        <v>164</v>
      </c>
      <c r="B21" s="40" t="s">
        <v>15</v>
      </c>
      <c r="C21" s="86">
        <v>241425.81265231525</v>
      </c>
      <c r="D21" s="211">
        <v>231651.64408</v>
      </c>
      <c r="E21" s="121">
        <f t="shared" si="0"/>
        <v>33</v>
      </c>
      <c r="F21" s="122">
        <f t="shared" si="1"/>
        <v>36</v>
      </c>
      <c r="G21" s="63">
        <f t="shared" si="2"/>
        <v>36</v>
      </c>
      <c r="H21" s="216">
        <f t="shared" si="4"/>
        <v>244913.33758039618</v>
      </c>
    </row>
    <row r="22" spans="1:8" s="32" customFormat="1">
      <c r="A22" s="61">
        <v>168</v>
      </c>
      <c r="B22" s="40" t="s">
        <v>16</v>
      </c>
      <c r="C22" s="86">
        <v>498279.88454508537</v>
      </c>
      <c r="D22" s="211">
        <v>472836.13138000004</v>
      </c>
      <c r="E22" s="121">
        <f t="shared" si="0"/>
        <v>64</v>
      </c>
      <c r="F22" s="122">
        <f t="shared" si="1"/>
        <v>71.333333333333329</v>
      </c>
      <c r="G22" s="63">
        <f t="shared" si="2"/>
        <v>71</v>
      </c>
      <c r="H22" s="216">
        <f t="shared" si="4"/>
        <v>501133.21787841868</v>
      </c>
    </row>
    <row r="23" spans="1:8" s="32" customFormat="1">
      <c r="A23" s="61">
        <v>178</v>
      </c>
      <c r="B23" s="40" t="s">
        <v>17</v>
      </c>
      <c r="C23" s="86">
        <v>758156.77061332262</v>
      </c>
      <c r="D23" s="211">
        <v>759982.91106000007</v>
      </c>
      <c r="E23" s="121">
        <f t="shared" si="0"/>
        <v>127</v>
      </c>
      <c r="F23" s="122">
        <f t="shared" si="1"/>
        <v>126.33333333333333</v>
      </c>
      <c r="G23" s="63">
        <f t="shared" si="2"/>
        <v>127</v>
      </c>
      <c r="H23" s="216">
        <f t="shared" si="4"/>
        <v>839954.99630280142</v>
      </c>
    </row>
    <row r="24" spans="1:8" s="32" customFormat="1">
      <c r="A24" s="61">
        <v>198</v>
      </c>
      <c r="B24" s="40" t="s">
        <v>18</v>
      </c>
      <c r="C24" s="86">
        <v>364069.73771324131</v>
      </c>
      <c r="D24" s="211">
        <v>361891.30934000004</v>
      </c>
      <c r="E24" s="121">
        <f t="shared" si="0"/>
        <v>51</v>
      </c>
      <c r="F24" s="122">
        <f t="shared" si="1"/>
        <v>52.666666666666664</v>
      </c>
      <c r="G24" s="63">
        <f t="shared" si="2"/>
        <v>53</v>
      </c>
      <c r="H24" s="216">
        <f t="shared" si="4"/>
        <v>366176.404379908</v>
      </c>
    </row>
    <row r="25" spans="1:8" s="32" customFormat="1">
      <c r="A25" s="61">
        <v>199</v>
      </c>
      <c r="B25" s="40" t="s">
        <v>19</v>
      </c>
      <c r="C25" s="86">
        <v>1088334.915922015</v>
      </c>
      <c r="D25" s="211">
        <v>1102685.2204</v>
      </c>
      <c r="E25" s="121">
        <f t="shared" si="0"/>
        <v>180</v>
      </c>
      <c r="F25" s="122">
        <f t="shared" si="1"/>
        <v>179.33333333333334</v>
      </c>
      <c r="G25" s="63">
        <f t="shared" si="2"/>
        <v>180</v>
      </c>
      <c r="H25" s="216">
        <f t="shared" si="4"/>
        <v>1197675.1187525506</v>
      </c>
    </row>
    <row r="26" spans="1:8" s="32" customFormat="1">
      <c r="A26" s="61">
        <v>207</v>
      </c>
      <c r="B26" s="40" t="s">
        <v>20</v>
      </c>
      <c r="C26" s="86">
        <v>2662508.197908205</v>
      </c>
      <c r="D26" s="211">
        <v>2681981.0425200001</v>
      </c>
      <c r="E26" s="121">
        <f t="shared" si="0"/>
        <v>434</v>
      </c>
      <c r="F26" s="122">
        <f t="shared" si="1"/>
        <v>430.66666666666669</v>
      </c>
      <c r="G26" s="63">
        <f t="shared" si="2"/>
        <v>434</v>
      </c>
      <c r="H26" s="216">
        <f t="shared" si="4"/>
        <v>2883781.2839880642</v>
      </c>
    </row>
    <row r="27" spans="1:8" s="32" customFormat="1">
      <c r="A27" s="61">
        <v>246</v>
      </c>
      <c r="B27" s="40" t="s">
        <v>21</v>
      </c>
      <c r="C27" s="86">
        <v>423213.92201462231</v>
      </c>
      <c r="D27" s="211">
        <v>418310.66104000004</v>
      </c>
      <c r="E27" s="121">
        <f t="shared" si="0"/>
        <v>67</v>
      </c>
      <c r="F27" s="122">
        <f t="shared" si="1"/>
        <v>67.666666666666671</v>
      </c>
      <c r="G27" s="63">
        <f t="shared" si="2"/>
        <v>68</v>
      </c>
      <c r="H27" s="216">
        <f t="shared" si="4"/>
        <v>453508.64123317308</v>
      </c>
    </row>
    <row r="28" spans="1:8" s="32" customFormat="1">
      <c r="A28" s="61">
        <v>264</v>
      </c>
      <c r="B28" s="40" t="s">
        <v>22</v>
      </c>
      <c r="C28" s="86">
        <v>460237.55188870843</v>
      </c>
      <c r="D28" s="211">
        <v>456747.03392000002</v>
      </c>
      <c r="E28" s="121">
        <f t="shared" si="0"/>
        <v>60</v>
      </c>
      <c r="F28" s="122">
        <f t="shared" si="1"/>
        <v>64</v>
      </c>
      <c r="G28" s="63">
        <f t="shared" si="2"/>
        <v>64</v>
      </c>
      <c r="H28" s="216">
        <f t="shared" si="4"/>
        <v>462797.55188870843</v>
      </c>
    </row>
    <row r="29" spans="1:8" s="32" customFormat="1">
      <c r="A29" s="61">
        <v>266</v>
      </c>
      <c r="B29" s="40" t="s">
        <v>23</v>
      </c>
      <c r="C29" s="86">
        <v>446205.51492688875</v>
      </c>
      <c r="D29" s="211">
        <v>439745.72036000004</v>
      </c>
      <c r="E29" s="121">
        <f t="shared" si="0"/>
        <v>62</v>
      </c>
      <c r="F29" s="122">
        <f t="shared" si="1"/>
        <v>62.333333333333336</v>
      </c>
      <c r="G29" s="63">
        <f t="shared" si="2"/>
        <v>62</v>
      </c>
      <c r="H29" s="216">
        <f t="shared" si="4"/>
        <v>448698.84826022206</v>
      </c>
    </row>
    <row r="30" spans="1:8" s="32" customFormat="1">
      <c r="A30" s="61">
        <v>269</v>
      </c>
      <c r="B30" s="40" t="s">
        <v>24</v>
      </c>
      <c r="C30" s="86">
        <v>44107.777213647452</v>
      </c>
      <c r="D30" s="211">
        <v>39826.41102</v>
      </c>
      <c r="E30" s="121">
        <f t="shared" si="0"/>
        <v>9</v>
      </c>
      <c r="F30" s="122">
        <f t="shared" si="1"/>
        <v>9</v>
      </c>
      <c r="G30" s="63">
        <f t="shared" si="2"/>
        <v>9</v>
      </c>
      <c r="H30" s="216">
        <f t="shared" si="4"/>
        <v>57594.776882572718</v>
      </c>
    </row>
    <row r="31" spans="1:8" s="32" customFormat="1">
      <c r="A31" s="61">
        <v>766</v>
      </c>
      <c r="B31" s="40" t="s">
        <v>42</v>
      </c>
      <c r="C31" s="86">
        <v>145714.29518684</v>
      </c>
      <c r="D31" s="211">
        <v>143046.97882000002</v>
      </c>
      <c r="E31" s="121">
        <f t="shared" si="0"/>
        <v>18</v>
      </c>
      <c r="F31" s="122">
        <f t="shared" si="1"/>
        <v>18.666666666666668</v>
      </c>
      <c r="G31" s="63">
        <f t="shared" si="2"/>
        <v>19</v>
      </c>
      <c r="H31" s="216">
        <f t="shared" si="4"/>
        <v>146460.96185350665</v>
      </c>
    </row>
    <row r="32" spans="1:8" s="32" customFormat="1">
      <c r="A32" s="61">
        <v>288</v>
      </c>
      <c r="B32" s="40" t="s">
        <v>26</v>
      </c>
      <c r="C32" s="86">
        <v>473432.4035337125</v>
      </c>
      <c r="D32" s="211">
        <v>480319.97460000002</v>
      </c>
      <c r="E32" s="121">
        <f t="shared" si="0"/>
        <v>70</v>
      </c>
      <c r="F32" s="122">
        <f t="shared" si="1"/>
        <v>69</v>
      </c>
      <c r="G32" s="63">
        <f t="shared" si="2"/>
        <v>70</v>
      </c>
      <c r="H32" s="216">
        <f t="shared" si="4"/>
        <v>483079.97460000002</v>
      </c>
    </row>
    <row r="33" spans="1:10" s="32" customFormat="1">
      <c r="A33" s="61">
        <v>291</v>
      </c>
      <c r="B33" s="40" t="s">
        <v>27</v>
      </c>
      <c r="C33" s="86">
        <v>403568.626320065</v>
      </c>
      <c r="D33" s="211">
        <v>383761.46612</v>
      </c>
      <c r="E33" s="121">
        <f t="shared" si="0"/>
        <v>53</v>
      </c>
      <c r="F33" s="122">
        <f t="shared" si="1"/>
        <v>54</v>
      </c>
      <c r="G33" s="63">
        <f t="shared" si="2"/>
        <v>54</v>
      </c>
      <c r="H33" s="216">
        <f t="shared" si="4"/>
        <v>405728.626320065</v>
      </c>
    </row>
    <row r="34" spans="1:10" s="32" customFormat="1">
      <c r="A34" s="61">
        <v>305</v>
      </c>
      <c r="B34" s="40" t="s">
        <v>28</v>
      </c>
      <c r="C34" s="86">
        <v>389163.44049553218</v>
      </c>
      <c r="D34" s="211">
        <v>399020.28816</v>
      </c>
      <c r="E34" s="121">
        <f t="shared" si="0"/>
        <v>72</v>
      </c>
      <c r="F34" s="122">
        <f t="shared" si="1"/>
        <v>68.333333333333329</v>
      </c>
      <c r="G34" s="63">
        <f t="shared" si="2"/>
        <v>72</v>
      </c>
      <c r="H34" s="216">
        <f t="shared" si="4"/>
        <v>451634.07144492993</v>
      </c>
    </row>
    <row r="35" spans="1:10" s="32" customFormat="1">
      <c r="A35" s="61">
        <v>307</v>
      </c>
      <c r="B35" s="40" t="s">
        <v>29</v>
      </c>
      <c r="C35" s="86">
        <v>293845.66429731925</v>
      </c>
      <c r="D35" s="211">
        <v>285599.27120000002</v>
      </c>
      <c r="E35" s="121">
        <f t="shared" si="0"/>
        <v>37</v>
      </c>
      <c r="F35" s="122">
        <f t="shared" si="1"/>
        <v>40</v>
      </c>
      <c r="G35" s="63">
        <f t="shared" si="2"/>
        <v>40</v>
      </c>
      <c r="H35" s="216">
        <f t="shared" si="4"/>
        <v>295445.66429731925</v>
      </c>
    </row>
    <row r="36" spans="1:10" s="32" customFormat="1">
      <c r="A36" s="61">
        <v>315</v>
      </c>
      <c r="B36" s="40" t="s">
        <v>30</v>
      </c>
      <c r="C36" s="86">
        <v>791868.80706742499</v>
      </c>
      <c r="D36" s="211">
        <v>796793.63563999999</v>
      </c>
      <c r="E36" s="121">
        <f t="shared" si="0"/>
        <v>138</v>
      </c>
      <c r="F36" s="122">
        <f t="shared" si="1"/>
        <v>137.66666666666666</v>
      </c>
      <c r="G36" s="63">
        <f t="shared" si="2"/>
        <v>138</v>
      </c>
      <c r="H36" s="216">
        <f t="shared" si="4"/>
        <v>908292.77961100731</v>
      </c>
    </row>
    <row r="37" spans="1:10" s="32" customFormat="1">
      <c r="A37" s="61">
        <v>317</v>
      </c>
      <c r="B37" s="40" t="s">
        <v>31</v>
      </c>
      <c r="C37" s="86">
        <v>967825.36149471998</v>
      </c>
      <c r="D37" s="211">
        <v>973037.77124000003</v>
      </c>
      <c r="E37" s="121">
        <f t="shared" si="0"/>
        <v>158</v>
      </c>
      <c r="F37" s="122">
        <f t="shared" si="1"/>
        <v>157.33333333333334</v>
      </c>
      <c r="G37" s="63">
        <f t="shared" si="2"/>
        <v>158</v>
      </c>
      <c r="H37" s="216">
        <f t="shared" si="4"/>
        <v>1052006.5726073734</v>
      </c>
    </row>
    <row r="38" spans="1:10" s="32" customFormat="1">
      <c r="A38" s="61">
        <v>330</v>
      </c>
      <c r="B38" s="40" t="s">
        <v>32</v>
      </c>
      <c r="C38" s="86">
        <v>1002883.6202274575</v>
      </c>
      <c r="D38" s="211">
        <v>989054.55514000007</v>
      </c>
      <c r="E38" s="121">
        <f t="shared" si="0"/>
        <v>160</v>
      </c>
      <c r="F38" s="122">
        <f t="shared" si="1"/>
        <v>163.33333333333334</v>
      </c>
      <c r="G38" s="63">
        <f t="shared" si="2"/>
        <v>163</v>
      </c>
      <c r="H38" s="216">
        <f t="shared" si="4"/>
        <v>1090501.6326281962</v>
      </c>
    </row>
    <row r="39" spans="1:10" s="32" customFormat="1">
      <c r="A39" s="61">
        <v>335</v>
      </c>
      <c r="B39" s="40" t="s">
        <v>33</v>
      </c>
      <c r="C39" s="86">
        <v>289766.1083468725</v>
      </c>
      <c r="D39" s="211">
        <v>290470.68222000002</v>
      </c>
      <c r="E39" s="121">
        <f t="shared" si="0"/>
        <v>49</v>
      </c>
      <c r="F39" s="122">
        <f t="shared" si="1"/>
        <v>47.666666666666664</v>
      </c>
      <c r="G39" s="63">
        <f t="shared" si="2"/>
        <v>49</v>
      </c>
      <c r="H39" s="216">
        <f t="shared" si="4"/>
        <v>317754.76851897454</v>
      </c>
      <c r="J39" s="192"/>
    </row>
    <row r="40" spans="1:10" s="32" customFormat="1">
      <c r="A40" s="87">
        <v>999</v>
      </c>
      <c r="B40" s="88" t="s">
        <v>39</v>
      </c>
      <c r="C40" s="162">
        <v>20519884.000000004</v>
      </c>
      <c r="D40" s="162">
        <f>SUM(D3:D39)</f>
        <v>20479883.984159999</v>
      </c>
      <c r="E40" s="123">
        <f>SUM(E3:E39)</f>
        <v>3230</v>
      </c>
      <c r="F40" s="125">
        <f>SUM(F3:F39)</f>
        <v>3236</v>
      </c>
      <c r="G40" s="124">
        <f>SUM(G3:G39)</f>
        <v>3272</v>
      </c>
      <c r="H40" s="217">
        <f>SUM(H3:H39)</f>
        <v>22112999.999999996</v>
      </c>
      <c r="I40" s="76"/>
      <c r="J40" s="76"/>
    </row>
    <row r="41" spans="1:10" s="32" customFormat="1">
      <c r="A41" s="80">
        <v>281</v>
      </c>
      <c r="B41" s="81" t="s">
        <v>25</v>
      </c>
      <c r="C41" s="86">
        <v>47698</v>
      </c>
      <c r="D41" s="86">
        <v>47698</v>
      </c>
      <c r="E41" s="83"/>
      <c r="F41" s="84"/>
      <c r="G41" s="84"/>
      <c r="H41" s="218">
        <v>52000</v>
      </c>
    </row>
    <row r="42" spans="1:10" s="32" customFormat="1">
      <c r="A42" s="61" t="s">
        <v>93</v>
      </c>
      <c r="B42" s="40" t="s">
        <v>91</v>
      </c>
      <c r="C42" s="86">
        <v>1615000</v>
      </c>
      <c r="D42" s="42">
        <v>1615000</v>
      </c>
      <c r="E42" s="61"/>
      <c r="F42" s="42"/>
      <c r="G42" s="42"/>
      <c r="H42" s="216">
        <f>'FY20 Budget Assumptions'!B7-52000</f>
        <v>1870000</v>
      </c>
    </row>
    <row r="43" spans="1:10" s="32" customFormat="1">
      <c r="A43" s="61" t="s">
        <v>93</v>
      </c>
      <c r="B43" s="40" t="s">
        <v>234</v>
      </c>
      <c r="C43" s="86">
        <v>0</v>
      </c>
      <c r="D43" s="86">
        <v>0</v>
      </c>
      <c r="E43" s="61"/>
      <c r="F43" s="42"/>
      <c r="G43" s="42"/>
      <c r="H43" s="216">
        <f>'FY20 Budget Assumptions'!B8</f>
        <v>190000</v>
      </c>
    </row>
    <row r="44" spans="1:10" ht="15.75" thickBot="1">
      <c r="A44" s="45"/>
      <c r="B44" s="46"/>
      <c r="C44" s="163">
        <f>SUM(C40:C43)</f>
        <v>22182582.000000004</v>
      </c>
      <c r="D44" s="163">
        <f>SUM(D40:D43)</f>
        <v>22142581.984159999</v>
      </c>
      <c r="E44" s="60"/>
      <c r="F44" s="56"/>
      <c r="G44" s="56"/>
      <c r="H44" s="219">
        <f>SUM(H40:H43)</f>
        <v>24224999.999999996</v>
      </c>
      <c r="I44" s="75"/>
    </row>
    <row r="45" spans="1:10" s="99" customFormat="1" ht="18" customHeight="1">
      <c r="A45" s="95" t="s">
        <v>254</v>
      </c>
      <c r="B45" s="95"/>
      <c r="C45" s="100"/>
      <c r="D45" s="212"/>
      <c r="E45" s="96"/>
      <c r="F45" s="97"/>
      <c r="G45" s="97"/>
      <c r="H45" s="94">
        <f>SUM(H40:H43)</f>
        <v>24224999.999999996</v>
      </c>
    </row>
    <row r="46" spans="1:10">
      <c r="A46" s="36" t="s">
        <v>212</v>
      </c>
      <c r="H46" s="128"/>
    </row>
  </sheetData>
  <autoFilter ref="A2:H40" xr:uid="{00000000-0009-0000-0000-000000000000}">
    <sortState xmlns:xlrd2="http://schemas.microsoft.com/office/spreadsheetml/2017/richdata2" ref="A10:K48">
      <sortCondition ref="B9:B48"/>
    </sortState>
  </autoFilter>
  <pageMargins left="0.45" right="0.17" top="0.61" bottom="1" header="0.35" footer="0.5"/>
  <pageSetup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
  <sheetViews>
    <sheetView workbookViewId="0"/>
  </sheetViews>
  <sheetFormatPr defaultRowHeight="15.75"/>
  <cols>
    <col min="1" max="1" width="76.25" customWidth="1"/>
    <col min="2" max="2" width="12.375" bestFit="1" customWidth="1"/>
    <col min="3" max="3" width="6.75" style="35" customWidth="1"/>
    <col min="4" max="4" width="4.75" hidden="1" customWidth="1"/>
    <col min="5" max="5" width="10" hidden="1" customWidth="1"/>
    <col min="6" max="6" width="9.125" hidden="1" customWidth="1"/>
    <col min="7" max="7" width="9.875" hidden="1" customWidth="1"/>
  </cols>
  <sheetData>
    <row r="1" spans="1:7">
      <c r="A1" s="73" t="s">
        <v>138</v>
      </c>
    </row>
    <row r="2" spans="1:7" ht="168" customHeight="1">
      <c r="A2" s="220" t="s">
        <v>218</v>
      </c>
      <c r="B2" s="220"/>
      <c r="C2" s="129"/>
      <c r="D2" s="72"/>
      <c r="E2" s="72"/>
      <c r="F2" s="72"/>
      <c r="G2" s="72"/>
    </row>
    <row r="3" spans="1:7">
      <c r="E3" t="s">
        <v>40</v>
      </c>
      <c r="F3" t="s">
        <v>232</v>
      </c>
      <c r="G3" t="s">
        <v>233</v>
      </c>
    </row>
    <row r="4" spans="1:7">
      <c r="A4" s="74" t="s">
        <v>217</v>
      </c>
      <c r="B4" s="77">
        <v>24225000</v>
      </c>
      <c r="C4" s="77"/>
      <c r="D4" t="s">
        <v>221</v>
      </c>
      <c r="E4" s="156">
        <v>24225000</v>
      </c>
      <c r="F4" s="156">
        <v>45000</v>
      </c>
      <c r="G4" s="156">
        <f>E4-F4</f>
        <v>24180000</v>
      </c>
    </row>
    <row r="5" spans="1:7" s="35" customFormat="1">
      <c r="A5" s="36" t="s">
        <v>220</v>
      </c>
      <c r="B5" s="126">
        <v>45000</v>
      </c>
      <c r="C5" s="126"/>
      <c r="D5" s="35" t="s">
        <v>219</v>
      </c>
      <c r="E5" s="156">
        <v>22182582</v>
      </c>
      <c r="F5" s="156">
        <v>40000</v>
      </c>
      <c r="G5" s="156">
        <f>E5-F5</f>
        <v>22142582</v>
      </c>
    </row>
    <row r="6" spans="1:7" s="35" customFormat="1" ht="30.75" customHeight="1">
      <c r="A6" s="3" t="s">
        <v>265</v>
      </c>
      <c r="B6" s="126">
        <f>'Per Pupil Hold Harmless Calc'!P42</f>
        <v>22067999.999999996</v>
      </c>
      <c r="C6" s="126"/>
      <c r="E6" s="156"/>
      <c r="F6" s="156"/>
      <c r="G6" s="157">
        <f>(G4-G5)/G5</f>
        <v>9.201356914925278E-2</v>
      </c>
    </row>
    <row r="7" spans="1:7" s="35" customFormat="1">
      <c r="A7" s="36" t="s">
        <v>214</v>
      </c>
      <c r="B7" s="71">
        <f>1750000+52000+120000</f>
        <v>1922000</v>
      </c>
      <c r="C7" s="71"/>
    </row>
    <row r="8" spans="1:7">
      <c r="A8" s="40" t="s">
        <v>234</v>
      </c>
      <c r="B8" s="71">
        <v>190000</v>
      </c>
      <c r="C8" s="71"/>
    </row>
    <row r="9" spans="1:7">
      <c r="A9" s="78" t="s">
        <v>215</v>
      </c>
      <c r="B9" s="79">
        <f>SUM(B5:B8)</f>
        <v>24224999.999999996</v>
      </c>
      <c r="C9" s="79"/>
    </row>
    <row r="10" spans="1:7" s="35" customFormat="1"/>
    <row r="11" spans="1:7" ht="69" customHeight="1">
      <c r="A11" s="221" t="s">
        <v>236</v>
      </c>
      <c r="B11" s="221"/>
      <c r="C11" s="130"/>
    </row>
    <row r="12" spans="1:7">
      <c r="A12" s="127" t="s">
        <v>235</v>
      </c>
      <c r="B12" s="101">
        <f>B6/3272</f>
        <v>6744.4987775061118</v>
      </c>
      <c r="C12" s="101"/>
    </row>
  </sheetData>
  <mergeCells count="2">
    <mergeCell ref="A2:B2"/>
    <mergeCell ref="A11:B11"/>
  </mergeCells>
  <hyperlinks>
    <hyperlink ref="A1" r:id="rId1" xr:uid="{00000000-0004-0000-0100-000000000000}"/>
  </hyperlinks>
  <pageMargins left="0.7" right="0.7" top="0.75" bottom="0.75" header="0.3" footer="0.3"/>
  <pageSetup scale="75"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zoomScale="80" zoomScaleNormal="80" workbookViewId="0">
      <pane xSplit="2" ySplit="3" topLeftCell="C4" activePane="bottomRight" state="frozen"/>
      <selection pane="topRight" activeCell="B1" sqref="B1"/>
      <selection pane="bottomLeft" activeCell="A2" sqref="A2"/>
      <selection pane="bottomRight" activeCell="C4" sqref="C4"/>
    </sheetView>
  </sheetViews>
  <sheetFormatPr defaultColWidth="11" defaultRowHeight="18.75"/>
  <cols>
    <col min="1" max="1" width="6" style="36" customWidth="1"/>
    <col min="2" max="2" width="28.125" style="131" customWidth="1"/>
    <col min="3" max="3" width="13.375" style="134" customWidth="1"/>
    <col min="4" max="4" width="13.125" style="134" customWidth="1"/>
    <col min="5" max="7" width="14.25" style="134" customWidth="1"/>
    <col min="8" max="8" width="10.5" style="134" bestFit="1" customWidth="1"/>
    <col min="9" max="9" width="14.375" style="134" bestFit="1" customWidth="1"/>
    <col min="10" max="11" width="12.75" style="134" customWidth="1"/>
    <col min="12" max="12" width="20.75" style="134" bestFit="1" customWidth="1"/>
    <col min="13" max="14" width="12.75" style="134" customWidth="1"/>
    <col min="15" max="15" width="16.75" style="134" customWidth="1"/>
    <col min="16" max="16" width="16.625" style="191" customWidth="1"/>
    <col min="17" max="17" width="11.25" style="204" customWidth="1"/>
    <col min="18" max="18" width="11.25" style="196" customWidth="1"/>
    <col min="19" max="16384" width="11" style="131"/>
  </cols>
  <sheetData>
    <row r="1" spans="1:18" ht="36.75" customHeight="1">
      <c r="A1" s="48"/>
      <c r="B1" s="222" t="s">
        <v>262</v>
      </c>
      <c r="C1" s="222"/>
      <c r="D1" s="222"/>
      <c r="E1" s="222"/>
      <c r="F1" s="222"/>
      <c r="G1" s="222"/>
      <c r="H1" s="222"/>
      <c r="I1" s="222"/>
      <c r="J1" s="222"/>
      <c r="K1" s="222"/>
      <c r="L1" s="222"/>
      <c r="M1" s="222"/>
      <c r="N1" s="222"/>
      <c r="O1" s="222"/>
      <c r="P1" s="222"/>
      <c r="Q1" s="195"/>
    </row>
    <row r="2" spans="1:18" s="208" customFormat="1" ht="21.75" customHeight="1">
      <c r="A2" s="205">
        <v>1</v>
      </c>
      <c r="B2" s="206">
        <v>2</v>
      </c>
      <c r="C2" s="206">
        <v>3</v>
      </c>
      <c r="D2" s="206">
        <v>4</v>
      </c>
      <c r="E2" s="206">
        <v>5</v>
      </c>
      <c r="F2" s="206">
        <v>6</v>
      </c>
      <c r="G2" s="206">
        <v>7</v>
      </c>
      <c r="H2" s="206">
        <v>8</v>
      </c>
      <c r="I2" s="206">
        <v>9</v>
      </c>
      <c r="J2" s="206">
        <v>10</v>
      </c>
      <c r="K2" s="206">
        <v>11</v>
      </c>
      <c r="L2" s="206">
        <v>12</v>
      </c>
      <c r="M2" s="206">
        <v>13</v>
      </c>
      <c r="N2" s="206">
        <v>14</v>
      </c>
      <c r="O2" s="206">
        <v>15</v>
      </c>
      <c r="P2" s="209">
        <v>16</v>
      </c>
      <c r="Q2" s="206">
        <v>17</v>
      </c>
      <c r="R2" s="207">
        <v>18</v>
      </c>
    </row>
    <row r="3" spans="1:18" ht="75">
      <c r="A3" s="108" t="s">
        <v>38</v>
      </c>
      <c r="B3" s="132" t="s">
        <v>0</v>
      </c>
      <c r="C3" s="133" t="s">
        <v>133</v>
      </c>
      <c r="D3" s="133" t="s">
        <v>222</v>
      </c>
      <c r="E3" s="133" t="s">
        <v>247</v>
      </c>
      <c r="F3" s="133" t="s">
        <v>257</v>
      </c>
      <c r="G3" s="133" t="s">
        <v>258</v>
      </c>
      <c r="H3" s="108" t="s">
        <v>253</v>
      </c>
      <c r="I3" s="133" t="s">
        <v>252</v>
      </c>
      <c r="J3" s="133" t="s">
        <v>259</v>
      </c>
      <c r="K3" s="133" t="s">
        <v>224</v>
      </c>
      <c r="L3" s="133" t="s">
        <v>260</v>
      </c>
      <c r="M3" s="133" t="s">
        <v>225</v>
      </c>
      <c r="N3" s="133" t="s">
        <v>226</v>
      </c>
      <c r="O3" s="133" t="s">
        <v>227</v>
      </c>
      <c r="P3" s="186" t="s">
        <v>261</v>
      </c>
      <c r="Q3" s="194" t="s">
        <v>263</v>
      </c>
      <c r="R3" s="194" t="s">
        <v>264</v>
      </c>
    </row>
    <row r="4" spans="1:18">
      <c r="A4" s="61">
        <v>10</v>
      </c>
      <c r="B4" s="135" t="s">
        <v>1</v>
      </c>
      <c r="C4" s="136">
        <f>133844</f>
        <v>133844</v>
      </c>
      <c r="D4" s="137">
        <f>C4/H4</f>
        <v>1753.4148471615722</v>
      </c>
      <c r="E4" s="137">
        <f>489063.106823721-20000</f>
        <v>469063.10682372103</v>
      </c>
      <c r="F4" s="137">
        <v>479006.22884</v>
      </c>
      <c r="G4" s="137">
        <f>MAX(E4:F4)</f>
        <v>479006.22884</v>
      </c>
      <c r="H4" s="138">
        <f t="shared" ref="H4:H40" si="0">VLOOKUP(A4,DATA, 6, FALSE)</f>
        <v>76.333333333333329</v>
      </c>
      <c r="I4" s="139">
        <f>$C$44*H4</f>
        <v>520557.47836835595</v>
      </c>
      <c r="J4" s="182">
        <f>I4-G4</f>
        <v>41551.249528355955</v>
      </c>
      <c r="K4" s="185">
        <f t="shared" ref="K4:K40" si="1">$K$43*H4</f>
        <v>3053.333333333333</v>
      </c>
      <c r="L4" s="182">
        <f t="shared" ref="L4:L40" si="2">IF(K4&gt;J4,K4,J4)</f>
        <v>41551.249528355955</v>
      </c>
      <c r="M4" s="182">
        <f>L4-K4</f>
        <v>38497.916195022619</v>
      </c>
      <c r="N4" s="182">
        <f>(M4/$M$42)*$N$43</f>
        <v>29888.944421422286</v>
      </c>
      <c r="O4" s="182">
        <f>K4+N4</f>
        <v>32942.277754755618</v>
      </c>
      <c r="P4" s="187">
        <f>SUM(O4+G4)</f>
        <v>511948.50659475563</v>
      </c>
      <c r="Q4" s="197">
        <f>P4-E4</f>
        <v>42885.399771034601</v>
      </c>
      <c r="R4" s="198">
        <f t="shared" ref="R4:R40" si="3">P4-F4</f>
        <v>32942.277754755632</v>
      </c>
    </row>
    <row r="5" spans="1:18">
      <c r="A5" s="61">
        <v>23</v>
      </c>
      <c r="B5" s="142" t="s">
        <v>2</v>
      </c>
      <c r="C5" s="143">
        <f>221778</f>
        <v>221778</v>
      </c>
      <c r="D5" s="144">
        <f t="shared" ref="D5:D42" si="4">C5/H5</f>
        <v>2247.75</v>
      </c>
      <c r="E5" s="144">
        <v>654034.21669374499</v>
      </c>
      <c r="F5" s="137">
        <v>664293.67800000007</v>
      </c>
      <c r="G5" s="137">
        <f t="shared" ref="G5:G40" si="5">MAX(E5:F5)</f>
        <v>664293.67800000007</v>
      </c>
      <c r="H5" s="138">
        <f t="shared" si="0"/>
        <v>98.666666666666671</v>
      </c>
      <c r="I5" s="139">
        <f t="shared" ref="I5:I40" si="6">$C$44*H5</f>
        <v>672860.32138442528</v>
      </c>
      <c r="J5" s="182">
        <f t="shared" ref="J5:J40" si="7">I5-G5</f>
        <v>8566.6433844252024</v>
      </c>
      <c r="K5" s="183">
        <f t="shared" si="1"/>
        <v>3946.666666666667</v>
      </c>
      <c r="L5" s="184">
        <f t="shared" si="2"/>
        <v>8566.6433844252024</v>
      </c>
      <c r="M5" s="184">
        <f t="shared" ref="M5:M40" si="8">L5-K5</f>
        <v>4619.9767177585354</v>
      </c>
      <c r="N5" s="184">
        <f t="shared" ref="N5:N39" si="9">(M5/$M$42)*$N$43</f>
        <v>3586.8493932459369</v>
      </c>
      <c r="O5" s="184">
        <f t="shared" ref="O5:O40" si="10">K5+N5</f>
        <v>7533.5160599126039</v>
      </c>
      <c r="P5" s="187">
        <f t="shared" ref="P5:P40" si="11">SUM(O5+G5)</f>
        <v>671827.1940599127</v>
      </c>
      <c r="Q5" s="197">
        <f t="shared" ref="Q5:Q40" si="12">P5-E5</f>
        <v>17792.977366167703</v>
      </c>
      <c r="R5" s="198">
        <f t="shared" si="3"/>
        <v>7533.5160599126248</v>
      </c>
    </row>
    <row r="6" spans="1:18">
      <c r="A6" s="61">
        <v>26</v>
      </c>
      <c r="B6" s="142" t="s">
        <v>3</v>
      </c>
      <c r="C6" s="143">
        <v>128660</v>
      </c>
      <c r="D6" s="144">
        <f t="shared" si="4"/>
        <v>1249.1262135922329</v>
      </c>
      <c r="E6" s="144">
        <v>582970.10530056874</v>
      </c>
      <c r="F6" s="137">
        <v>584451.14834000007</v>
      </c>
      <c r="G6" s="137">
        <f t="shared" si="5"/>
        <v>584451.14834000007</v>
      </c>
      <c r="H6" s="138">
        <f t="shared" si="0"/>
        <v>103</v>
      </c>
      <c r="I6" s="139">
        <f t="shared" si="6"/>
        <v>702411.61928306555</v>
      </c>
      <c r="J6" s="182">
        <f t="shared" si="7"/>
        <v>117960.47094306548</v>
      </c>
      <c r="K6" s="183">
        <f t="shared" si="1"/>
        <v>4120</v>
      </c>
      <c r="L6" s="184">
        <f t="shared" si="2"/>
        <v>117960.47094306548</v>
      </c>
      <c r="M6" s="184">
        <f t="shared" si="8"/>
        <v>113840.47094306548</v>
      </c>
      <c r="N6" s="184">
        <f t="shared" si="9"/>
        <v>88383.264478240497</v>
      </c>
      <c r="O6" s="184">
        <f t="shared" si="10"/>
        <v>92503.264478240497</v>
      </c>
      <c r="P6" s="187">
        <f t="shared" si="11"/>
        <v>676954.41281824058</v>
      </c>
      <c r="Q6" s="197">
        <f t="shared" si="12"/>
        <v>93984.307517671841</v>
      </c>
      <c r="R6" s="198">
        <f t="shared" si="3"/>
        <v>92503.264478240511</v>
      </c>
    </row>
    <row r="7" spans="1:18">
      <c r="A7" s="61">
        <v>40</v>
      </c>
      <c r="B7" s="142" t="s">
        <v>4</v>
      </c>
      <c r="C7" s="143">
        <v>114295</v>
      </c>
      <c r="D7" s="144">
        <f t="shared" si="4"/>
        <v>5042.4264705882351</v>
      </c>
      <c r="E7" s="144">
        <v>220153.66531275387</v>
      </c>
      <c r="F7" s="137">
        <v>229349.07628000001</v>
      </c>
      <c r="G7" s="137">
        <f t="shared" si="5"/>
        <v>229349.07628000001</v>
      </c>
      <c r="H7" s="138">
        <f t="shared" si="0"/>
        <v>22.666666666666668</v>
      </c>
      <c r="I7" s="139">
        <f t="shared" si="6"/>
        <v>154576.0197775031</v>
      </c>
      <c r="J7" s="182">
        <f t="shared" si="7"/>
        <v>-74773.056502496911</v>
      </c>
      <c r="K7" s="183">
        <f t="shared" si="1"/>
        <v>906.66666666666674</v>
      </c>
      <c r="L7" s="184">
        <f t="shared" si="2"/>
        <v>906.66666666666674</v>
      </c>
      <c r="M7" s="184">
        <f t="shared" si="8"/>
        <v>0</v>
      </c>
      <c r="N7" s="184">
        <f t="shared" si="9"/>
        <v>0</v>
      </c>
      <c r="O7" s="184">
        <f t="shared" si="10"/>
        <v>906.66666666666674</v>
      </c>
      <c r="P7" s="187">
        <f t="shared" si="11"/>
        <v>230255.74294666667</v>
      </c>
      <c r="Q7" s="197">
        <f t="shared" si="12"/>
        <v>10102.077633912791</v>
      </c>
      <c r="R7" s="198">
        <f t="shared" si="3"/>
        <v>906.66666666665697</v>
      </c>
    </row>
    <row r="8" spans="1:18">
      <c r="A8" s="61">
        <v>46</v>
      </c>
      <c r="B8" s="142" t="s">
        <v>5</v>
      </c>
      <c r="C8" s="143">
        <v>315884</v>
      </c>
      <c r="D8" s="144">
        <f t="shared" si="4"/>
        <v>1067.1756756756756</v>
      </c>
      <c r="E8" s="144">
        <v>1605301.3538789605</v>
      </c>
      <c r="F8" s="137">
        <v>1661131.6611200001</v>
      </c>
      <c r="G8" s="137">
        <f t="shared" si="5"/>
        <v>1661131.6611200001</v>
      </c>
      <c r="H8" s="138">
        <f t="shared" si="0"/>
        <v>296</v>
      </c>
      <c r="I8" s="139">
        <f t="shared" si="6"/>
        <v>2018580.9641532756</v>
      </c>
      <c r="J8" s="182">
        <f t="shared" si="7"/>
        <v>357449.30303327553</v>
      </c>
      <c r="K8" s="183">
        <f t="shared" si="1"/>
        <v>11840</v>
      </c>
      <c r="L8" s="184">
        <f t="shared" si="2"/>
        <v>357449.30303327553</v>
      </c>
      <c r="M8" s="184">
        <f t="shared" si="8"/>
        <v>345609.30303327553</v>
      </c>
      <c r="N8" s="184">
        <f t="shared" si="9"/>
        <v>268323.54243691801</v>
      </c>
      <c r="O8" s="184">
        <f t="shared" si="10"/>
        <v>280163.54243691801</v>
      </c>
      <c r="P8" s="187">
        <f t="shared" si="11"/>
        <v>1941295.2035569181</v>
      </c>
      <c r="Q8" s="197">
        <f t="shared" si="12"/>
        <v>335993.84967795759</v>
      </c>
      <c r="R8" s="198">
        <f t="shared" si="3"/>
        <v>280163.54243691801</v>
      </c>
    </row>
    <row r="9" spans="1:18">
      <c r="A9" s="61">
        <v>65</v>
      </c>
      <c r="B9" s="142" t="s">
        <v>6</v>
      </c>
      <c r="C9" s="143">
        <v>100080</v>
      </c>
      <c r="D9" s="144">
        <f t="shared" si="4"/>
        <v>2191.5328467153286</v>
      </c>
      <c r="E9" s="144">
        <v>307386.55290414306</v>
      </c>
      <c r="F9" s="137">
        <v>303637.21188000002</v>
      </c>
      <c r="G9" s="137">
        <f t="shared" si="5"/>
        <v>307386.55290414306</v>
      </c>
      <c r="H9" s="138">
        <f t="shared" si="0"/>
        <v>45.666666666666664</v>
      </c>
      <c r="I9" s="139">
        <f t="shared" si="6"/>
        <v>311425.21631644003</v>
      </c>
      <c r="J9" s="182">
        <f t="shared" si="7"/>
        <v>4038.6634122969699</v>
      </c>
      <c r="K9" s="183">
        <f t="shared" si="1"/>
        <v>1826.6666666666665</v>
      </c>
      <c r="L9" s="184">
        <f t="shared" si="2"/>
        <v>4038.6634122969699</v>
      </c>
      <c r="M9" s="184">
        <f t="shared" si="8"/>
        <v>2211.9967456303034</v>
      </c>
      <c r="N9" s="184">
        <f t="shared" si="9"/>
        <v>1717.3461403882163</v>
      </c>
      <c r="O9" s="184">
        <f t="shared" si="10"/>
        <v>3544.0128070548826</v>
      </c>
      <c r="P9" s="187">
        <f t="shared" si="11"/>
        <v>310930.56571119797</v>
      </c>
      <c r="Q9" s="197">
        <f t="shared" si="12"/>
        <v>3544.0128070549108</v>
      </c>
      <c r="R9" s="198">
        <f t="shared" si="3"/>
        <v>7293.3538311979501</v>
      </c>
    </row>
    <row r="10" spans="1:18">
      <c r="A10" s="61">
        <v>67</v>
      </c>
      <c r="B10" s="142" t="s">
        <v>7</v>
      </c>
      <c r="C10" s="143">
        <v>138599</v>
      </c>
      <c r="D10" s="144">
        <f t="shared" si="4"/>
        <v>1690.2317073170732</v>
      </c>
      <c r="E10" s="144">
        <v>512044.84707554843</v>
      </c>
      <c r="F10" s="137">
        <v>501461.85596000002</v>
      </c>
      <c r="G10" s="137">
        <f t="shared" si="5"/>
        <v>512044.84707554843</v>
      </c>
      <c r="H10" s="138">
        <f t="shared" si="0"/>
        <v>82</v>
      </c>
      <c r="I10" s="139">
        <f t="shared" si="6"/>
        <v>559201.48331273173</v>
      </c>
      <c r="J10" s="182">
        <f t="shared" si="7"/>
        <v>47156.636237183295</v>
      </c>
      <c r="K10" s="183">
        <f t="shared" si="1"/>
        <v>3280</v>
      </c>
      <c r="L10" s="184">
        <f t="shared" si="2"/>
        <v>47156.636237183295</v>
      </c>
      <c r="M10" s="184">
        <f t="shared" si="8"/>
        <v>43876.636237183295</v>
      </c>
      <c r="N10" s="184">
        <f t="shared" si="9"/>
        <v>34064.86562152391</v>
      </c>
      <c r="O10" s="184">
        <f t="shared" si="10"/>
        <v>37344.86562152391</v>
      </c>
      <c r="P10" s="187">
        <f t="shared" si="11"/>
        <v>549389.7126970723</v>
      </c>
      <c r="Q10" s="197">
        <f t="shared" si="12"/>
        <v>37344.865621523873</v>
      </c>
      <c r="R10" s="198">
        <f t="shared" si="3"/>
        <v>47927.856737072289</v>
      </c>
    </row>
    <row r="11" spans="1:18">
      <c r="A11" s="61">
        <v>640</v>
      </c>
      <c r="B11" s="142" t="s">
        <v>34</v>
      </c>
      <c r="C11" s="143">
        <v>148901</v>
      </c>
      <c r="D11" s="144">
        <f t="shared" si="4"/>
        <v>2863.4807692307691</v>
      </c>
      <c r="E11" s="144">
        <v>387082.99695369625</v>
      </c>
      <c r="F11" s="137">
        <v>383434.30934000004</v>
      </c>
      <c r="G11" s="137">
        <f t="shared" si="5"/>
        <v>387082.99695369625</v>
      </c>
      <c r="H11" s="138">
        <f t="shared" si="0"/>
        <v>52</v>
      </c>
      <c r="I11" s="139">
        <f t="shared" si="6"/>
        <v>354615.57478368358</v>
      </c>
      <c r="J11" s="182">
        <f t="shared" si="7"/>
        <v>-32467.422170012665</v>
      </c>
      <c r="K11" s="183">
        <f t="shared" si="1"/>
        <v>2080</v>
      </c>
      <c r="L11" s="184">
        <f t="shared" si="2"/>
        <v>2080</v>
      </c>
      <c r="M11" s="184">
        <f t="shared" si="8"/>
        <v>0</v>
      </c>
      <c r="N11" s="184">
        <f t="shared" si="9"/>
        <v>0</v>
      </c>
      <c r="O11" s="184">
        <f t="shared" si="10"/>
        <v>2080</v>
      </c>
      <c r="P11" s="187">
        <f t="shared" si="11"/>
        <v>389162.99695369625</v>
      </c>
      <c r="Q11" s="197">
        <f t="shared" si="12"/>
        <v>2080</v>
      </c>
      <c r="R11" s="198">
        <f t="shared" si="3"/>
        <v>5728.6876136962092</v>
      </c>
    </row>
    <row r="12" spans="1:18">
      <c r="A12" s="61">
        <v>78</v>
      </c>
      <c r="B12" s="142" t="s">
        <v>8</v>
      </c>
      <c r="C12" s="143">
        <v>0</v>
      </c>
      <c r="D12" s="144">
        <f t="shared" si="4"/>
        <v>0</v>
      </c>
      <c r="E12" s="144">
        <v>35286.22177091796</v>
      </c>
      <c r="F12" s="137">
        <v>35401.254240000002</v>
      </c>
      <c r="G12" s="137">
        <f t="shared" si="5"/>
        <v>35401.254240000002</v>
      </c>
      <c r="H12" s="138">
        <f t="shared" si="0"/>
        <v>7.666666666666667</v>
      </c>
      <c r="I12" s="139">
        <f t="shared" si="6"/>
        <v>52283.065512978988</v>
      </c>
      <c r="J12" s="182">
        <f t="shared" si="7"/>
        <v>16881.811272978986</v>
      </c>
      <c r="K12" s="183">
        <f t="shared" si="1"/>
        <v>306.66666666666669</v>
      </c>
      <c r="L12" s="184">
        <f t="shared" si="2"/>
        <v>16881.811272978986</v>
      </c>
      <c r="M12" s="184">
        <f t="shared" si="8"/>
        <v>16575.144606312319</v>
      </c>
      <c r="N12" s="184">
        <f t="shared" si="9"/>
        <v>12868.581598168632</v>
      </c>
      <c r="O12" s="184">
        <f t="shared" si="10"/>
        <v>13175.248264835298</v>
      </c>
      <c r="P12" s="187">
        <f t="shared" si="11"/>
        <v>48576.502504835298</v>
      </c>
      <c r="Q12" s="197">
        <f t="shared" si="12"/>
        <v>13290.280733917338</v>
      </c>
      <c r="R12" s="198">
        <f t="shared" si="3"/>
        <v>13175.248264835296</v>
      </c>
    </row>
    <row r="13" spans="1:18">
      <c r="A13" s="61">
        <v>655</v>
      </c>
      <c r="B13" s="142" t="s">
        <v>35</v>
      </c>
      <c r="C13" s="143">
        <v>58478</v>
      </c>
      <c r="D13" s="144">
        <f t="shared" si="4"/>
        <v>2403.205479452055</v>
      </c>
      <c r="E13" s="144">
        <v>159925.88759138912</v>
      </c>
      <c r="F13" s="137">
        <v>173532.07628000001</v>
      </c>
      <c r="G13" s="137">
        <f t="shared" si="5"/>
        <v>173532.07628000001</v>
      </c>
      <c r="H13" s="138">
        <f t="shared" si="0"/>
        <v>24.333333333333332</v>
      </c>
      <c r="I13" s="139">
        <f t="shared" si="6"/>
        <v>165941.90358467243</v>
      </c>
      <c r="J13" s="182">
        <f t="shared" si="7"/>
        <v>-7590.1726953275793</v>
      </c>
      <c r="K13" s="183">
        <f t="shared" si="1"/>
        <v>973.33333333333326</v>
      </c>
      <c r="L13" s="184">
        <f t="shared" si="2"/>
        <v>973.33333333333326</v>
      </c>
      <c r="M13" s="184">
        <f t="shared" si="8"/>
        <v>0</v>
      </c>
      <c r="N13" s="184">
        <f t="shared" si="9"/>
        <v>0</v>
      </c>
      <c r="O13" s="184">
        <f t="shared" si="10"/>
        <v>973.33333333333326</v>
      </c>
      <c r="P13" s="187">
        <f t="shared" si="11"/>
        <v>174505.40961333335</v>
      </c>
      <c r="Q13" s="197">
        <f t="shared" si="12"/>
        <v>14579.522021944227</v>
      </c>
      <c r="R13" s="198">
        <f t="shared" si="3"/>
        <v>973.33333333334303</v>
      </c>
    </row>
    <row r="14" spans="1:18">
      <c r="A14" s="61">
        <v>87</v>
      </c>
      <c r="B14" s="142" t="s">
        <v>9</v>
      </c>
      <c r="C14" s="143">
        <v>81342</v>
      </c>
      <c r="D14" s="144">
        <f t="shared" si="4"/>
        <v>1952.2080000000001</v>
      </c>
      <c r="E14" s="144">
        <v>266594.66429731925</v>
      </c>
      <c r="F14" s="137">
        <v>280474.0551</v>
      </c>
      <c r="G14" s="137">
        <f t="shared" si="5"/>
        <v>280474.0551</v>
      </c>
      <c r="H14" s="138">
        <f t="shared" si="0"/>
        <v>41.666666666666664</v>
      </c>
      <c r="I14" s="139">
        <f t="shared" si="6"/>
        <v>284147.09517923358</v>
      </c>
      <c r="J14" s="182">
        <f t="shared" si="7"/>
        <v>3673.0400792335859</v>
      </c>
      <c r="K14" s="183">
        <f t="shared" si="1"/>
        <v>1666.6666666666665</v>
      </c>
      <c r="L14" s="184">
        <f t="shared" si="2"/>
        <v>3673.0400792335859</v>
      </c>
      <c r="M14" s="184">
        <f t="shared" si="8"/>
        <v>2006.3734125669193</v>
      </c>
      <c r="N14" s="184">
        <f t="shared" si="9"/>
        <v>1557.7046589494448</v>
      </c>
      <c r="O14" s="184">
        <f t="shared" si="10"/>
        <v>3224.3713256161113</v>
      </c>
      <c r="P14" s="187">
        <f t="shared" si="11"/>
        <v>283698.42642561608</v>
      </c>
      <c r="Q14" s="197">
        <f t="shared" si="12"/>
        <v>17103.762128296832</v>
      </c>
      <c r="R14" s="198">
        <f t="shared" si="3"/>
        <v>3224.3713256160845</v>
      </c>
    </row>
    <row r="15" spans="1:18">
      <c r="A15" s="61">
        <v>99</v>
      </c>
      <c r="B15" s="142" t="s">
        <v>10</v>
      </c>
      <c r="C15" s="143">
        <v>84575</v>
      </c>
      <c r="D15" s="144">
        <f t="shared" si="4"/>
        <v>2371.2616822429909</v>
      </c>
      <c r="E15" s="144">
        <v>247773.77569049556</v>
      </c>
      <c r="F15" s="137">
        <v>243880.64408</v>
      </c>
      <c r="G15" s="137">
        <f t="shared" si="5"/>
        <v>247773.77569049556</v>
      </c>
      <c r="H15" s="138">
        <f t="shared" si="0"/>
        <v>35.666666666666664</v>
      </c>
      <c r="I15" s="139">
        <f t="shared" si="6"/>
        <v>243229.91347342398</v>
      </c>
      <c r="J15" s="182">
        <f t="shared" si="7"/>
        <v>-4543.8622170715826</v>
      </c>
      <c r="K15" s="183">
        <f t="shared" si="1"/>
        <v>1426.6666666666665</v>
      </c>
      <c r="L15" s="184">
        <f t="shared" si="2"/>
        <v>1426.6666666666665</v>
      </c>
      <c r="M15" s="184">
        <f t="shared" si="8"/>
        <v>0</v>
      </c>
      <c r="N15" s="184">
        <f t="shared" si="9"/>
        <v>0</v>
      </c>
      <c r="O15" s="184">
        <f t="shared" si="10"/>
        <v>1426.6666666666665</v>
      </c>
      <c r="P15" s="187">
        <f t="shared" si="11"/>
        <v>249200.44235716222</v>
      </c>
      <c r="Q15" s="197">
        <f t="shared" si="12"/>
        <v>1426.666666666657</v>
      </c>
      <c r="R15" s="198">
        <f t="shared" si="3"/>
        <v>5319.7982771622192</v>
      </c>
    </row>
    <row r="16" spans="1:18">
      <c r="A16" s="61">
        <v>680</v>
      </c>
      <c r="B16" s="142" t="s">
        <v>36</v>
      </c>
      <c r="C16" s="143">
        <v>47776</v>
      </c>
      <c r="D16" s="144">
        <f t="shared" si="4"/>
        <v>3257.4545454545455</v>
      </c>
      <c r="E16" s="144">
        <v>128640.25822502034</v>
      </c>
      <c r="F16" s="137">
        <v>114153.3517</v>
      </c>
      <c r="G16" s="137">
        <f t="shared" si="5"/>
        <v>128640.25822502034</v>
      </c>
      <c r="H16" s="138">
        <f t="shared" si="0"/>
        <v>14.666666666666666</v>
      </c>
      <c r="I16" s="139">
        <f t="shared" si="6"/>
        <v>100019.77750309023</v>
      </c>
      <c r="J16" s="182">
        <f t="shared" si="7"/>
        <v>-28620.480721930115</v>
      </c>
      <c r="K16" s="183">
        <f t="shared" si="1"/>
        <v>586.66666666666663</v>
      </c>
      <c r="L16" s="184">
        <f t="shared" si="2"/>
        <v>586.66666666666663</v>
      </c>
      <c r="M16" s="184">
        <f t="shared" si="8"/>
        <v>0</v>
      </c>
      <c r="N16" s="184">
        <f t="shared" si="9"/>
        <v>0</v>
      </c>
      <c r="O16" s="184">
        <f t="shared" si="10"/>
        <v>586.66666666666663</v>
      </c>
      <c r="P16" s="187">
        <f t="shared" si="11"/>
        <v>129226.92489168701</v>
      </c>
      <c r="Q16" s="197">
        <f t="shared" si="12"/>
        <v>586.66666666667152</v>
      </c>
      <c r="R16" s="198">
        <f t="shared" si="3"/>
        <v>15073.573191687014</v>
      </c>
    </row>
    <row r="17" spans="1:18">
      <c r="A17" s="61">
        <v>131</v>
      </c>
      <c r="B17" s="142" t="s">
        <v>11</v>
      </c>
      <c r="C17" s="143">
        <v>80723</v>
      </c>
      <c r="D17" s="144">
        <f t="shared" si="4"/>
        <v>1952.9758064516127</v>
      </c>
      <c r="E17" s="144">
        <v>265975.66429731925</v>
      </c>
      <c r="F17" s="137">
        <v>266579.58476</v>
      </c>
      <c r="G17" s="137">
        <f t="shared" si="5"/>
        <v>266579.58476</v>
      </c>
      <c r="H17" s="138">
        <f t="shared" si="0"/>
        <v>41.333333333333336</v>
      </c>
      <c r="I17" s="139">
        <f t="shared" si="6"/>
        <v>281873.91841779975</v>
      </c>
      <c r="J17" s="182">
        <f t="shared" si="7"/>
        <v>15294.333657799754</v>
      </c>
      <c r="K17" s="183">
        <f t="shared" si="1"/>
        <v>1653.3333333333335</v>
      </c>
      <c r="L17" s="184">
        <f t="shared" si="2"/>
        <v>15294.333657799754</v>
      </c>
      <c r="M17" s="184">
        <f t="shared" si="8"/>
        <v>13641.00032446642</v>
      </c>
      <c r="N17" s="184">
        <f t="shared" si="9"/>
        <v>10590.575824550564</v>
      </c>
      <c r="O17" s="184">
        <f t="shared" si="10"/>
        <v>12243.909157883898</v>
      </c>
      <c r="P17" s="187">
        <f t="shared" si="11"/>
        <v>278823.4939178839</v>
      </c>
      <c r="Q17" s="197">
        <f t="shared" si="12"/>
        <v>12847.829620564647</v>
      </c>
      <c r="R17" s="198">
        <f t="shared" si="3"/>
        <v>12243.9091578839</v>
      </c>
    </row>
    <row r="18" spans="1:18">
      <c r="A18" s="61">
        <v>155</v>
      </c>
      <c r="B18" s="142" t="s">
        <v>12</v>
      </c>
      <c r="C18" s="143">
        <f>525094</f>
        <v>525094</v>
      </c>
      <c r="D18" s="144">
        <f t="shared" si="4"/>
        <v>2326.8567208271788</v>
      </c>
      <c r="E18" s="144">
        <f>1597799.61616572-20000</f>
        <v>1577799.6161657199</v>
      </c>
      <c r="F18" s="137">
        <v>1525179.4322800001</v>
      </c>
      <c r="G18" s="137">
        <f t="shared" si="5"/>
        <v>1577799.6161657199</v>
      </c>
      <c r="H18" s="138">
        <f t="shared" si="0"/>
        <v>225.66666666666666</v>
      </c>
      <c r="I18" s="139">
        <f t="shared" si="6"/>
        <v>1538940.6674907294</v>
      </c>
      <c r="J18" s="182">
        <f t="shared" si="7"/>
        <v>-38858.948674990563</v>
      </c>
      <c r="K18" s="183">
        <f t="shared" si="1"/>
        <v>9026.6666666666661</v>
      </c>
      <c r="L18" s="184">
        <f t="shared" si="2"/>
        <v>9026.6666666666661</v>
      </c>
      <c r="M18" s="184">
        <f t="shared" si="8"/>
        <v>0</v>
      </c>
      <c r="N18" s="184">
        <f t="shared" si="9"/>
        <v>0</v>
      </c>
      <c r="O18" s="184">
        <f t="shared" si="10"/>
        <v>9026.6666666666661</v>
      </c>
      <c r="P18" s="187">
        <f t="shared" si="11"/>
        <v>1586826.2828323867</v>
      </c>
      <c r="Q18" s="197">
        <f t="shared" si="12"/>
        <v>9026.6666666667443</v>
      </c>
      <c r="R18" s="198">
        <f t="shared" si="3"/>
        <v>61646.850552386604</v>
      </c>
    </row>
    <row r="19" spans="1:18">
      <c r="A19" s="61">
        <v>157</v>
      </c>
      <c r="B19" s="142" t="s">
        <v>13</v>
      </c>
      <c r="C19" s="143">
        <v>161114</v>
      </c>
      <c r="D19" s="144">
        <f t="shared" si="4"/>
        <v>1859.0076923076922</v>
      </c>
      <c r="E19" s="144">
        <v>546321.92099918774</v>
      </c>
      <c r="F19" s="137">
        <v>546102.63986</v>
      </c>
      <c r="G19" s="137">
        <f t="shared" si="5"/>
        <v>546321.92099918774</v>
      </c>
      <c r="H19" s="138">
        <f t="shared" si="0"/>
        <v>86.666666666666671</v>
      </c>
      <c r="I19" s="139">
        <f t="shared" si="6"/>
        <v>591025.95797280595</v>
      </c>
      <c r="J19" s="182">
        <f t="shared" si="7"/>
        <v>44704.036973618204</v>
      </c>
      <c r="K19" s="183">
        <f t="shared" si="1"/>
        <v>3466.666666666667</v>
      </c>
      <c r="L19" s="184">
        <f t="shared" si="2"/>
        <v>44704.036973618204</v>
      </c>
      <c r="M19" s="184">
        <f t="shared" si="8"/>
        <v>41237.37030695154</v>
      </c>
      <c r="N19" s="184">
        <f t="shared" si="9"/>
        <v>32015.796983563465</v>
      </c>
      <c r="O19" s="184">
        <f t="shared" si="10"/>
        <v>35482.463650230129</v>
      </c>
      <c r="P19" s="187">
        <f t="shared" si="11"/>
        <v>581804.38464941783</v>
      </c>
      <c r="Q19" s="197">
        <f t="shared" si="12"/>
        <v>35482.463650230085</v>
      </c>
      <c r="R19" s="198">
        <f t="shared" si="3"/>
        <v>35701.744789417833</v>
      </c>
    </row>
    <row r="20" spans="1:18">
      <c r="A20" s="61">
        <v>695</v>
      </c>
      <c r="B20" s="142" t="s">
        <v>37</v>
      </c>
      <c r="C20" s="143">
        <v>141733</v>
      </c>
      <c r="D20" s="144">
        <f t="shared" si="4"/>
        <v>1546.1781818181817</v>
      </c>
      <c r="E20" s="144">
        <v>543113.77264419175</v>
      </c>
      <c r="F20" s="137">
        <v>553272.58054</v>
      </c>
      <c r="G20" s="137">
        <f t="shared" si="5"/>
        <v>553272.58054</v>
      </c>
      <c r="H20" s="138">
        <f t="shared" si="0"/>
        <v>91.666666666666671</v>
      </c>
      <c r="I20" s="139">
        <f t="shared" si="6"/>
        <v>625123.609394314</v>
      </c>
      <c r="J20" s="182">
        <f t="shared" si="7"/>
        <v>71851.028854314005</v>
      </c>
      <c r="K20" s="183">
        <f t="shared" si="1"/>
        <v>3666.666666666667</v>
      </c>
      <c r="L20" s="184">
        <f t="shared" si="2"/>
        <v>71851.028854314005</v>
      </c>
      <c r="M20" s="184">
        <f t="shared" si="8"/>
        <v>68184.362187647333</v>
      </c>
      <c r="N20" s="184">
        <f t="shared" si="9"/>
        <v>52936.855114776452</v>
      </c>
      <c r="O20" s="184">
        <f t="shared" si="10"/>
        <v>56603.521781443116</v>
      </c>
      <c r="P20" s="187">
        <f t="shared" si="11"/>
        <v>609876.10232144315</v>
      </c>
      <c r="Q20" s="197">
        <f t="shared" si="12"/>
        <v>66762.3296772514</v>
      </c>
      <c r="R20" s="198">
        <f t="shared" si="3"/>
        <v>56603.521781443153</v>
      </c>
    </row>
    <row r="21" spans="1:18">
      <c r="A21" s="61">
        <v>159</v>
      </c>
      <c r="B21" s="142" t="s">
        <v>14</v>
      </c>
      <c r="C21" s="143">
        <v>72900</v>
      </c>
      <c r="D21" s="144">
        <f t="shared" si="4"/>
        <v>2082.8571428571427</v>
      </c>
      <c r="E21" s="144">
        <v>225806.96100731115</v>
      </c>
      <c r="F21" s="137">
        <v>227780.48730000001</v>
      </c>
      <c r="G21" s="137">
        <f t="shared" si="5"/>
        <v>227780.48730000001</v>
      </c>
      <c r="H21" s="138">
        <f t="shared" si="0"/>
        <v>35</v>
      </c>
      <c r="I21" s="139">
        <f t="shared" si="6"/>
        <v>238683.55995055626</v>
      </c>
      <c r="J21" s="182">
        <f t="shared" si="7"/>
        <v>10903.072650556249</v>
      </c>
      <c r="K21" s="183">
        <f t="shared" si="1"/>
        <v>1400</v>
      </c>
      <c r="L21" s="184">
        <f t="shared" si="2"/>
        <v>10903.072650556249</v>
      </c>
      <c r="M21" s="184">
        <f t="shared" si="8"/>
        <v>9503.0726505562488</v>
      </c>
      <c r="N21" s="184">
        <f t="shared" si="9"/>
        <v>7377.9788195896399</v>
      </c>
      <c r="O21" s="184">
        <f t="shared" si="10"/>
        <v>8777.9788195896399</v>
      </c>
      <c r="P21" s="187">
        <f t="shared" si="11"/>
        <v>236558.46611958963</v>
      </c>
      <c r="Q21" s="197">
        <f t="shared" si="12"/>
        <v>10751.505112278479</v>
      </c>
      <c r="R21" s="198">
        <f t="shared" si="3"/>
        <v>8777.9788195896253</v>
      </c>
    </row>
    <row r="22" spans="1:18">
      <c r="A22" s="61">
        <v>164</v>
      </c>
      <c r="B22" s="142" t="s">
        <v>15</v>
      </c>
      <c r="C22" s="143">
        <v>72346</v>
      </c>
      <c r="D22" s="144">
        <f t="shared" si="4"/>
        <v>2009.6111111111111</v>
      </c>
      <c r="E22" s="144">
        <v>241425.81265231525</v>
      </c>
      <c r="F22" s="137">
        <v>231651.64408</v>
      </c>
      <c r="G22" s="137">
        <f t="shared" si="5"/>
        <v>241425.81265231525</v>
      </c>
      <c r="H22" s="138">
        <f t="shared" si="0"/>
        <v>36</v>
      </c>
      <c r="I22" s="139">
        <f t="shared" si="6"/>
        <v>245503.09023485787</v>
      </c>
      <c r="J22" s="182">
        <f t="shared" si="7"/>
        <v>4077.2775825426215</v>
      </c>
      <c r="K22" s="183">
        <f t="shared" si="1"/>
        <v>1440</v>
      </c>
      <c r="L22" s="184">
        <f t="shared" si="2"/>
        <v>4077.2775825426215</v>
      </c>
      <c r="M22" s="184">
        <f t="shared" si="8"/>
        <v>2637.2775825426215</v>
      </c>
      <c r="N22" s="184">
        <f t="shared" si="9"/>
        <v>2047.5249280809294</v>
      </c>
      <c r="O22" s="184">
        <f t="shared" si="10"/>
        <v>3487.5249280809294</v>
      </c>
      <c r="P22" s="187">
        <f t="shared" si="11"/>
        <v>244913.33758039618</v>
      </c>
      <c r="Q22" s="197">
        <f t="shared" si="12"/>
        <v>3487.5249280809367</v>
      </c>
      <c r="R22" s="198">
        <f t="shared" si="3"/>
        <v>13261.693500396184</v>
      </c>
    </row>
    <row r="23" spans="1:18">
      <c r="A23" s="61">
        <v>168</v>
      </c>
      <c r="B23" s="142" t="s">
        <v>16</v>
      </c>
      <c r="C23" s="143">
        <v>158650</v>
      </c>
      <c r="D23" s="144">
        <f t="shared" si="4"/>
        <v>2224.065420560748</v>
      </c>
      <c r="E23" s="144">
        <v>498279.88454508537</v>
      </c>
      <c r="F23" s="137">
        <v>472836.13138000004</v>
      </c>
      <c r="G23" s="137">
        <f t="shared" si="5"/>
        <v>498279.88454508537</v>
      </c>
      <c r="H23" s="138">
        <f t="shared" si="0"/>
        <v>71.333333333333329</v>
      </c>
      <c r="I23" s="139">
        <f t="shared" si="6"/>
        <v>486459.82694684796</v>
      </c>
      <c r="J23" s="182">
        <f t="shared" si="7"/>
        <v>-11820.057598237414</v>
      </c>
      <c r="K23" s="183">
        <f t="shared" si="1"/>
        <v>2853.333333333333</v>
      </c>
      <c r="L23" s="184">
        <f t="shared" si="2"/>
        <v>2853.333333333333</v>
      </c>
      <c r="M23" s="184">
        <f t="shared" si="8"/>
        <v>0</v>
      </c>
      <c r="N23" s="184">
        <f t="shared" si="9"/>
        <v>0</v>
      </c>
      <c r="O23" s="184">
        <f t="shared" si="10"/>
        <v>2853.333333333333</v>
      </c>
      <c r="P23" s="187">
        <f t="shared" si="11"/>
        <v>501133.21787841868</v>
      </c>
      <c r="Q23" s="197">
        <f t="shared" si="12"/>
        <v>2853.3333333333139</v>
      </c>
      <c r="R23" s="198">
        <f t="shared" si="3"/>
        <v>28297.086498418648</v>
      </c>
    </row>
    <row r="24" spans="1:18">
      <c r="A24" s="61">
        <v>178</v>
      </c>
      <c r="B24" s="142" t="s">
        <v>17</v>
      </c>
      <c r="C24" s="143">
        <v>197988</v>
      </c>
      <c r="D24" s="144">
        <f t="shared" si="4"/>
        <v>1567.1873350923483</v>
      </c>
      <c r="E24" s="144">
        <v>758156.77061332262</v>
      </c>
      <c r="F24" s="137">
        <v>759982.91106000007</v>
      </c>
      <c r="G24" s="137">
        <f t="shared" si="5"/>
        <v>759982.91106000007</v>
      </c>
      <c r="H24" s="138">
        <f t="shared" si="0"/>
        <v>126.33333333333333</v>
      </c>
      <c r="I24" s="139">
        <f t="shared" si="6"/>
        <v>861533.99258343631</v>
      </c>
      <c r="J24" s="182">
        <f t="shared" si="7"/>
        <v>101551.08152343624</v>
      </c>
      <c r="K24" s="183">
        <f t="shared" si="1"/>
        <v>5053.333333333333</v>
      </c>
      <c r="L24" s="184">
        <f t="shared" si="2"/>
        <v>101551.08152343624</v>
      </c>
      <c r="M24" s="184">
        <f t="shared" si="8"/>
        <v>96497.74819010291</v>
      </c>
      <c r="N24" s="184">
        <f t="shared" si="9"/>
        <v>74918.751909467974</v>
      </c>
      <c r="O24" s="184">
        <f t="shared" si="10"/>
        <v>79972.085242801302</v>
      </c>
      <c r="P24" s="187">
        <f t="shared" si="11"/>
        <v>839954.99630280142</v>
      </c>
      <c r="Q24" s="197">
        <f t="shared" si="12"/>
        <v>81798.225689478801</v>
      </c>
      <c r="R24" s="198">
        <f t="shared" si="3"/>
        <v>79972.085242801346</v>
      </c>
    </row>
    <row r="25" spans="1:18">
      <c r="A25" s="61">
        <v>198</v>
      </c>
      <c r="B25" s="142" t="s">
        <v>18</v>
      </c>
      <c r="C25" s="143">
        <v>127358</v>
      </c>
      <c r="D25" s="144">
        <f t="shared" si="4"/>
        <v>2418.1898734177216</v>
      </c>
      <c r="E25" s="144">
        <v>364069.73771324131</v>
      </c>
      <c r="F25" s="137">
        <v>361891.30934000004</v>
      </c>
      <c r="G25" s="137">
        <f t="shared" si="5"/>
        <v>364069.73771324131</v>
      </c>
      <c r="H25" s="138">
        <f t="shared" si="0"/>
        <v>52.666666666666664</v>
      </c>
      <c r="I25" s="139">
        <f t="shared" si="6"/>
        <v>359161.9283065513</v>
      </c>
      <c r="J25" s="182">
        <f t="shared" si="7"/>
        <v>-4907.8094066900085</v>
      </c>
      <c r="K25" s="183">
        <f t="shared" si="1"/>
        <v>2106.6666666666665</v>
      </c>
      <c r="L25" s="184">
        <f t="shared" si="2"/>
        <v>2106.6666666666665</v>
      </c>
      <c r="M25" s="184">
        <f t="shared" si="8"/>
        <v>0</v>
      </c>
      <c r="N25" s="184">
        <f t="shared" si="9"/>
        <v>0</v>
      </c>
      <c r="O25" s="184">
        <f t="shared" si="10"/>
        <v>2106.6666666666665</v>
      </c>
      <c r="P25" s="187">
        <f t="shared" si="11"/>
        <v>366176.404379908</v>
      </c>
      <c r="Q25" s="197">
        <f t="shared" si="12"/>
        <v>2106.6666666666861</v>
      </c>
      <c r="R25" s="198">
        <f t="shared" si="3"/>
        <v>4285.0950399079593</v>
      </c>
    </row>
    <row r="26" spans="1:18">
      <c r="A26" s="61">
        <v>199</v>
      </c>
      <c r="B26" s="142" t="s">
        <v>19</v>
      </c>
      <c r="C26" s="143">
        <v>306157</v>
      </c>
      <c r="D26" s="144">
        <f t="shared" si="4"/>
        <v>1707.1951672862454</v>
      </c>
      <c r="E26" s="144">
        <v>1088334.915922015</v>
      </c>
      <c r="F26" s="137">
        <v>1102685.2204</v>
      </c>
      <c r="G26" s="137">
        <f t="shared" si="5"/>
        <v>1102685.2204</v>
      </c>
      <c r="H26" s="138">
        <f t="shared" si="0"/>
        <v>179.33333333333334</v>
      </c>
      <c r="I26" s="139">
        <f t="shared" si="6"/>
        <v>1222969.0976514216</v>
      </c>
      <c r="J26" s="182">
        <f t="shared" si="7"/>
        <v>120283.87725142157</v>
      </c>
      <c r="K26" s="183">
        <f t="shared" si="1"/>
        <v>7173.3333333333339</v>
      </c>
      <c r="L26" s="184">
        <f t="shared" si="2"/>
        <v>120283.87725142157</v>
      </c>
      <c r="M26" s="184">
        <f t="shared" si="8"/>
        <v>113110.54391808824</v>
      </c>
      <c r="N26" s="184">
        <f t="shared" si="9"/>
        <v>87816.56501921732</v>
      </c>
      <c r="O26" s="184">
        <f t="shared" si="10"/>
        <v>94989.898352550648</v>
      </c>
      <c r="P26" s="187">
        <f t="shared" si="11"/>
        <v>1197675.1187525506</v>
      </c>
      <c r="Q26" s="197">
        <f t="shared" si="12"/>
        <v>109340.20283053559</v>
      </c>
      <c r="R26" s="198">
        <f t="shared" si="3"/>
        <v>94989.898352550576</v>
      </c>
    </row>
    <row r="27" spans="1:18">
      <c r="A27" s="61">
        <v>207</v>
      </c>
      <c r="B27" s="142" t="s">
        <v>20</v>
      </c>
      <c r="C27" s="143">
        <v>761463</v>
      </c>
      <c r="D27" s="144">
        <f t="shared" si="4"/>
        <v>1768.1029411764705</v>
      </c>
      <c r="E27" s="144">
        <v>2662508.197908205</v>
      </c>
      <c r="F27" s="137">
        <v>2681981.0425200001</v>
      </c>
      <c r="G27" s="137">
        <f t="shared" si="5"/>
        <v>2681981.0425200001</v>
      </c>
      <c r="H27" s="138">
        <f t="shared" si="0"/>
        <v>430.66666666666669</v>
      </c>
      <c r="I27" s="139">
        <f t="shared" si="6"/>
        <v>2936944.3757725591</v>
      </c>
      <c r="J27" s="182">
        <f t="shared" si="7"/>
        <v>254963.33325255895</v>
      </c>
      <c r="K27" s="183">
        <f t="shared" si="1"/>
        <v>17226.666666666668</v>
      </c>
      <c r="L27" s="184">
        <f t="shared" si="2"/>
        <v>254963.33325255895</v>
      </c>
      <c r="M27" s="184">
        <f t="shared" si="8"/>
        <v>237736.66658589229</v>
      </c>
      <c r="N27" s="184">
        <f t="shared" si="9"/>
        <v>184573.57480139736</v>
      </c>
      <c r="O27" s="184">
        <f t="shared" si="10"/>
        <v>201800.24146806402</v>
      </c>
      <c r="P27" s="187">
        <f t="shared" si="11"/>
        <v>2883781.2839880642</v>
      </c>
      <c r="Q27" s="197">
        <f t="shared" si="12"/>
        <v>221273.08607985917</v>
      </c>
      <c r="R27" s="198">
        <f t="shared" si="3"/>
        <v>201800.24146806402</v>
      </c>
    </row>
    <row r="28" spans="1:18">
      <c r="A28" s="61">
        <v>246</v>
      </c>
      <c r="B28" s="142" t="s">
        <v>21</v>
      </c>
      <c r="C28" s="143">
        <v>117400</v>
      </c>
      <c r="D28" s="144">
        <f t="shared" si="4"/>
        <v>1734.9753694581279</v>
      </c>
      <c r="E28" s="144">
        <v>423213.92201462231</v>
      </c>
      <c r="F28" s="137">
        <v>418310.66104000004</v>
      </c>
      <c r="G28" s="137">
        <f t="shared" si="5"/>
        <v>423213.92201462231</v>
      </c>
      <c r="H28" s="138">
        <f t="shared" si="0"/>
        <v>67.666666666666671</v>
      </c>
      <c r="I28" s="139">
        <f t="shared" si="6"/>
        <v>461454.88257107546</v>
      </c>
      <c r="J28" s="182">
        <f t="shared" si="7"/>
        <v>38240.960556453152</v>
      </c>
      <c r="K28" s="183">
        <f t="shared" si="1"/>
        <v>2706.666666666667</v>
      </c>
      <c r="L28" s="184">
        <f t="shared" si="2"/>
        <v>38240.960556453152</v>
      </c>
      <c r="M28" s="184">
        <f t="shared" si="8"/>
        <v>35534.293889786488</v>
      </c>
      <c r="N28" s="184">
        <f t="shared" si="9"/>
        <v>27588.052551884095</v>
      </c>
      <c r="O28" s="184">
        <f t="shared" si="10"/>
        <v>30294.719218550763</v>
      </c>
      <c r="P28" s="187">
        <f t="shared" si="11"/>
        <v>453508.64123317308</v>
      </c>
      <c r="Q28" s="197">
        <f t="shared" si="12"/>
        <v>30294.719218550774</v>
      </c>
      <c r="R28" s="198">
        <f t="shared" si="3"/>
        <v>35197.980193173047</v>
      </c>
    </row>
    <row r="29" spans="1:18">
      <c r="A29" s="61">
        <v>264</v>
      </c>
      <c r="B29" s="142" t="s">
        <v>22</v>
      </c>
      <c r="C29" s="143">
        <v>173537</v>
      </c>
      <c r="D29" s="144">
        <f t="shared" si="4"/>
        <v>2711.515625</v>
      </c>
      <c r="E29" s="144">
        <v>460237.55188870843</v>
      </c>
      <c r="F29" s="137">
        <v>456747.03392000002</v>
      </c>
      <c r="G29" s="137">
        <f t="shared" si="5"/>
        <v>460237.55188870843</v>
      </c>
      <c r="H29" s="138">
        <f t="shared" si="0"/>
        <v>64</v>
      </c>
      <c r="I29" s="139">
        <f t="shared" si="6"/>
        <v>436449.93819530285</v>
      </c>
      <c r="J29" s="182">
        <f t="shared" si="7"/>
        <v>-23787.613693405583</v>
      </c>
      <c r="K29" s="183">
        <f t="shared" si="1"/>
        <v>2560</v>
      </c>
      <c r="L29" s="184">
        <f t="shared" si="2"/>
        <v>2560</v>
      </c>
      <c r="M29" s="184">
        <f t="shared" si="8"/>
        <v>0</v>
      </c>
      <c r="N29" s="184">
        <f t="shared" si="9"/>
        <v>0</v>
      </c>
      <c r="O29" s="184">
        <f t="shared" si="10"/>
        <v>2560</v>
      </c>
      <c r="P29" s="187">
        <f t="shared" si="11"/>
        <v>462797.55188870843</v>
      </c>
      <c r="Q29" s="197">
        <f t="shared" si="12"/>
        <v>2560</v>
      </c>
      <c r="R29" s="198">
        <f t="shared" si="3"/>
        <v>6050.5179687084164</v>
      </c>
    </row>
    <row r="30" spans="1:18">
      <c r="A30" s="61">
        <v>266</v>
      </c>
      <c r="B30" s="142" t="s">
        <v>23</v>
      </c>
      <c r="C30" s="143">
        <v>165386</v>
      </c>
      <c r="D30" s="144">
        <f t="shared" si="4"/>
        <v>2653.2513368983955</v>
      </c>
      <c r="E30" s="144">
        <v>446205.51492688875</v>
      </c>
      <c r="F30" s="137">
        <v>439745.72036000004</v>
      </c>
      <c r="G30" s="137">
        <f t="shared" si="5"/>
        <v>446205.51492688875</v>
      </c>
      <c r="H30" s="138">
        <f t="shared" si="0"/>
        <v>62.333333333333336</v>
      </c>
      <c r="I30" s="139">
        <f t="shared" si="6"/>
        <v>425084.05438813352</v>
      </c>
      <c r="J30" s="182">
        <f t="shared" si="7"/>
        <v>-21121.460538755229</v>
      </c>
      <c r="K30" s="183">
        <f t="shared" si="1"/>
        <v>2493.3333333333335</v>
      </c>
      <c r="L30" s="184">
        <f t="shared" si="2"/>
        <v>2493.3333333333335</v>
      </c>
      <c r="M30" s="184">
        <f t="shared" si="8"/>
        <v>0</v>
      </c>
      <c r="N30" s="184">
        <f t="shared" si="9"/>
        <v>0</v>
      </c>
      <c r="O30" s="184">
        <f t="shared" si="10"/>
        <v>2493.3333333333335</v>
      </c>
      <c r="P30" s="187">
        <f t="shared" si="11"/>
        <v>448698.84826022206</v>
      </c>
      <c r="Q30" s="197">
        <f t="shared" si="12"/>
        <v>2493.3333333333139</v>
      </c>
      <c r="R30" s="198">
        <f t="shared" si="3"/>
        <v>8953.1279002220253</v>
      </c>
    </row>
    <row r="31" spans="1:18">
      <c r="A31" s="61">
        <v>269</v>
      </c>
      <c r="B31" s="142" t="s">
        <v>24</v>
      </c>
      <c r="C31" s="143">
        <v>0</v>
      </c>
      <c r="D31" s="144">
        <f t="shared" si="4"/>
        <v>0</v>
      </c>
      <c r="E31" s="144">
        <v>44107.777213647452</v>
      </c>
      <c r="F31" s="137">
        <v>39826.41102</v>
      </c>
      <c r="G31" s="137">
        <f t="shared" si="5"/>
        <v>44107.777213647452</v>
      </c>
      <c r="H31" s="138">
        <f t="shared" si="0"/>
        <v>9</v>
      </c>
      <c r="I31" s="139">
        <f t="shared" si="6"/>
        <v>61375.772558714467</v>
      </c>
      <c r="J31" s="182">
        <f t="shared" si="7"/>
        <v>17267.995345067015</v>
      </c>
      <c r="K31" s="183">
        <f t="shared" si="1"/>
        <v>360</v>
      </c>
      <c r="L31" s="184">
        <f t="shared" si="2"/>
        <v>17267.995345067015</v>
      </c>
      <c r="M31" s="184">
        <f t="shared" si="8"/>
        <v>16907.995345067015</v>
      </c>
      <c r="N31" s="184">
        <f t="shared" si="9"/>
        <v>13126.999668925268</v>
      </c>
      <c r="O31" s="184">
        <f t="shared" si="10"/>
        <v>13486.999668925268</v>
      </c>
      <c r="P31" s="187">
        <f t="shared" si="11"/>
        <v>57594.776882572718</v>
      </c>
      <c r="Q31" s="197">
        <f t="shared" si="12"/>
        <v>13486.999668925266</v>
      </c>
      <c r="R31" s="198">
        <f t="shared" si="3"/>
        <v>17768.365862572718</v>
      </c>
    </row>
    <row r="32" spans="1:18">
      <c r="A32" s="61">
        <v>766</v>
      </c>
      <c r="B32" s="142" t="s">
        <v>42</v>
      </c>
      <c r="C32" s="143">
        <v>58969</v>
      </c>
      <c r="D32" s="144">
        <f t="shared" si="4"/>
        <v>3159.0535714285711</v>
      </c>
      <c r="E32" s="144">
        <v>145714.29518684</v>
      </c>
      <c r="F32" s="137">
        <v>143046.97882000002</v>
      </c>
      <c r="G32" s="137">
        <f t="shared" si="5"/>
        <v>145714.29518684</v>
      </c>
      <c r="H32" s="138">
        <f t="shared" si="0"/>
        <v>18.666666666666668</v>
      </c>
      <c r="I32" s="139">
        <f t="shared" si="6"/>
        <v>127297.89864029667</v>
      </c>
      <c r="J32" s="182">
        <f t="shared" si="7"/>
        <v>-18416.396546543328</v>
      </c>
      <c r="K32" s="183">
        <f t="shared" si="1"/>
        <v>746.66666666666674</v>
      </c>
      <c r="L32" s="184">
        <f t="shared" si="2"/>
        <v>746.66666666666674</v>
      </c>
      <c r="M32" s="184">
        <f t="shared" si="8"/>
        <v>0</v>
      </c>
      <c r="N32" s="184">
        <f t="shared" si="9"/>
        <v>0</v>
      </c>
      <c r="O32" s="184">
        <f t="shared" si="10"/>
        <v>746.66666666666674</v>
      </c>
      <c r="P32" s="187">
        <f t="shared" si="11"/>
        <v>146460.96185350665</v>
      </c>
      <c r="Q32" s="197">
        <f t="shared" si="12"/>
        <v>746.66666666665697</v>
      </c>
      <c r="R32" s="198">
        <f t="shared" si="3"/>
        <v>3413.9830335066363</v>
      </c>
    </row>
    <row r="33" spans="1:18">
      <c r="A33" s="61">
        <v>288</v>
      </c>
      <c r="B33" s="142" t="s">
        <v>26</v>
      </c>
      <c r="C33" s="143">
        <v>170559</v>
      </c>
      <c r="D33" s="144">
        <f t="shared" si="4"/>
        <v>2471.8695652173915</v>
      </c>
      <c r="E33" s="144">
        <v>473432.4035337125</v>
      </c>
      <c r="F33" s="137">
        <v>480319.97460000002</v>
      </c>
      <c r="G33" s="137">
        <f t="shared" si="5"/>
        <v>480319.97460000002</v>
      </c>
      <c r="H33" s="138">
        <f t="shared" si="0"/>
        <v>69</v>
      </c>
      <c r="I33" s="139">
        <f t="shared" si="6"/>
        <v>470547.5896168109</v>
      </c>
      <c r="J33" s="182">
        <f t="shared" si="7"/>
        <v>-9772.384983189113</v>
      </c>
      <c r="K33" s="183">
        <f t="shared" si="1"/>
        <v>2760</v>
      </c>
      <c r="L33" s="184">
        <f t="shared" si="2"/>
        <v>2760</v>
      </c>
      <c r="M33" s="184">
        <f t="shared" si="8"/>
        <v>0</v>
      </c>
      <c r="N33" s="184">
        <f t="shared" si="9"/>
        <v>0</v>
      </c>
      <c r="O33" s="184">
        <f t="shared" si="10"/>
        <v>2760</v>
      </c>
      <c r="P33" s="187">
        <f t="shared" si="11"/>
        <v>483079.97460000002</v>
      </c>
      <c r="Q33" s="197">
        <f t="shared" si="12"/>
        <v>9647.5710662875208</v>
      </c>
      <c r="R33" s="198">
        <f t="shared" si="3"/>
        <v>2760</v>
      </c>
    </row>
    <row r="34" spans="1:18">
      <c r="A34" s="61">
        <v>291</v>
      </c>
      <c r="B34" s="142" t="s">
        <v>27</v>
      </c>
      <c r="C34" s="143">
        <v>144803</v>
      </c>
      <c r="D34" s="144">
        <f t="shared" si="4"/>
        <v>2681.537037037037</v>
      </c>
      <c r="E34" s="144">
        <v>403568.626320065</v>
      </c>
      <c r="F34" s="137">
        <v>383761.46612</v>
      </c>
      <c r="G34" s="137">
        <f t="shared" si="5"/>
        <v>403568.626320065</v>
      </c>
      <c r="H34" s="138">
        <f t="shared" si="0"/>
        <v>54</v>
      </c>
      <c r="I34" s="139">
        <f t="shared" si="6"/>
        <v>368254.6353522868</v>
      </c>
      <c r="J34" s="182">
        <f t="shared" si="7"/>
        <v>-35313.990967778198</v>
      </c>
      <c r="K34" s="183">
        <f t="shared" si="1"/>
        <v>2160</v>
      </c>
      <c r="L34" s="184">
        <f t="shared" si="2"/>
        <v>2160</v>
      </c>
      <c r="M34" s="184">
        <f t="shared" si="8"/>
        <v>0</v>
      </c>
      <c r="N34" s="184">
        <f t="shared" si="9"/>
        <v>0</v>
      </c>
      <c r="O34" s="184">
        <f t="shared" si="10"/>
        <v>2160</v>
      </c>
      <c r="P34" s="187">
        <f t="shared" si="11"/>
        <v>405728.626320065</v>
      </c>
      <c r="Q34" s="197">
        <f t="shared" si="12"/>
        <v>2160</v>
      </c>
      <c r="R34" s="198">
        <f t="shared" si="3"/>
        <v>21967.160200065002</v>
      </c>
    </row>
    <row r="35" spans="1:18">
      <c r="A35" s="61">
        <v>305</v>
      </c>
      <c r="B35" s="142" t="s">
        <v>28</v>
      </c>
      <c r="C35" s="143">
        <v>80409</v>
      </c>
      <c r="D35" s="144">
        <f t="shared" si="4"/>
        <v>1176.7170731707317</v>
      </c>
      <c r="E35" s="144">
        <v>389163.44049553218</v>
      </c>
      <c r="F35" s="137">
        <v>399020.28816</v>
      </c>
      <c r="G35" s="137">
        <f t="shared" si="5"/>
        <v>399020.28816</v>
      </c>
      <c r="H35" s="138">
        <f t="shared" si="0"/>
        <v>68.333333333333329</v>
      </c>
      <c r="I35" s="139">
        <f t="shared" si="6"/>
        <v>466001.23609394312</v>
      </c>
      <c r="J35" s="182">
        <f t="shared" si="7"/>
        <v>66980.947933943127</v>
      </c>
      <c r="K35" s="183">
        <f t="shared" si="1"/>
        <v>2733.333333333333</v>
      </c>
      <c r="L35" s="184">
        <f t="shared" si="2"/>
        <v>66980.947933943127</v>
      </c>
      <c r="M35" s="184">
        <f t="shared" si="8"/>
        <v>64247.614600609792</v>
      </c>
      <c r="N35" s="184">
        <f t="shared" si="9"/>
        <v>49880.449951596573</v>
      </c>
      <c r="O35" s="184">
        <f t="shared" si="10"/>
        <v>52613.783284929908</v>
      </c>
      <c r="P35" s="187">
        <f t="shared" si="11"/>
        <v>451634.07144492993</v>
      </c>
      <c r="Q35" s="197">
        <f t="shared" si="12"/>
        <v>62470.630949397746</v>
      </c>
      <c r="R35" s="198">
        <f t="shared" si="3"/>
        <v>52613.78328492993</v>
      </c>
    </row>
    <row r="36" spans="1:18">
      <c r="A36" s="61">
        <v>307</v>
      </c>
      <c r="B36" s="142" t="s">
        <v>29</v>
      </c>
      <c r="C36" s="143">
        <v>108593</v>
      </c>
      <c r="D36" s="144">
        <f t="shared" si="4"/>
        <v>2714.8249999999998</v>
      </c>
      <c r="E36" s="144">
        <v>293845.66429731925</v>
      </c>
      <c r="F36" s="137">
        <v>285599.27120000002</v>
      </c>
      <c r="G36" s="137">
        <f t="shared" si="5"/>
        <v>293845.66429731925</v>
      </c>
      <c r="H36" s="138">
        <f t="shared" si="0"/>
        <v>40</v>
      </c>
      <c r="I36" s="139">
        <f t="shared" si="6"/>
        <v>272781.21137206431</v>
      </c>
      <c r="J36" s="182">
        <f t="shared" si="7"/>
        <v>-21064.45292525494</v>
      </c>
      <c r="K36" s="183">
        <f t="shared" si="1"/>
        <v>1600</v>
      </c>
      <c r="L36" s="184">
        <f t="shared" si="2"/>
        <v>1600</v>
      </c>
      <c r="M36" s="184">
        <f t="shared" si="8"/>
        <v>0</v>
      </c>
      <c r="N36" s="184">
        <f t="shared" si="9"/>
        <v>0</v>
      </c>
      <c r="O36" s="184">
        <f t="shared" si="10"/>
        <v>1600</v>
      </c>
      <c r="P36" s="187">
        <f t="shared" si="11"/>
        <v>295445.66429731925</v>
      </c>
      <c r="Q36" s="197">
        <f t="shared" si="12"/>
        <v>1600</v>
      </c>
      <c r="R36" s="198">
        <f t="shared" si="3"/>
        <v>9846.3930973192328</v>
      </c>
    </row>
    <row r="37" spans="1:18">
      <c r="A37" s="61">
        <v>315</v>
      </c>
      <c r="B37" s="142" t="s">
        <v>30</v>
      </c>
      <c r="C37" s="143">
        <v>186122</v>
      </c>
      <c r="D37" s="144">
        <f t="shared" si="4"/>
        <v>1351.9757869249395</v>
      </c>
      <c r="E37" s="144">
        <v>791868.80706742499</v>
      </c>
      <c r="F37" s="137">
        <v>796793.63563999999</v>
      </c>
      <c r="G37" s="137">
        <f t="shared" si="5"/>
        <v>796793.63563999999</v>
      </c>
      <c r="H37" s="138">
        <f t="shared" si="0"/>
        <v>137.66666666666666</v>
      </c>
      <c r="I37" s="139">
        <f t="shared" si="6"/>
        <v>938822.00247218786</v>
      </c>
      <c r="J37" s="182">
        <f t="shared" si="7"/>
        <v>142028.36683218786</v>
      </c>
      <c r="K37" s="183">
        <f t="shared" si="1"/>
        <v>5506.6666666666661</v>
      </c>
      <c r="L37" s="184">
        <f t="shared" si="2"/>
        <v>142028.36683218786</v>
      </c>
      <c r="M37" s="184">
        <f t="shared" si="8"/>
        <v>136521.70016552121</v>
      </c>
      <c r="N37" s="184">
        <f t="shared" si="9"/>
        <v>105992.47730434059</v>
      </c>
      <c r="O37" s="184">
        <f t="shared" si="10"/>
        <v>111499.14397100726</v>
      </c>
      <c r="P37" s="187">
        <f t="shared" si="11"/>
        <v>908292.77961100731</v>
      </c>
      <c r="Q37" s="197">
        <f t="shared" si="12"/>
        <v>116423.97254358232</v>
      </c>
      <c r="R37" s="198">
        <f t="shared" si="3"/>
        <v>111499.14397100732</v>
      </c>
    </row>
    <row r="38" spans="1:18">
      <c r="A38" s="61">
        <v>317</v>
      </c>
      <c r="B38" s="142" t="s">
        <v>31</v>
      </c>
      <c r="C38" s="143">
        <v>273863</v>
      </c>
      <c r="D38" s="144">
        <f t="shared" si="4"/>
        <v>1740.6546610169491</v>
      </c>
      <c r="E38" s="144">
        <v>967825.36149471998</v>
      </c>
      <c r="F38" s="137">
        <v>973037.77124000003</v>
      </c>
      <c r="G38" s="137">
        <f t="shared" si="5"/>
        <v>973037.77124000003</v>
      </c>
      <c r="H38" s="138">
        <f t="shared" si="0"/>
        <v>157.33333333333334</v>
      </c>
      <c r="I38" s="139">
        <f t="shared" si="6"/>
        <v>1072939.4313967861</v>
      </c>
      <c r="J38" s="182">
        <f t="shared" si="7"/>
        <v>99901.660156786093</v>
      </c>
      <c r="K38" s="183">
        <f t="shared" si="1"/>
        <v>6293.3333333333339</v>
      </c>
      <c r="L38" s="184">
        <f t="shared" si="2"/>
        <v>99901.660156786093</v>
      </c>
      <c r="M38" s="184">
        <f t="shared" si="8"/>
        <v>93608.326823452764</v>
      </c>
      <c r="N38" s="184">
        <f t="shared" si="9"/>
        <v>72675.468034039877</v>
      </c>
      <c r="O38" s="184">
        <f t="shared" si="10"/>
        <v>78968.801367373206</v>
      </c>
      <c r="P38" s="187">
        <f t="shared" si="11"/>
        <v>1052006.5726073734</v>
      </c>
      <c r="Q38" s="197">
        <f t="shared" si="12"/>
        <v>84181.211112653371</v>
      </c>
      <c r="R38" s="198">
        <f t="shared" si="3"/>
        <v>78968.801367373322</v>
      </c>
    </row>
    <row r="39" spans="1:18">
      <c r="A39" s="61">
        <v>330</v>
      </c>
      <c r="B39" s="142" t="s">
        <v>32</v>
      </c>
      <c r="C39" s="143">
        <v>267754</v>
      </c>
      <c r="D39" s="144">
        <f t="shared" si="4"/>
        <v>1639.3102040816325</v>
      </c>
      <c r="E39" s="144">
        <v>1002883.6202274575</v>
      </c>
      <c r="F39" s="137">
        <v>989054.55514000007</v>
      </c>
      <c r="G39" s="137">
        <f t="shared" si="5"/>
        <v>1002883.6202274575</v>
      </c>
      <c r="H39" s="138">
        <f t="shared" si="0"/>
        <v>163.33333333333334</v>
      </c>
      <c r="I39" s="139">
        <f t="shared" si="6"/>
        <v>1113856.6131025958</v>
      </c>
      <c r="J39" s="182">
        <f t="shared" si="7"/>
        <v>110972.9928751383</v>
      </c>
      <c r="K39" s="183">
        <f t="shared" si="1"/>
        <v>6533.3333333333339</v>
      </c>
      <c r="L39" s="184">
        <f t="shared" si="2"/>
        <v>110972.9928751383</v>
      </c>
      <c r="M39" s="184">
        <f t="shared" si="8"/>
        <v>104439.65954180497</v>
      </c>
      <c r="N39" s="184">
        <f t="shared" si="9"/>
        <v>81084.679067405305</v>
      </c>
      <c r="O39" s="184">
        <f t="shared" si="10"/>
        <v>87618.012400738633</v>
      </c>
      <c r="P39" s="187">
        <f t="shared" si="11"/>
        <v>1090501.6326281962</v>
      </c>
      <c r="Q39" s="197">
        <f t="shared" si="12"/>
        <v>87618.012400738662</v>
      </c>
      <c r="R39" s="198">
        <f t="shared" si="3"/>
        <v>101447.07748819608</v>
      </c>
    </row>
    <row r="40" spans="1:18">
      <c r="A40" s="61">
        <v>335</v>
      </c>
      <c r="B40" s="142" t="s">
        <v>33</v>
      </c>
      <c r="C40" s="143">
        <v>73638</v>
      </c>
      <c r="D40" s="144">
        <f t="shared" si="4"/>
        <v>1544.8531468531469</v>
      </c>
      <c r="E40" s="144">
        <v>289766.1083468725</v>
      </c>
      <c r="F40" s="137">
        <v>290470.68222000002</v>
      </c>
      <c r="G40" s="137">
        <f t="shared" si="5"/>
        <v>290470.68222000002</v>
      </c>
      <c r="H40" s="138">
        <f t="shared" si="0"/>
        <v>47.666666666666664</v>
      </c>
      <c r="I40" s="139">
        <f t="shared" si="6"/>
        <v>325064.27688504325</v>
      </c>
      <c r="J40" s="182">
        <f t="shared" si="7"/>
        <v>34593.594665043231</v>
      </c>
      <c r="K40" s="183">
        <f t="shared" si="1"/>
        <v>1906.6666666666665</v>
      </c>
      <c r="L40" s="184">
        <f t="shared" si="2"/>
        <v>34593.594665043231</v>
      </c>
      <c r="M40" s="184">
        <f t="shared" si="8"/>
        <v>32686.927998376563</v>
      </c>
      <c r="N40" s="184">
        <f>(M40/$M$42)*$N$43</f>
        <v>25377.419632307843</v>
      </c>
      <c r="O40" s="184">
        <f t="shared" si="10"/>
        <v>27284.086298974511</v>
      </c>
      <c r="P40" s="187">
        <f t="shared" si="11"/>
        <v>317754.76851897454</v>
      </c>
      <c r="Q40" s="197">
        <f t="shared" si="12"/>
        <v>27988.660172102042</v>
      </c>
      <c r="R40" s="198">
        <f t="shared" si="3"/>
        <v>27284.086298974522</v>
      </c>
    </row>
    <row r="41" spans="1:18">
      <c r="A41" s="61"/>
      <c r="B41" s="166" t="s">
        <v>248</v>
      </c>
      <c r="C41" s="167"/>
      <c r="D41" s="148"/>
      <c r="E41" s="148">
        <v>40000</v>
      </c>
      <c r="F41" s="193">
        <v>40000</v>
      </c>
      <c r="G41" s="193">
        <v>40000</v>
      </c>
      <c r="H41" s="168"/>
      <c r="I41" s="169"/>
      <c r="J41" s="145"/>
      <c r="K41" s="140"/>
      <c r="L41" s="141"/>
      <c r="M41" s="141"/>
      <c r="N41" s="141"/>
      <c r="O41" s="141"/>
      <c r="P41" s="188"/>
      <c r="Q41" s="199"/>
    </row>
    <row r="42" spans="1:18">
      <c r="A42" s="87">
        <v>999</v>
      </c>
      <c r="B42" s="146" t="s">
        <v>39</v>
      </c>
      <c r="C42" s="147">
        <f>SUM(C4:C40)</f>
        <v>6000771</v>
      </c>
      <c r="D42" s="148">
        <f t="shared" si="4"/>
        <v>1854.379171817058</v>
      </c>
      <c r="E42" s="149">
        <f>SUM(E4:E41)</f>
        <v>20519884</v>
      </c>
      <c r="F42" s="149">
        <f>SUM(F4:F41)</f>
        <v>20519883.984159999</v>
      </c>
      <c r="G42" s="149">
        <f>SUM(G4:G41)</f>
        <v>20710165.73164</v>
      </c>
      <c r="H42" s="150">
        <f t="shared" ref="H42:O42" si="13">SUM(H4:H40)</f>
        <v>3236</v>
      </c>
      <c r="I42" s="151">
        <f t="shared" si="13"/>
        <v>22068000</v>
      </c>
      <c r="J42" s="171">
        <f>I42-G42</f>
        <v>1357834.2683600001</v>
      </c>
      <c r="K42" s="151">
        <f t="shared" si="13"/>
        <v>129440</v>
      </c>
      <c r="L42" s="151">
        <f t="shared" si="13"/>
        <v>1763172.3780016813</v>
      </c>
      <c r="M42" s="151">
        <f t="shared" si="13"/>
        <v>1633732.3780016813</v>
      </c>
      <c r="N42" s="151">
        <f t="shared" si="13"/>
        <v>1268394.2683600006</v>
      </c>
      <c r="O42" s="151">
        <f t="shared" si="13"/>
        <v>1397834.2683600003</v>
      </c>
      <c r="P42" s="189">
        <f>SUM(P4:P41)</f>
        <v>22067999.999999996</v>
      </c>
      <c r="Q42" s="200"/>
    </row>
    <row r="43" spans="1:18" s="175" customFormat="1" ht="40.5" customHeight="1">
      <c r="A43" s="172"/>
      <c r="B43" s="176" t="s">
        <v>251</v>
      </c>
      <c r="C43" s="170">
        <v>22068000</v>
      </c>
      <c r="D43" s="140"/>
      <c r="E43" s="140"/>
      <c r="F43" s="140"/>
      <c r="G43" s="140"/>
      <c r="H43" s="173"/>
      <c r="I43" s="155" t="s">
        <v>228</v>
      </c>
      <c r="J43" s="174">
        <f>SUMIF(J4:J40,"&lt;0", J4:J40)</f>
        <v>-333058.10964168323</v>
      </c>
      <c r="K43" s="179">
        <v>40</v>
      </c>
      <c r="L43" s="181" t="s">
        <v>250</v>
      </c>
      <c r="M43" s="152"/>
      <c r="N43" s="180">
        <f>C43-G42+G41-K42</f>
        <v>1268394.2683600001</v>
      </c>
      <c r="O43" s="223" t="s">
        <v>249</v>
      </c>
      <c r="P43" s="224"/>
      <c r="Q43" s="201"/>
      <c r="R43" s="202"/>
    </row>
    <row r="44" spans="1:18" s="175" customFormat="1">
      <c r="A44" s="64"/>
      <c r="B44" s="177" t="s">
        <v>229</v>
      </c>
      <c r="C44" s="178">
        <f>C43/H42</f>
        <v>6819.530284301607</v>
      </c>
      <c r="D44" s="140"/>
      <c r="E44" s="153"/>
      <c r="F44" s="153"/>
      <c r="G44" s="153"/>
      <c r="H44" s="154"/>
      <c r="I44" s="155" t="s">
        <v>230</v>
      </c>
      <c r="J44" s="154">
        <f>SUMIF(J4:J40,"&lt;0",H4:H40)</f>
        <v>807</v>
      </c>
      <c r="K44" s="140"/>
      <c r="L44" s="140"/>
      <c r="M44" s="140"/>
      <c r="N44" s="140"/>
      <c r="O44" s="140"/>
      <c r="P44" s="190"/>
      <c r="Q44" s="203"/>
      <c r="R44" s="202"/>
    </row>
    <row r="45" spans="1:18" s="175" customFormat="1">
      <c r="A45" s="41"/>
      <c r="B45" s="36" t="s">
        <v>212</v>
      </c>
      <c r="C45" s="140"/>
      <c r="D45" s="140"/>
      <c r="E45" s="140"/>
      <c r="F45" s="140"/>
      <c r="G45" s="140"/>
      <c r="H45" s="154"/>
      <c r="I45" s="155" t="s">
        <v>231</v>
      </c>
      <c r="J45" s="154">
        <f>H42-J44</f>
        <v>2429</v>
      </c>
      <c r="K45" s="140"/>
      <c r="L45" s="140"/>
      <c r="M45" s="140"/>
      <c r="N45" s="140"/>
      <c r="O45" s="140"/>
      <c r="P45" s="190"/>
      <c r="Q45" s="203"/>
      <c r="R45" s="202"/>
    </row>
  </sheetData>
  <mergeCells count="2">
    <mergeCell ref="B1:P1"/>
    <mergeCell ref="O43:P43"/>
  </mergeCells>
  <conditionalFormatting sqref="D4:D4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H41"/>
  <sheetViews>
    <sheetView showGridLines="0" zoomScaleNormal="100" workbookViewId="0">
      <pane ySplit="2" topLeftCell="A21" activePane="bottomLeft" state="frozen"/>
      <selection activeCell="A3" sqref="A3"/>
      <selection pane="bottomLeft" activeCell="A3" sqref="A3"/>
    </sheetView>
  </sheetViews>
  <sheetFormatPr defaultColWidth="9" defaultRowHeight="15"/>
  <cols>
    <col min="1" max="1" width="6" style="40" customWidth="1"/>
    <col min="2" max="2" width="15.625" style="40" customWidth="1"/>
    <col min="3" max="4" width="11" style="64" customWidth="1"/>
    <col min="5" max="8" width="12.125" style="64" customWidth="1"/>
    <col min="9" max="16384" width="9" style="40"/>
  </cols>
  <sheetData>
    <row r="1" spans="1:8" s="106" customFormat="1" ht="33.75" customHeight="1">
      <c r="A1" s="105" t="s">
        <v>206</v>
      </c>
      <c r="C1" s="111"/>
      <c r="D1" s="111"/>
      <c r="E1" s="111"/>
      <c r="F1" s="112"/>
      <c r="G1" s="113"/>
      <c r="H1" s="111"/>
    </row>
    <row r="2" spans="1:8" s="107" customFormat="1" ht="59.1" customHeight="1">
      <c r="A2" s="108" t="s">
        <v>38</v>
      </c>
      <c r="B2" s="109" t="s">
        <v>0</v>
      </c>
      <c r="C2" s="108" t="s">
        <v>86</v>
      </c>
      <c r="D2" s="108" t="s">
        <v>211</v>
      </c>
      <c r="E2" s="110" t="s">
        <v>207</v>
      </c>
      <c r="F2" s="110" t="s">
        <v>208</v>
      </c>
      <c r="G2" s="110" t="s">
        <v>209</v>
      </c>
      <c r="H2" s="110" t="s">
        <v>210</v>
      </c>
    </row>
    <row r="3" spans="1:8">
      <c r="A3" s="115">
        <v>10</v>
      </c>
      <c r="B3" s="116" t="s">
        <v>1</v>
      </c>
      <c r="C3" s="117">
        <f t="shared" ref="C3:C39" si="0">MAX(D3,E3)</f>
        <v>78</v>
      </c>
      <c r="D3" s="118">
        <f t="shared" ref="D3:D39" si="1">AVERAGE(E3, F3,G3)</f>
        <v>76.333333333333329</v>
      </c>
      <c r="E3" s="119">
        <v>78</v>
      </c>
      <c r="F3" s="120">
        <v>76</v>
      </c>
      <c r="G3" s="120">
        <v>75</v>
      </c>
      <c r="H3" s="117">
        <v>74</v>
      </c>
    </row>
    <row r="4" spans="1:8">
      <c r="A4" s="115">
        <v>23</v>
      </c>
      <c r="B4" s="116" t="s">
        <v>2</v>
      </c>
      <c r="C4" s="117">
        <f t="shared" si="0"/>
        <v>100</v>
      </c>
      <c r="D4" s="118">
        <f t="shared" si="1"/>
        <v>98.666666666666671</v>
      </c>
      <c r="E4" s="119">
        <v>100</v>
      </c>
      <c r="F4" s="120">
        <v>98</v>
      </c>
      <c r="G4" s="120">
        <v>98</v>
      </c>
      <c r="H4" s="117">
        <v>95</v>
      </c>
    </row>
    <row r="5" spans="1:8">
      <c r="A5" s="115">
        <v>26</v>
      </c>
      <c r="B5" s="116" t="s">
        <v>3</v>
      </c>
      <c r="C5" s="117">
        <f t="shared" si="0"/>
        <v>103</v>
      </c>
      <c r="D5" s="118">
        <f t="shared" si="1"/>
        <v>103</v>
      </c>
      <c r="E5" s="119">
        <v>103</v>
      </c>
      <c r="F5" s="120">
        <v>102</v>
      </c>
      <c r="G5" s="120">
        <v>104</v>
      </c>
      <c r="H5" s="117">
        <v>103</v>
      </c>
    </row>
    <row r="6" spans="1:8">
      <c r="A6" s="115">
        <v>40</v>
      </c>
      <c r="B6" s="116" t="s">
        <v>4</v>
      </c>
      <c r="C6" s="117">
        <f t="shared" si="0"/>
        <v>26</v>
      </c>
      <c r="D6" s="118">
        <f t="shared" si="1"/>
        <v>22.666666666666668</v>
      </c>
      <c r="E6" s="119">
        <v>26</v>
      </c>
      <c r="F6" s="120">
        <v>24</v>
      </c>
      <c r="G6" s="120">
        <v>18</v>
      </c>
      <c r="H6" s="117">
        <v>20</v>
      </c>
    </row>
    <row r="7" spans="1:8">
      <c r="A7" s="115">
        <v>46</v>
      </c>
      <c r="B7" s="116" t="s">
        <v>5</v>
      </c>
      <c r="C7" s="117">
        <f t="shared" si="0"/>
        <v>304</v>
      </c>
      <c r="D7" s="118">
        <f t="shared" si="1"/>
        <v>296</v>
      </c>
      <c r="E7" s="119">
        <v>304</v>
      </c>
      <c r="F7" s="120">
        <v>292</v>
      </c>
      <c r="G7" s="120">
        <v>292</v>
      </c>
      <c r="H7" s="117">
        <v>293</v>
      </c>
    </row>
    <row r="8" spans="1:8">
      <c r="A8" s="115">
        <v>65</v>
      </c>
      <c r="B8" s="116" t="s">
        <v>6</v>
      </c>
      <c r="C8" s="117">
        <f t="shared" si="0"/>
        <v>46</v>
      </c>
      <c r="D8" s="118">
        <f t="shared" si="1"/>
        <v>45.666666666666664</v>
      </c>
      <c r="E8" s="119">
        <v>46</v>
      </c>
      <c r="F8" s="120">
        <v>47</v>
      </c>
      <c r="G8" s="120">
        <v>44</v>
      </c>
      <c r="H8" s="117">
        <v>44</v>
      </c>
    </row>
    <row r="9" spans="1:8">
      <c r="A9" s="115">
        <v>67</v>
      </c>
      <c r="B9" s="116" t="s">
        <v>7</v>
      </c>
      <c r="C9" s="117">
        <f t="shared" si="0"/>
        <v>82</v>
      </c>
      <c r="D9" s="118">
        <f t="shared" si="1"/>
        <v>82</v>
      </c>
      <c r="E9" s="119">
        <v>82</v>
      </c>
      <c r="F9" s="120">
        <v>78</v>
      </c>
      <c r="G9" s="120">
        <v>86</v>
      </c>
      <c r="H9" s="117">
        <v>90</v>
      </c>
    </row>
    <row r="10" spans="1:8">
      <c r="A10" s="115">
        <v>78</v>
      </c>
      <c r="B10" s="116" t="s">
        <v>8</v>
      </c>
      <c r="C10" s="117">
        <f t="shared" si="0"/>
        <v>8</v>
      </c>
      <c r="D10" s="118">
        <f t="shared" si="1"/>
        <v>7.666666666666667</v>
      </c>
      <c r="E10" s="119">
        <v>8</v>
      </c>
      <c r="F10" s="120">
        <v>8</v>
      </c>
      <c r="G10" s="120">
        <v>7</v>
      </c>
      <c r="H10" s="117">
        <v>8</v>
      </c>
    </row>
    <row r="11" spans="1:8">
      <c r="A11" s="115">
        <v>87</v>
      </c>
      <c r="B11" s="116" t="s">
        <v>9</v>
      </c>
      <c r="C11" s="117">
        <f t="shared" si="0"/>
        <v>45</v>
      </c>
      <c r="D11" s="118">
        <f t="shared" si="1"/>
        <v>41.666666666666664</v>
      </c>
      <c r="E11" s="119">
        <v>45</v>
      </c>
      <c r="F11" s="120">
        <v>42</v>
      </c>
      <c r="G11" s="120">
        <v>38</v>
      </c>
      <c r="H11" s="117">
        <v>39</v>
      </c>
    </row>
    <row r="12" spans="1:8">
      <c r="A12" s="115">
        <v>99</v>
      </c>
      <c r="B12" s="116" t="s">
        <v>10</v>
      </c>
      <c r="C12" s="117">
        <f t="shared" si="0"/>
        <v>35.666666666666664</v>
      </c>
      <c r="D12" s="118">
        <f t="shared" si="1"/>
        <v>35.666666666666664</v>
      </c>
      <c r="E12" s="119">
        <v>35</v>
      </c>
      <c r="F12" s="120">
        <v>37</v>
      </c>
      <c r="G12" s="120">
        <v>35</v>
      </c>
      <c r="H12" s="117">
        <v>39</v>
      </c>
    </row>
    <row r="13" spans="1:8">
      <c r="A13" s="115">
        <v>131</v>
      </c>
      <c r="B13" s="116" t="s">
        <v>11</v>
      </c>
      <c r="C13" s="117">
        <f t="shared" si="0"/>
        <v>42</v>
      </c>
      <c r="D13" s="118">
        <f t="shared" si="1"/>
        <v>41.333333333333336</v>
      </c>
      <c r="E13" s="119">
        <v>42</v>
      </c>
      <c r="F13" s="120">
        <v>42</v>
      </c>
      <c r="G13" s="120">
        <v>40</v>
      </c>
      <c r="H13" s="117">
        <v>36</v>
      </c>
    </row>
    <row r="14" spans="1:8">
      <c r="A14" s="115">
        <v>155</v>
      </c>
      <c r="B14" s="116" t="s">
        <v>12</v>
      </c>
      <c r="C14" s="117">
        <f t="shared" si="0"/>
        <v>225.66666666666666</v>
      </c>
      <c r="D14" s="118">
        <f t="shared" si="1"/>
        <v>225.66666666666666</v>
      </c>
      <c r="E14" s="119">
        <v>215</v>
      </c>
      <c r="F14" s="120">
        <v>219</v>
      </c>
      <c r="G14" s="120">
        <v>243</v>
      </c>
      <c r="H14" s="117">
        <v>254</v>
      </c>
    </row>
    <row r="15" spans="1:8">
      <c r="A15" s="115">
        <v>157</v>
      </c>
      <c r="B15" s="116" t="s">
        <v>13</v>
      </c>
      <c r="C15" s="117">
        <f t="shared" si="0"/>
        <v>86.666666666666671</v>
      </c>
      <c r="D15" s="118">
        <f t="shared" si="1"/>
        <v>86.666666666666671</v>
      </c>
      <c r="E15" s="119">
        <v>86</v>
      </c>
      <c r="F15" s="120">
        <v>84</v>
      </c>
      <c r="G15" s="120">
        <v>90</v>
      </c>
      <c r="H15" s="117">
        <v>88</v>
      </c>
    </row>
    <row r="16" spans="1:8">
      <c r="A16" s="115">
        <v>159</v>
      </c>
      <c r="B16" s="116" t="s">
        <v>14</v>
      </c>
      <c r="C16" s="117">
        <f t="shared" si="0"/>
        <v>35</v>
      </c>
      <c r="D16" s="118">
        <f t="shared" si="1"/>
        <v>35</v>
      </c>
      <c r="E16" s="119">
        <v>35</v>
      </c>
      <c r="F16" s="120">
        <v>34</v>
      </c>
      <c r="G16" s="120">
        <v>36</v>
      </c>
      <c r="H16" s="117">
        <v>34</v>
      </c>
    </row>
    <row r="17" spans="1:8">
      <c r="A17" s="115">
        <v>164</v>
      </c>
      <c r="B17" s="116" t="s">
        <v>15</v>
      </c>
      <c r="C17" s="117">
        <f t="shared" si="0"/>
        <v>36</v>
      </c>
      <c r="D17" s="118">
        <f t="shared" si="1"/>
        <v>36</v>
      </c>
      <c r="E17" s="119">
        <v>33</v>
      </c>
      <c r="F17" s="120">
        <v>35</v>
      </c>
      <c r="G17" s="120">
        <v>40</v>
      </c>
      <c r="H17" s="117">
        <v>40</v>
      </c>
    </row>
    <row r="18" spans="1:8">
      <c r="A18" s="115">
        <v>168</v>
      </c>
      <c r="B18" s="116" t="s">
        <v>16</v>
      </c>
      <c r="C18" s="117">
        <f t="shared" si="0"/>
        <v>71.333333333333329</v>
      </c>
      <c r="D18" s="118">
        <f t="shared" si="1"/>
        <v>71.333333333333329</v>
      </c>
      <c r="E18" s="119">
        <v>64</v>
      </c>
      <c r="F18" s="120">
        <v>74</v>
      </c>
      <c r="G18" s="120">
        <v>76</v>
      </c>
      <c r="H18" s="117">
        <v>81</v>
      </c>
    </row>
    <row r="19" spans="1:8">
      <c r="A19" s="115">
        <v>178</v>
      </c>
      <c r="B19" s="116" t="s">
        <v>17</v>
      </c>
      <c r="C19" s="117">
        <f t="shared" si="0"/>
        <v>127</v>
      </c>
      <c r="D19" s="118">
        <f t="shared" si="1"/>
        <v>126.33333333333333</v>
      </c>
      <c r="E19" s="119">
        <v>127</v>
      </c>
      <c r="F19" s="120">
        <v>127</v>
      </c>
      <c r="G19" s="120">
        <v>125</v>
      </c>
      <c r="H19" s="117">
        <v>125</v>
      </c>
    </row>
    <row r="20" spans="1:8">
      <c r="A20" s="115">
        <v>198</v>
      </c>
      <c r="B20" s="116" t="s">
        <v>18</v>
      </c>
      <c r="C20" s="117">
        <f t="shared" si="0"/>
        <v>52.666666666666664</v>
      </c>
      <c r="D20" s="118">
        <f t="shared" si="1"/>
        <v>52.666666666666664</v>
      </c>
      <c r="E20" s="119">
        <v>51</v>
      </c>
      <c r="F20" s="120">
        <v>53</v>
      </c>
      <c r="G20" s="120">
        <v>54</v>
      </c>
      <c r="H20" s="117">
        <v>54</v>
      </c>
    </row>
    <row r="21" spans="1:8">
      <c r="A21" s="115">
        <v>199</v>
      </c>
      <c r="B21" s="116" t="s">
        <v>19</v>
      </c>
      <c r="C21" s="117">
        <f t="shared" si="0"/>
        <v>180</v>
      </c>
      <c r="D21" s="118">
        <f t="shared" si="1"/>
        <v>179.33333333333334</v>
      </c>
      <c r="E21" s="119">
        <v>180</v>
      </c>
      <c r="F21" s="120">
        <v>177</v>
      </c>
      <c r="G21" s="120">
        <v>181</v>
      </c>
      <c r="H21" s="117">
        <v>174</v>
      </c>
    </row>
    <row r="22" spans="1:8">
      <c r="A22" s="115">
        <v>207</v>
      </c>
      <c r="B22" s="116" t="s">
        <v>20</v>
      </c>
      <c r="C22" s="117">
        <f t="shared" si="0"/>
        <v>434</v>
      </c>
      <c r="D22" s="118">
        <f t="shared" si="1"/>
        <v>430.66666666666669</v>
      </c>
      <c r="E22" s="119">
        <v>434</v>
      </c>
      <c r="F22" s="120">
        <v>431</v>
      </c>
      <c r="G22" s="120">
        <v>427</v>
      </c>
      <c r="H22" s="117">
        <v>429</v>
      </c>
    </row>
    <row r="23" spans="1:8">
      <c r="A23" s="115">
        <v>246</v>
      </c>
      <c r="B23" s="116" t="s">
        <v>21</v>
      </c>
      <c r="C23" s="117">
        <f t="shared" si="0"/>
        <v>67.666666666666671</v>
      </c>
      <c r="D23" s="118">
        <f t="shared" si="1"/>
        <v>67.666666666666671</v>
      </c>
      <c r="E23" s="119">
        <v>67</v>
      </c>
      <c r="F23" s="120">
        <v>66</v>
      </c>
      <c r="G23" s="120">
        <v>70</v>
      </c>
      <c r="H23" s="117">
        <v>72</v>
      </c>
    </row>
    <row r="24" spans="1:8">
      <c r="A24" s="115">
        <v>264</v>
      </c>
      <c r="B24" s="116" t="s">
        <v>22</v>
      </c>
      <c r="C24" s="117">
        <f t="shared" si="0"/>
        <v>64</v>
      </c>
      <c r="D24" s="118">
        <f t="shared" si="1"/>
        <v>64</v>
      </c>
      <c r="E24" s="119">
        <v>60</v>
      </c>
      <c r="F24" s="120">
        <v>65</v>
      </c>
      <c r="G24" s="120">
        <v>67</v>
      </c>
      <c r="H24" s="117">
        <v>60</v>
      </c>
    </row>
    <row r="25" spans="1:8">
      <c r="A25" s="115">
        <v>266</v>
      </c>
      <c r="B25" s="116" t="s">
        <v>23</v>
      </c>
      <c r="C25" s="117">
        <f t="shared" si="0"/>
        <v>62.333333333333336</v>
      </c>
      <c r="D25" s="118">
        <f t="shared" si="1"/>
        <v>62.333333333333336</v>
      </c>
      <c r="E25" s="119">
        <v>62</v>
      </c>
      <c r="F25" s="120">
        <v>60</v>
      </c>
      <c r="G25" s="120">
        <v>65</v>
      </c>
      <c r="H25" s="117">
        <v>66</v>
      </c>
    </row>
    <row r="26" spans="1:8">
      <c r="A26" s="115">
        <v>269</v>
      </c>
      <c r="B26" s="116" t="s">
        <v>24</v>
      </c>
      <c r="C26" s="117">
        <f t="shared" si="0"/>
        <v>9</v>
      </c>
      <c r="D26" s="118">
        <f t="shared" si="1"/>
        <v>9</v>
      </c>
      <c r="E26" s="119">
        <v>9</v>
      </c>
      <c r="F26" s="120">
        <v>10</v>
      </c>
      <c r="G26" s="120">
        <v>8</v>
      </c>
      <c r="H26" s="117">
        <v>8</v>
      </c>
    </row>
    <row r="27" spans="1:8">
      <c r="A27" s="115">
        <v>288</v>
      </c>
      <c r="B27" s="116" t="s">
        <v>26</v>
      </c>
      <c r="C27" s="117">
        <f t="shared" si="0"/>
        <v>70</v>
      </c>
      <c r="D27" s="118">
        <f t="shared" si="1"/>
        <v>69</v>
      </c>
      <c r="E27" s="119">
        <v>70</v>
      </c>
      <c r="F27" s="120">
        <v>67</v>
      </c>
      <c r="G27" s="120">
        <v>70</v>
      </c>
      <c r="H27" s="117">
        <v>69</v>
      </c>
    </row>
    <row r="28" spans="1:8">
      <c r="A28" s="115">
        <v>291</v>
      </c>
      <c r="B28" s="116" t="s">
        <v>27</v>
      </c>
      <c r="C28" s="117">
        <f t="shared" si="0"/>
        <v>54</v>
      </c>
      <c r="D28" s="118">
        <f t="shared" si="1"/>
        <v>54</v>
      </c>
      <c r="E28" s="119">
        <v>53</v>
      </c>
      <c r="F28" s="120">
        <v>54</v>
      </c>
      <c r="G28" s="120">
        <v>55</v>
      </c>
      <c r="H28" s="117">
        <v>67</v>
      </c>
    </row>
    <row r="29" spans="1:8">
      <c r="A29" s="115">
        <v>305</v>
      </c>
      <c r="B29" s="116" t="s">
        <v>28</v>
      </c>
      <c r="C29" s="117">
        <f t="shared" si="0"/>
        <v>72</v>
      </c>
      <c r="D29" s="118">
        <f t="shared" si="1"/>
        <v>68.333333333333329</v>
      </c>
      <c r="E29" s="119">
        <v>72</v>
      </c>
      <c r="F29" s="120">
        <v>70</v>
      </c>
      <c r="G29" s="120">
        <v>63</v>
      </c>
      <c r="H29" s="117">
        <v>55</v>
      </c>
    </row>
    <row r="30" spans="1:8">
      <c r="A30" s="115">
        <v>307</v>
      </c>
      <c r="B30" s="116" t="s">
        <v>29</v>
      </c>
      <c r="C30" s="117">
        <f t="shared" si="0"/>
        <v>40</v>
      </c>
      <c r="D30" s="118">
        <f t="shared" si="1"/>
        <v>40</v>
      </c>
      <c r="E30" s="119">
        <v>37</v>
      </c>
      <c r="F30" s="120">
        <v>42</v>
      </c>
      <c r="G30" s="120">
        <v>41</v>
      </c>
      <c r="H30" s="117">
        <v>41</v>
      </c>
    </row>
    <row r="31" spans="1:8">
      <c r="A31" s="115">
        <v>315</v>
      </c>
      <c r="B31" s="116" t="s">
        <v>30</v>
      </c>
      <c r="C31" s="117">
        <f t="shared" si="0"/>
        <v>138</v>
      </c>
      <c r="D31" s="118">
        <f t="shared" si="1"/>
        <v>137.66666666666666</v>
      </c>
      <c r="E31" s="119">
        <v>138</v>
      </c>
      <c r="F31" s="120">
        <v>136</v>
      </c>
      <c r="G31" s="120">
        <v>139</v>
      </c>
      <c r="H31" s="117">
        <v>137</v>
      </c>
    </row>
    <row r="32" spans="1:8">
      <c r="A32" s="115">
        <v>317</v>
      </c>
      <c r="B32" s="116" t="s">
        <v>31</v>
      </c>
      <c r="C32" s="117">
        <f t="shared" si="0"/>
        <v>158</v>
      </c>
      <c r="D32" s="118">
        <f t="shared" si="1"/>
        <v>157.33333333333334</v>
      </c>
      <c r="E32" s="119">
        <v>158</v>
      </c>
      <c r="F32" s="120">
        <v>157</v>
      </c>
      <c r="G32" s="120">
        <v>157</v>
      </c>
      <c r="H32" s="117">
        <v>158</v>
      </c>
    </row>
    <row r="33" spans="1:8">
      <c r="A33" s="115">
        <v>330</v>
      </c>
      <c r="B33" s="116" t="s">
        <v>32</v>
      </c>
      <c r="C33" s="117">
        <f t="shared" si="0"/>
        <v>163.33333333333334</v>
      </c>
      <c r="D33" s="118">
        <f t="shared" si="1"/>
        <v>163.33333333333334</v>
      </c>
      <c r="E33" s="119">
        <v>160</v>
      </c>
      <c r="F33" s="120">
        <v>161</v>
      </c>
      <c r="G33" s="120">
        <v>169</v>
      </c>
      <c r="H33" s="117">
        <v>170</v>
      </c>
    </row>
    <row r="34" spans="1:8">
      <c r="A34" s="115">
        <v>335</v>
      </c>
      <c r="B34" s="116" t="s">
        <v>33</v>
      </c>
      <c r="C34" s="117">
        <f t="shared" si="0"/>
        <v>49</v>
      </c>
      <c r="D34" s="118">
        <f t="shared" si="1"/>
        <v>47.666666666666664</v>
      </c>
      <c r="E34" s="119">
        <v>49</v>
      </c>
      <c r="F34" s="120">
        <v>49</v>
      </c>
      <c r="G34" s="120">
        <v>45</v>
      </c>
      <c r="H34" s="117">
        <v>43</v>
      </c>
    </row>
    <row r="35" spans="1:8">
      <c r="A35" s="115">
        <v>640</v>
      </c>
      <c r="B35" s="116" t="s">
        <v>34</v>
      </c>
      <c r="C35" s="117">
        <f t="shared" si="0"/>
        <v>53</v>
      </c>
      <c r="D35" s="118">
        <f t="shared" si="1"/>
        <v>52</v>
      </c>
      <c r="E35" s="119">
        <v>53</v>
      </c>
      <c r="F35" s="120">
        <v>52</v>
      </c>
      <c r="G35" s="120">
        <v>51</v>
      </c>
      <c r="H35" s="117">
        <v>59</v>
      </c>
    </row>
    <row r="36" spans="1:8">
      <c r="A36" s="115">
        <v>655</v>
      </c>
      <c r="B36" s="116" t="s">
        <v>35</v>
      </c>
      <c r="C36" s="117">
        <f t="shared" si="0"/>
        <v>26</v>
      </c>
      <c r="D36" s="118">
        <f t="shared" si="1"/>
        <v>24.333333333333332</v>
      </c>
      <c r="E36" s="119">
        <v>26</v>
      </c>
      <c r="F36" s="120">
        <v>23</v>
      </c>
      <c r="G36" s="120">
        <v>24</v>
      </c>
      <c r="H36" s="117">
        <v>22</v>
      </c>
    </row>
    <row r="37" spans="1:8">
      <c r="A37" s="115">
        <v>680</v>
      </c>
      <c r="B37" s="116" t="s">
        <v>36</v>
      </c>
      <c r="C37" s="117">
        <f t="shared" si="0"/>
        <v>14.666666666666666</v>
      </c>
      <c r="D37" s="118">
        <f t="shared" si="1"/>
        <v>14.666666666666666</v>
      </c>
      <c r="E37" s="119">
        <v>11</v>
      </c>
      <c r="F37" s="120">
        <v>14</v>
      </c>
      <c r="G37" s="120">
        <v>19</v>
      </c>
      <c r="H37" s="117">
        <v>22</v>
      </c>
    </row>
    <row r="38" spans="1:8">
      <c r="A38" s="115">
        <v>695</v>
      </c>
      <c r="B38" s="116" t="s">
        <v>37</v>
      </c>
      <c r="C38" s="117">
        <f t="shared" si="0"/>
        <v>93</v>
      </c>
      <c r="D38" s="118">
        <f t="shared" si="1"/>
        <v>91.666666666666671</v>
      </c>
      <c r="E38" s="119">
        <v>93</v>
      </c>
      <c r="F38" s="120">
        <v>91</v>
      </c>
      <c r="G38" s="120">
        <v>91</v>
      </c>
      <c r="H38" s="117">
        <v>91</v>
      </c>
    </row>
    <row r="39" spans="1:8">
      <c r="A39" s="115">
        <v>766</v>
      </c>
      <c r="B39" s="116" t="s">
        <v>42</v>
      </c>
      <c r="C39" s="117">
        <f t="shared" si="0"/>
        <v>18.666666666666668</v>
      </c>
      <c r="D39" s="118">
        <f t="shared" si="1"/>
        <v>18.666666666666668</v>
      </c>
      <c r="E39" s="119">
        <v>18</v>
      </c>
      <c r="F39" s="120">
        <v>19</v>
      </c>
      <c r="G39" s="120">
        <v>19</v>
      </c>
      <c r="H39" s="117">
        <v>21</v>
      </c>
    </row>
    <row r="40" spans="1:8">
      <c r="A40" s="115">
        <v>999</v>
      </c>
      <c r="B40" s="116" t="s">
        <v>39</v>
      </c>
      <c r="C40" s="117">
        <f>SUM(C3:C39)</f>
        <v>3270.6666666666665</v>
      </c>
      <c r="D40" s="117">
        <f>SUM(D3:D39)</f>
        <v>3235.9999999999995</v>
      </c>
      <c r="E40" s="120">
        <f>SUM(E3:E39)</f>
        <v>3230</v>
      </c>
      <c r="F40" s="120">
        <f>SUM(F3:F39)</f>
        <v>3216</v>
      </c>
      <c r="G40" s="120">
        <f>SUM(G3:G39)</f>
        <v>3262</v>
      </c>
      <c r="H40" s="117">
        <v>3281</v>
      </c>
    </row>
    <row r="41" spans="1:8">
      <c r="A41" s="64"/>
      <c r="C41" s="42"/>
      <c r="D41" s="63"/>
      <c r="E41" s="63"/>
      <c r="F41" s="114"/>
      <c r="G41" s="114"/>
      <c r="H41" s="42"/>
    </row>
  </sheetData>
  <sortState xmlns:xlrd2="http://schemas.microsoft.com/office/spreadsheetml/2017/richdata2" ref="A3:H40">
    <sortCondition ref="A3:A40"/>
  </sortState>
  <pageMargins left="0.45" right="0.17" top="0.61" bottom="1" header="0.3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N52"/>
  <sheetViews>
    <sheetView showGridLines="0" zoomScaleNormal="100" workbookViewId="0">
      <pane ySplit="9" topLeftCell="A10" activePane="bottomLeft" state="frozen"/>
      <selection activeCell="A3" sqref="A3"/>
      <selection pane="bottomLeft" activeCell="A3" sqref="A3"/>
    </sheetView>
  </sheetViews>
  <sheetFormatPr defaultColWidth="9" defaultRowHeight="15"/>
  <cols>
    <col min="1" max="1" width="6" style="36" customWidth="1"/>
    <col min="2" max="2" width="23.875" style="36" customWidth="1"/>
    <col min="3" max="3" width="9.25" style="36" hidden="1" customWidth="1"/>
    <col min="4" max="4" width="9.625" style="36" hidden="1" customWidth="1"/>
    <col min="5" max="5" width="8.25" style="36" hidden="1" customWidth="1"/>
    <col min="6" max="6" width="10.125" style="36" customWidth="1"/>
    <col min="7" max="7" width="8.375" style="57" customWidth="1"/>
    <col min="8" max="8" width="11.875" style="57" customWidth="1"/>
    <col min="9" max="9" width="12.375" style="70" customWidth="1"/>
    <col min="10" max="10" width="13.625" style="57" customWidth="1"/>
    <col min="11" max="11" width="12.375" style="70" customWidth="1"/>
    <col min="12" max="12" width="11.625" style="57" customWidth="1"/>
    <col min="13" max="13" width="9.5" style="36" bestFit="1" customWidth="1"/>
    <col min="14" max="16384" width="9" style="36"/>
  </cols>
  <sheetData>
    <row r="1" spans="1:12" s="1" customFormat="1" ht="33.75" customHeight="1">
      <c r="A1" s="48" t="s">
        <v>238</v>
      </c>
      <c r="B1" s="37"/>
      <c r="C1" s="37"/>
      <c r="D1" s="37"/>
      <c r="E1" s="37"/>
      <c r="F1" s="37"/>
      <c r="G1" s="58"/>
      <c r="H1" s="54"/>
      <c r="I1" s="65"/>
      <c r="J1" s="54"/>
      <c r="K1" s="65"/>
      <c r="L1" s="54"/>
    </row>
    <row r="2" spans="1:12" s="2" customFormat="1" ht="18.75" hidden="1" customHeight="1">
      <c r="A2" s="43"/>
      <c r="B2" s="38"/>
      <c r="C2" s="38"/>
      <c r="D2" s="38"/>
      <c r="E2" s="38"/>
      <c r="F2" s="38"/>
      <c r="G2" s="59"/>
      <c r="H2" s="55"/>
      <c r="I2" s="66"/>
      <c r="J2" s="55"/>
      <c r="K2" s="66"/>
      <c r="L2" s="55"/>
    </row>
    <row r="3" spans="1:12" s="2" customFormat="1" ht="18.75" hidden="1" customHeight="1">
      <c r="A3" s="43"/>
      <c r="B3" s="38"/>
      <c r="C3" s="38"/>
      <c r="D3" s="38"/>
      <c r="E3" s="38"/>
      <c r="F3" s="38"/>
      <c r="G3" s="59"/>
      <c r="H3" s="55"/>
      <c r="I3" s="66"/>
      <c r="J3" s="55"/>
      <c r="K3" s="66"/>
      <c r="L3" s="55"/>
    </row>
    <row r="4" spans="1:12" ht="18.75" hidden="1" customHeight="1">
      <c r="A4" s="39"/>
      <c r="B4" s="41"/>
      <c r="C4" s="41"/>
      <c r="D4" s="41"/>
      <c r="E4" s="41"/>
      <c r="F4" s="41"/>
      <c r="G4" s="44"/>
      <c r="H4" s="49"/>
      <c r="I4" s="67"/>
      <c r="J4" s="49"/>
      <c r="K4" s="67"/>
      <c r="L4" s="49"/>
    </row>
    <row r="5" spans="1:12" ht="18.75" hidden="1" customHeight="1">
      <c r="A5" s="39"/>
      <c r="B5" s="41"/>
      <c r="C5" s="41"/>
      <c r="D5" s="41"/>
      <c r="E5" s="41"/>
      <c r="F5" s="41"/>
      <c r="G5" s="44"/>
      <c r="H5" s="49"/>
      <c r="I5" s="67"/>
      <c r="J5" s="49"/>
      <c r="K5" s="67"/>
      <c r="L5" s="49"/>
    </row>
    <row r="6" spans="1:12" ht="18.75" hidden="1" customHeight="1">
      <c r="A6" s="39"/>
      <c r="B6" s="41"/>
      <c r="C6" s="41"/>
      <c r="D6" s="41"/>
      <c r="E6" s="41"/>
      <c r="F6" s="41"/>
      <c r="G6" s="44"/>
      <c r="H6" s="49"/>
      <c r="I6" s="67"/>
      <c r="J6" s="49"/>
      <c r="K6" s="67"/>
      <c r="L6" s="49"/>
    </row>
    <row r="7" spans="1:12" ht="18.75" hidden="1" customHeight="1">
      <c r="A7" s="39"/>
      <c r="B7" s="41"/>
      <c r="C7" s="41"/>
      <c r="D7" s="41"/>
      <c r="E7" s="41"/>
      <c r="F7" s="41"/>
      <c r="G7" s="44"/>
      <c r="H7" s="49"/>
      <c r="I7" s="67"/>
      <c r="J7" s="49"/>
      <c r="K7" s="67"/>
      <c r="L7" s="49"/>
    </row>
    <row r="8" spans="1:12" ht="30" hidden="1" customHeight="1">
      <c r="A8" s="39"/>
      <c r="B8" s="41"/>
      <c r="C8" s="41"/>
      <c r="D8" s="41"/>
      <c r="E8" s="41"/>
      <c r="F8" s="41"/>
      <c r="G8" s="44"/>
      <c r="H8" s="49"/>
      <c r="I8" s="67"/>
      <c r="J8" s="49"/>
      <c r="K8" s="67"/>
      <c r="L8" s="49"/>
    </row>
    <row r="9" spans="1:12" s="3" customFormat="1" ht="94.5" customHeight="1">
      <c r="A9" s="51" t="s">
        <v>38</v>
      </c>
      <c r="B9" s="52" t="s">
        <v>0</v>
      </c>
      <c r="C9" s="52" t="s">
        <v>87</v>
      </c>
      <c r="D9" s="52" t="s">
        <v>88</v>
      </c>
      <c r="E9" s="52" t="s">
        <v>86</v>
      </c>
      <c r="F9" s="102" t="s">
        <v>135</v>
      </c>
      <c r="G9" s="51" t="s">
        <v>223</v>
      </c>
      <c r="H9" s="53" t="s">
        <v>237</v>
      </c>
      <c r="I9" s="53" t="s">
        <v>134</v>
      </c>
      <c r="J9" s="53" t="s">
        <v>133</v>
      </c>
      <c r="K9" s="68" t="s">
        <v>94</v>
      </c>
      <c r="L9" s="53" t="s">
        <v>89</v>
      </c>
    </row>
    <row r="10" spans="1:12" s="32" customFormat="1">
      <c r="A10" s="61">
        <v>10</v>
      </c>
      <c r="B10" s="40" t="s">
        <v>1</v>
      </c>
      <c r="C10" s="62" t="e">
        <f>L10-#REF!</f>
        <v>#REF!</v>
      </c>
      <c r="D10" s="62">
        <f t="shared" ref="D10:D48" si="0">L10-SUM(I10:J10)</f>
        <v>40010.099383720662</v>
      </c>
      <c r="E10" s="62">
        <f t="shared" ref="E10:E46" si="1">MAX(H10,G10)</f>
        <v>76</v>
      </c>
      <c r="F10" s="42">
        <v>440519</v>
      </c>
      <c r="G10" s="164">
        <v>76</v>
      </c>
      <c r="H10" s="63">
        <v>75</v>
      </c>
      <c r="I10" s="69">
        <v>315209.00743999996</v>
      </c>
      <c r="J10" s="42">
        <f>133844</f>
        <v>133844</v>
      </c>
      <c r="K10" s="69">
        <f>E10*$K$50-I10+20000</f>
        <v>40010.099383720662</v>
      </c>
      <c r="L10" s="42">
        <f t="shared" ref="L10:L48" si="2">SUM(I10:K10)</f>
        <v>489063.10682372062</v>
      </c>
    </row>
    <row r="11" spans="1:12" s="32" customFormat="1">
      <c r="A11" s="61">
        <v>23</v>
      </c>
      <c r="B11" s="40" t="s">
        <v>2</v>
      </c>
      <c r="C11" s="62" t="e">
        <f>L11-#REF!</f>
        <v>#REF!</v>
      </c>
      <c r="D11" s="62">
        <f t="shared" si="0"/>
        <v>25802.49657374504</v>
      </c>
      <c r="E11" s="62">
        <f t="shared" si="1"/>
        <v>98</v>
      </c>
      <c r="F11" s="42">
        <v>622500</v>
      </c>
      <c r="G11" s="164">
        <v>98</v>
      </c>
      <c r="H11" s="63">
        <v>97</v>
      </c>
      <c r="I11" s="69">
        <v>406453.72011999995</v>
      </c>
      <c r="J11" s="42">
        <f>221778</f>
        <v>221778</v>
      </c>
      <c r="K11" s="69">
        <f t="shared" ref="K11:K23" si="3">E11*$K$50-I11</f>
        <v>25802.49657374504</v>
      </c>
      <c r="L11" s="42">
        <f t="shared" si="2"/>
        <v>654034.21669374499</v>
      </c>
    </row>
    <row r="12" spans="1:12" s="32" customFormat="1">
      <c r="A12" s="61">
        <v>26</v>
      </c>
      <c r="B12" s="40" t="s">
        <v>3</v>
      </c>
      <c r="C12" s="62" t="e">
        <f>L12-#REF!</f>
        <v>#REF!</v>
      </c>
      <c r="D12" s="62">
        <f t="shared" si="0"/>
        <v>31266.437420568778</v>
      </c>
      <c r="E12" s="62">
        <f t="shared" si="1"/>
        <v>103</v>
      </c>
      <c r="F12" s="42">
        <v>553916</v>
      </c>
      <c r="G12" s="164">
        <v>102</v>
      </c>
      <c r="H12" s="63">
        <v>103</v>
      </c>
      <c r="I12" s="69">
        <v>423043.66787999996</v>
      </c>
      <c r="J12" s="42">
        <v>128660</v>
      </c>
      <c r="K12" s="69">
        <f t="shared" si="3"/>
        <v>31266.437420568778</v>
      </c>
      <c r="L12" s="42">
        <f t="shared" si="2"/>
        <v>582970.10530056874</v>
      </c>
    </row>
    <row r="13" spans="1:12" s="32" customFormat="1">
      <c r="A13" s="61">
        <v>40</v>
      </c>
      <c r="B13" s="40" t="s">
        <v>4</v>
      </c>
      <c r="C13" s="62" t="e">
        <f>L13-#REF!</f>
        <v>#REF!</v>
      </c>
      <c r="D13" s="62">
        <f t="shared" si="0"/>
        <v>6318.978752753872</v>
      </c>
      <c r="E13" s="62">
        <f t="shared" si="1"/>
        <v>24</v>
      </c>
      <c r="F13" s="42">
        <v>187897</v>
      </c>
      <c r="G13" s="164">
        <v>24</v>
      </c>
      <c r="H13" s="63">
        <v>20.666666666666668</v>
      </c>
      <c r="I13" s="69">
        <v>99539.686560000002</v>
      </c>
      <c r="J13" s="42">
        <v>114295</v>
      </c>
      <c r="K13" s="69">
        <f t="shared" si="3"/>
        <v>6318.978752753872</v>
      </c>
      <c r="L13" s="42">
        <f t="shared" si="2"/>
        <v>220153.66531275387</v>
      </c>
    </row>
    <row r="14" spans="1:12" s="32" customFormat="1">
      <c r="A14" s="61">
        <v>46</v>
      </c>
      <c r="B14" s="40" t="s">
        <v>5</v>
      </c>
      <c r="C14" s="62" t="e">
        <f>L14-#REF!</f>
        <v>#REF!</v>
      </c>
      <c r="D14" s="62">
        <f t="shared" si="0"/>
        <v>78351.167398960562</v>
      </c>
      <c r="E14" s="62">
        <f t="shared" si="1"/>
        <v>292.33333333333331</v>
      </c>
      <c r="F14" s="42">
        <v>1509872</v>
      </c>
      <c r="G14" s="164">
        <v>292</v>
      </c>
      <c r="H14" s="63">
        <v>292.33333333333331</v>
      </c>
      <c r="I14" s="69">
        <v>1211066.1864799999</v>
      </c>
      <c r="J14" s="42">
        <v>315884</v>
      </c>
      <c r="K14" s="69">
        <f t="shared" si="3"/>
        <v>78351.167398960562</v>
      </c>
      <c r="L14" s="42">
        <f t="shared" si="2"/>
        <v>1605301.3538789605</v>
      </c>
    </row>
    <row r="15" spans="1:12" s="32" customFormat="1">
      <c r="A15" s="61">
        <v>65</v>
      </c>
      <c r="B15" s="40" t="s">
        <v>6</v>
      </c>
      <c r="C15" s="62" t="e">
        <f>L15-#REF!</f>
        <v>#REF!</v>
      </c>
      <c r="D15" s="62">
        <f t="shared" si="0"/>
        <v>12374.666724143026</v>
      </c>
      <c r="E15" s="62">
        <f t="shared" si="1"/>
        <v>47</v>
      </c>
      <c r="F15" s="42">
        <v>279996</v>
      </c>
      <c r="G15" s="164">
        <v>47</v>
      </c>
      <c r="H15" s="63">
        <v>45</v>
      </c>
      <c r="I15" s="69">
        <v>194931.88618</v>
      </c>
      <c r="J15" s="42">
        <v>100080</v>
      </c>
      <c r="K15" s="69">
        <f t="shared" si="3"/>
        <v>12374.666724143026</v>
      </c>
      <c r="L15" s="42">
        <f t="shared" si="2"/>
        <v>307386.55290414306</v>
      </c>
    </row>
    <row r="16" spans="1:12" s="32" customFormat="1">
      <c r="A16" s="61">
        <v>67</v>
      </c>
      <c r="B16" s="40" t="s">
        <v>7</v>
      </c>
      <c r="C16" s="62" t="e">
        <f>L16-#REF!</f>
        <v>#REF!</v>
      </c>
      <c r="D16" s="62">
        <f t="shared" si="0"/>
        <v>49941.865755548468</v>
      </c>
      <c r="E16" s="62">
        <f t="shared" si="1"/>
        <v>84.666666666666671</v>
      </c>
      <c r="F16" s="42">
        <v>490253</v>
      </c>
      <c r="G16" s="164">
        <v>78</v>
      </c>
      <c r="H16" s="63">
        <v>84.666666666666671</v>
      </c>
      <c r="I16" s="69">
        <v>323503.98131999996</v>
      </c>
      <c r="J16" s="42">
        <v>138599</v>
      </c>
      <c r="K16" s="69">
        <f t="shared" si="3"/>
        <v>49941.865755548468</v>
      </c>
      <c r="L16" s="42">
        <f t="shared" si="2"/>
        <v>512044.84707554843</v>
      </c>
    </row>
    <row r="17" spans="1:12" s="32" customFormat="1">
      <c r="A17" s="61">
        <v>640</v>
      </c>
      <c r="B17" s="40" t="s">
        <v>34</v>
      </c>
      <c r="C17" s="62" t="e">
        <f>L17-#REF!</f>
        <v>#REF!</v>
      </c>
      <c r="D17" s="62">
        <f t="shared" si="0"/>
        <v>22512.676073696231</v>
      </c>
      <c r="E17" s="62">
        <f t="shared" si="1"/>
        <v>54</v>
      </c>
      <c r="F17" s="42">
        <v>357440</v>
      </c>
      <c r="G17" s="164">
        <v>52</v>
      </c>
      <c r="H17" s="63">
        <v>54</v>
      </c>
      <c r="I17" s="69">
        <v>215669.32087999998</v>
      </c>
      <c r="J17" s="42">
        <v>148901</v>
      </c>
      <c r="K17" s="69">
        <f t="shared" si="3"/>
        <v>22512.676073696261</v>
      </c>
      <c r="L17" s="42">
        <f t="shared" si="2"/>
        <v>387082.99695369625</v>
      </c>
    </row>
    <row r="18" spans="1:12" s="32" customFormat="1">
      <c r="A18" s="61">
        <v>78</v>
      </c>
      <c r="B18" s="40" t="s">
        <v>8</v>
      </c>
      <c r="C18" s="62" t="e">
        <f>L18-#REF!</f>
        <v>#REF!</v>
      </c>
      <c r="D18" s="62">
        <f t="shared" si="0"/>
        <v>2106.3262509179622</v>
      </c>
      <c r="E18" s="62">
        <f t="shared" si="1"/>
        <v>8</v>
      </c>
      <c r="F18" s="42">
        <v>28623</v>
      </c>
      <c r="G18" s="164">
        <v>8</v>
      </c>
      <c r="H18" s="63">
        <v>7.666666666666667</v>
      </c>
      <c r="I18" s="69">
        <v>33179.895519999998</v>
      </c>
      <c r="J18" s="42">
        <v>0</v>
      </c>
      <c r="K18" s="69">
        <f t="shared" si="3"/>
        <v>2106.3262509179622</v>
      </c>
      <c r="L18" s="42">
        <f t="shared" si="2"/>
        <v>35286.22177091796</v>
      </c>
    </row>
    <row r="19" spans="1:12" s="32" customFormat="1">
      <c r="A19" s="61">
        <v>655</v>
      </c>
      <c r="B19" s="40" t="s">
        <v>35</v>
      </c>
      <c r="C19" s="62" t="e">
        <f>L19-#REF!</f>
        <v>#REF!</v>
      </c>
      <c r="D19" s="62">
        <f t="shared" si="0"/>
        <v>6055.6879713891249</v>
      </c>
      <c r="E19" s="62">
        <f t="shared" si="1"/>
        <v>23</v>
      </c>
      <c r="F19" s="42">
        <v>156614</v>
      </c>
      <c r="G19" s="164">
        <v>23</v>
      </c>
      <c r="H19" s="63">
        <v>23</v>
      </c>
      <c r="I19" s="69">
        <v>95392.199619999999</v>
      </c>
      <c r="J19" s="42">
        <v>58478</v>
      </c>
      <c r="K19" s="69">
        <f t="shared" si="3"/>
        <v>6055.6879713891394</v>
      </c>
      <c r="L19" s="42">
        <f t="shared" si="2"/>
        <v>159925.88759138912</v>
      </c>
    </row>
    <row r="20" spans="1:12" s="32" customFormat="1">
      <c r="A20" s="61">
        <v>87</v>
      </c>
      <c r="B20" s="40" t="s">
        <v>9</v>
      </c>
      <c r="C20" s="62" t="e">
        <f>L20-#REF!</f>
        <v>#REF!</v>
      </c>
      <c r="D20" s="62">
        <f t="shared" si="0"/>
        <v>11058.212817319261</v>
      </c>
      <c r="E20" s="62">
        <f t="shared" si="1"/>
        <v>42</v>
      </c>
      <c r="F20" s="42">
        <v>236724</v>
      </c>
      <c r="G20" s="164">
        <v>42</v>
      </c>
      <c r="H20" s="63">
        <v>39.666666666666664</v>
      </c>
      <c r="I20" s="69">
        <v>174194.45147999999</v>
      </c>
      <c r="J20" s="42">
        <v>81342</v>
      </c>
      <c r="K20" s="69">
        <f t="shared" si="3"/>
        <v>11058.21281731929</v>
      </c>
      <c r="L20" s="42">
        <f t="shared" si="2"/>
        <v>266594.66429731925</v>
      </c>
    </row>
    <row r="21" spans="1:12" s="32" customFormat="1">
      <c r="A21" s="61">
        <v>99</v>
      </c>
      <c r="B21" s="40" t="s">
        <v>10</v>
      </c>
      <c r="C21" s="62" t="e">
        <f>L21-#REF!</f>
        <v>#REF!</v>
      </c>
      <c r="D21" s="62">
        <f t="shared" si="0"/>
        <v>9741.758910495555</v>
      </c>
      <c r="E21" s="62">
        <f t="shared" si="1"/>
        <v>37</v>
      </c>
      <c r="F21" s="42">
        <v>227690</v>
      </c>
      <c r="G21" s="164">
        <v>37</v>
      </c>
      <c r="H21" s="63">
        <v>37</v>
      </c>
      <c r="I21" s="69">
        <v>153457.01678000001</v>
      </c>
      <c r="J21" s="42">
        <v>84575</v>
      </c>
      <c r="K21" s="69">
        <f t="shared" si="3"/>
        <v>9741.758910495555</v>
      </c>
      <c r="L21" s="42">
        <f t="shared" si="2"/>
        <v>247773.77569049556</v>
      </c>
    </row>
    <row r="22" spans="1:12" s="32" customFormat="1">
      <c r="A22" s="61">
        <v>680</v>
      </c>
      <c r="B22" s="40" t="s">
        <v>36</v>
      </c>
      <c r="C22" s="62" t="e">
        <f>L22-#REF!</f>
        <v>#REF!</v>
      </c>
      <c r="D22" s="62">
        <f t="shared" si="0"/>
        <v>22799.441065020335</v>
      </c>
      <c r="E22" s="62">
        <f t="shared" si="1"/>
        <v>18.333333333333332</v>
      </c>
      <c r="F22" s="42">
        <v>125467</v>
      </c>
      <c r="G22" s="164">
        <v>14</v>
      </c>
      <c r="H22" s="63">
        <v>18.333333333333332</v>
      </c>
      <c r="I22" s="69">
        <v>58064.817159999999</v>
      </c>
      <c r="J22" s="42">
        <v>47776</v>
      </c>
      <c r="K22" s="69">
        <f t="shared" si="3"/>
        <v>22799.441065020328</v>
      </c>
      <c r="L22" s="42">
        <f t="shared" si="2"/>
        <v>128640.25822502034</v>
      </c>
    </row>
    <row r="23" spans="1:12" s="32" customFormat="1">
      <c r="A23" s="61">
        <v>131</v>
      </c>
      <c r="B23" s="40" t="s">
        <v>11</v>
      </c>
      <c r="C23" s="62" t="e">
        <f>L23-#REF!</f>
        <v>#REF!</v>
      </c>
      <c r="D23" s="62">
        <f t="shared" si="0"/>
        <v>11058.212817319261</v>
      </c>
      <c r="E23" s="62">
        <f t="shared" si="1"/>
        <v>42</v>
      </c>
      <c r="F23" s="42">
        <v>244283</v>
      </c>
      <c r="G23" s="164">
        <v>42</v>
      </c>
      <c r="H23" s="63">
        <v>39.333333333333336</v>
      </c>
      <c r="I23" s="69">
        <v>174194.45147999999</v>
      </c>
      <c r="J23" s="42">
        <v>80723</v>
      </c>
      <c r="K23" s="69">
        <f t="shared" si="3"/>
        <v>11058.21281731929</v>
      </c>
      <c r="L23" s="42">
        <f t="shared" si="2"/>
        <v>265975.66429731925</v>
      </c>
    </row>
    <row r="24" spans="1:12" s="32" customFormat="1">
      <c r="A24" s="61">
        <v>155</v>
      </c>
      <c r="B24" s="40" t="s">
        <v>12</v>
      </c>
      <c r="C24" s="62" t="e">
        <f>L24-#REF!</f>
        <v>#REF!</v>
      </c>
      <c r="D24" s="62">
        <f t="shared" si="0"/>
        <v>164405.976305719</v>
      </c>
      <c r="E24" s="62">
        <f t="shared" si="1"/>
        <v>238.66666666666666</v>
      </c>
      <c r="F24" s="42">
        <v>1518721</v>
      </c>
      <c r="G24" s="164">
        <v>219</v>
      </c>
      <c r="H24" s="63">
        <v>238.66666666666666</v>
      </c>
      <c r="I24" s="69">
        <v>908299.63986</v>
      </c>
      <c r="J24" s="42">
        <f>525094</f>
        <v>525094</v>
      </c>
      <c r="K24" s="69">
        <f>E24*$K$50-I24+20000</f>
        <v>164405.976305719</v>
      </c>
      <c r="L24" s="42">
        <f t="shared" si="2"/>
        <v>1597799.616165719</v>
      </c>
    </row>
    <row r="25" spans="1:12" s="32" customFormat="1">
      <c r="A25" s="61">
        <v>157</v>
      </c>
      <c r="B25" s="40" t="s">
        <v>13</v>
      </c>
      <c r="C25" s="62" t="e">
        <f>L25-#REF!</f>
        <v>#REF!</v>
      </c>
      <c r="D25" s="62">
        <f t="shared" si="0"/>
        <v>36819.018039187766</v>
      </c>
      <c r="E25" s="62">
        <f t="shared" si="1"/>
        <v>87.333333333333329</v>
      </c>
      <c r="F25" s="42">
        <v>529124</v>
      </c>
      <c r="G25" s="164">
        <v>84</v>
      </c>
      <c r="H25" s="63">
        <v>87.333333333333329</v>
      </c>
      <c r="I25" s="69">
        <v>348388.90295999998</v>
      </c>
      <c r="J25" s="42">
        <v>161114</v>
      </c>
      <c r="K25" s="69">
        <f t="shared" ref="K25:K46" si="4">E25*$K$50-I25</f>
        <v>36819.018039187707</v>
      </c>
      <c r="L25" s="42">
        <f t="shared" si="2"/>
        <v>546321.92099918774</v>
      </c>
    </row>
    <row r="26" spans="1:12" s="32" customFormat="1">
      <c r="A26" s="61">
        <v>695</v>
      </c>
      <c r="B26" s="40" t="s">
        <v>37</v>
      </c>
      <c r="C26" s="62" t="e">
        <f>L26-#REF!</f>
        <v>#REF!</v>
      </c>
      <c r="D26" s="62">
        <f t="shared" si="0"/>
        <v>23959.461104191781</v>
      </c>
      <c r="E26" s="62">
        <f t="shared" si="1"/>
        <v>91</v>
      </c>
      <c r="F26" s="42">
        <v>513832</v>
      </c>
      <c r="G26" s="164">
        <v>91</v>
      </c>
      <c r="H26" s="63">
        <v>91</v>
      </c>
      <c r="I26" s="69">
        <v>377421.31153999997</v>
      </c>
      <c r="J26" s="42">
        <v>141733</v>
      </c>
      <c r="K26" s="69">
        <f t="shared" si="4"/>
        <v>23959.46110419184</v>
      </c>
      <c r="L26" s="42">
        <f t="shared" si="2"/>
        <v>543113.77264419175</v>
      </c>
    </row>
    <row r="27" spans="1:12" s="32" customFormat="1">
      <c r="A27" s="61">
        <v>159</v>
      </c>
      <c r="B27" s="40" t="s">
        <v>14</v>
      </c>
      <c r="C27" s="62" t="e">
        <f>L27-#REF!</f>
        <v>#REF!</v>
      </c>
      <c r="D27" s="62">
        <f t="shared" si="0"/>
        <v>11892.405047311157</v>
      </c>
      <c r="E27" s="62">
        <f t="shared" si="1"/>
        <v>34.666666666666664</v>
      </c>
      <c r="F27" s="42">
        <v>220104</v>
      </c>
      <c r="G27" s="164">
        <v>34</v>
      </c>
      <c r="H27" s="63">
        <v>34.666666666666664</v>
      </c>
      <c r="I27" s="69">
        <v>141014.55596</v>
      </c>
      <c r="J27" s="42">
        <v>72900</v>
      </c>
      <c r="K27" s="69">
        <f t="shared" si="4"/>
        <v>11892.405047311157</v>
      </c>
      <c r="L27" s="42">
        <f t="shared" si="2"/>
        <v>225806.96100731115</v>
      </c>
    </row>
    <row r="28" spans="1:12" s="32" customFormat="1">
      <c r="A28" s="61">
        <v>164</v>
      </c>
      <c r="B28" s="40" t="s">
        <v>15</v>
      </c>
      <c r="C28" s="62" t="e">
        <f>L28-#REF!</f>
        <v>#REF!</v>
      </c>
      <c r="D28" s="62">
        <f t="shared" si="0"/>
        <v>23917.769752315246</v>
      </c>
      <c r="E28" s="62">
        <f t="shared" si="1"/>
        <v>38.333333333333336</v>
      </c>
      <c r="F28" s="42">
        <v>235906</v>
      </c>
      <c r="G28" s="164">
        <v>35</v>
      </c>
      <c r="H28" s="63">
        <v>38.333333333333336</v>
      </c>
      <c r="I28" s="69">
        <v>145162.0429</v>
      </c>
      <c r="J28" s="42">
        <v>72346</v>
      </c>
      <c r="K28" s="69">
        <f t="shared" si="4"/>
        <v>23917.769752315246</v>
      </c>
      <c r="L28" s="42">
        <f t="shared" si="2"/>
        <v>241425.81265231525</v>
      </c>
    </row>
    <row r="29" spans="1:12" s="32" customFormat="1">
      <c r="A29" s="61">
        <v>168</v>
      </c>
      <c r="B29" s="40" t="s">
        <v>16</v>
      </c>
      <c r="C29" s="62" t="e">
        <f>L29-#REF!</f>
        <v>#REF!</v>
      </c>
      <c r="D29" s="62">
        <f t="shared" si="0"/>
        <v>32715.850985085359</v>
      </c>
      <c r="E29" s="62">
        <f t="shared" si="1"/>
        <v>77</v>
      </c>
      <c r="F29" s="42">
        <v>469414</v>
      </c>
      <c r="G29" s="164">
        <v>74</v>
      </c>
      <c r="H29" s="63">
        <v>77</v>
      </c>
      <c r="I29" s="69">
        <v>306914.03356000001</v>
      </c>
      <c r="J29" s="42">
        <v>158650</v>
      </c>
      <c r="K29" s="69">
        <f t="shared" si="4"/>
        <v>32715.850985085359</v>
      </c>
      <c r="L29" s="42">
        <f t="shared" si="2"/>
        <v>498279.88454508537</v>
      </c>
    </row>
    <row r="30" spans="1:12" s="32" customFormat="1">
      <c r="A30" s="61">
        <v>178</v>
      </c>
      <c r="B30" s="40" t="s">
        <v>17</v>
      </c>
      <c r="C30" s="62" t="e">
        <f>L30-#REF!</f>
        <v>#REF!</v>
      </c>
      <c r="D30" s="62">
        <f t="shared" si="0"/>
        <v>33437.929233322619</v>
      </c>
      <c r="E30" s="62">
        <f t="shared" si="1"/>
        <v>127</v>
      </c>
      <c r="F30" s="42">
        <v>709113</v>
      </c>
      <c r="G30" s="164">
        <v>127</v>
      </c>
      <c r="H30" s="63">
        <v>125.66666666666667</v>
      </c>
      <c r="I30" s="69">
        <v>526730.84138</v>
      </c>
      <c r="J30" s="42">
        <v>197988</v>
      </c>
      <c r="K30" s="69">
        <f t="shared" si="4"/>
        <v>33437.929233322619</v>
      </c>
      <c r="L30" s="42">
        <f t="shared" si="2"/>
        <v>758156.77061332262</v>
      </c>
    </row>
    <row r="31" spans="1:12" s="32" customFormat="1">
      <c r="A31" s="61">
        <v>198</v>
      </c>
      <c r="B31" s="40" t="s">
        <v>18</v>
      </c>
      <c r="C31" s="62" t="e">
        <f>L31-#REF!</f>
        <v>#REF!</v>
      </c>
      <c r="D31" s="62">
        <f t="shared" si="0"/>
        <v>16894.929893241322</v>
      </c>
      <c r="E31" s="62">
        <f t="shared" si="1"/>
        <v>53.666666666666664</v>
      </c>
      <c r="F31" s="42">
        <v>348164</v>
      </c>
      <c r="G31" s="164">
        <v>53</v>
      </c>
      <c r="H31" s="63">
        <v>53.666666666666664</v>
      </c>
      <c r="I31" s="69">
        <v>219816.80781999999</v>
      </c>
      <c r="J31" s="42">
        <v>127358</v>
      </c>
      <c r="K31" s="69">
        <f t="shared" si="4"/>
        <v>16894.929893241322</v>
      </c>
      <c r="L31" s="42">
        <f t="shared" si="2"/>
        <v>364069.73771324131</v>
      </c>
    </row>
    <row r="32" spans="1:12" s="32" customFormat="1">
      <c r="A32" s="61">
        <v>199</v>
      </c>
      <c r="B32" s="40" t="s">
        <v>19</v>
      </c>
      <c r="C32" s="62" t="e">
        <f>L32-#REF!</f>
        <v>#REF!</v>
      </c>
      <c r="D32" s="62">
        <f t="shared" si="0"/>
        <v>48072.727542015025</v>
      </c>
      <c r="E32" s="62">
        <f t="shared" si="1"/>
        <v>177.33333333333334</v>
      </c>
      <c r="F32" s="42">
        <v>1046266</v>
      </c>
      <c r="G32" s="164">
        <v>177</v>
      </c>
      <c r="H32" s="63">
        <v>177.33333333333334</v>
      </c>
      <c r="I32" s="69">
        <v>734105.18837999995</v>
      </c>
      <c r="J32" s="42">
        <v>306157</v>
      </c>
      <c r="K32" s="69">
        <f t="shared" si="4"/>
        <v>48072.727542014909</v>
      </c>
      <c r="L32" s="42">
        <f t="shared" si="2"/>
        <v>1088334.915922015</v>
      </c>
    </row>
    <row r="33" spans="1:14" s="32" customFormat="1">
      <c r="A33" s="61">
        <v>207</v>
      </c>
      <c r="B33" s="40" t="s">
        <v>20</v>
      </c>
      <c r="C33" s="62" t="e">
        <f>L33-#REF!</f>
        <v>#REF!</v>
      </c>
      <c r="D33" s="62">
        <f t="shared" si="0"/>
        <v>113478.32676820504</v>
      </c>
      <c r="E33" s="62">
        <f t="shared" si="1"/>
        <v>431</v>
      </c>
      <c r="F33" s="42">
        <v>2507466</v>
      </c>
      <c r="G33" s="164">
        <v>431</v>
      </c>
      <c r="H33" s="63">
        <v>429</v>
      </c>
      <c r="I33" s="69">
        <v>1787566.8711399999</v>
      </c>
      <c r="J33" s="42">
        <v>761463</v>
      </c>
      <c r="K33" s="69">
        <f t="shared" si="4"/>
        <v>113478.32676820527</v>
      </c>
      <c r="L33" s="42">
        <f t="shared" si="2"/>
        <v>2662508.197908205</v>
      </c>
    </row>
    <row r="34" spans="1:14" s="32" customFormat="1">
      <c r="A34" s="61">
        <v>246</v>
      </c>
      <c r="B34" s="40" t="s">
        <v>21</v>
      </c>
      <c r="C34" s="62" t="e">
        <f>L34-#REF!</f>
        <v>#REF!</v>
      </c>
      <c r="D34" s="62">
        <f t="shared" si="0"/>
        <v>32079.783974622318</v>
      </c>
      <c r="E34" s="62">
        <f t="shared" si="1"/>
        <v>69.333333333333329</v>
      </c>
      <c r="F34" s="42">
        <v>403630</v>
      </c>
      <c r="G34" s="164">
        <v>66</v>
      </c>
      <c r="H34" s="63">
        <v>69.333333333333329</v>
      </c>
      <c r="I34" s="69">
        <v>273734.13803999999</v>
      </c>
      <c r="J34" s="42">
        <v>117400</v>
      </c>
      <c r="K34" s="69">
        <f t="shared" si="4"/>
        <v>32079.783974622318</v>
      </c>
      <c r="L34" s="42">
        <f t="shared" si="2"/>
        <v>423213.92201462231</v>
      </c>
    </row>
    <row r="35" spans="1:14" s="32" customFormat="1">
      <c r="A35" s="61">
        <v>264</v>
      </c>
      <c r="B35" s="40" t="s">
        <v>22</v>
      </c>
      <c r="C35" s="62" t="e">
        <f>L35-#REF!</f>
        <v>#REF!</v>
      </c>
      <c r="D35" s="62">
        <f t="shared" si="0"/>
        <v>17113.900788708474</v>
      </c>
      <c r="E35" s="62">
        <f t="shared" si="1"/>
        <v>65</v>
      </c>
      <c r="F35" s="42">
        <v>447500</v>
      </c>
      <c r="G35" s="164">
        <v>65</v>
      </c>
      <c r="H35" s="63">
        <v>64</v>
      </c>
      <c r="I35" s="69">
        <v>269586.65109999996</v>
      </c>
      <c r="J35" s="42">
        <v>173537</v>
      </c>
      <c r="K35" s="69">
        <f t="shared" si="4"/>
        <v>17113.900788708474</v>
      </c>
      <c r="L35" s="42">
        <f t="shared" si="2"/>
        <v>460237.55188870843</v>
      </c>
    </row>
    <row r="36" spans="1:14" s="32" customFormat="1">
      <c r="A36" s="61">
        <v>266</v>
      </c>
      <c r="B36" s="40" t="s">
        <v>23</v>
      </c>
      <c r="C36" s="62" t="e">
        <f>L36-#REF!</f>
        <v>#REF!</v>
      </c>
      <c r="D36" s="62">
        <f t="shared" si="0"/>
        <v>31970.298526888771</v>
      </c>
      <c r="E36" s="62">
        <f t="shared" si="1"/>
        <v>63.666666666666664</v>
      </c>
      <c r="F36" s="42">
        <v>431171</v>
      </c>
      <c r="G36" s="164">
        <v>60</v>
      </c>
      <c r="H36" s="63">
        <v>63.666666666666664</v>
      </c>
      <c r="I36" s="69">
        <v>248849.21639999998</v>
      </c>
      <c r="J36" s="42">
        <v>165386</v>
      </c>
      <c r="K36" s="69">
        <f t="shared" si="4"/>
        <v>31970.298526888771</v>
      </c>
      <c r="L36" s="42">
        <f t="shared" si="2"/>
        <v>446205.51492688875</v>
      </c>
    </row>
    <row r="37" spans="1:14" s="32" customFormat="1">
      <c r="A37" s="61">
        <v>269</v>
      </c>
      <c r="B37" s="40" t="s">
        <v>24</v>
      </c>
      <c r="C37" s="62" t="e">
        <f>L37-#REF!</f>
        <v>#REF!</v>
      </c>
      <c r="D37" s="62">
        <f t="shared" si="0"/>
        <v>2632.9078136474564</v>
      </c>
      <c r="E37" s="62">
        <f t="shared" si="1"/>
        <v>10</v>
      </c>
      <c r="F37" s="42">
        <v>32712</v>
      </c>
      <c r="G37" s="164">
        <v>10</v>
      </c>
      <c r="H37" s="63">
        <v>8.6666666666666661</v>
      </c>
      <c r="I37" s="69">
        <v>41474.869399999996</v>
      </c>
      <c r="J37" s="42">
        <v>0</v>
      </c>
      <c r="K37" s="69">
        <f t="shared" si="4"/>
        <v>2632.9078136474564</v>
      </c>
      <c r="L37" s="42">
        <f t="shared" si="2"/>
        <v>44107.777213647452</v>
      </c>
    </row>
    <row r="38" spans="1:14" s="32" customFormat="1">
      <c r="A38" s="61">
        <v>766</v>
      </c>
      <c r="B38" s="40" t="s">
        <v>42</v>
      </c>
      <c r="C38" s="62" t="e">
        <f>L38-#REF!</f>
        <v>#REF!</v>
      </c>
      <c r="D38" s="62">
        <f t="shared" si="0"/>
        <v>7943.0433268400084</v>
      </c>
      <c r="E38" s="62">
        <f t="shared" si="1"/>
        <v>19.666666666666668</v>
      </c>
      <c r="F38" s="42">
        <v>136660</v>
      </c>
      <c r="G38" s="164">
        <v>19</v>
      </c>
      <c r="H38" s="63">
        <v>19.666666666666668</v>
      </c>
      <c r="I38" s="69">
        <v>78802.251859999989</v>
      </c>
      <c r="J38" s="42">
        <v>58969</v>
      </c>
      <c r="K38" s="69">
        <f t="shared" si="4"/>
        <v>7943.0433268400084</v>
      </c>
      <c r="L38" s="42">
        <f t="shared" si="2"/>
        <v>145714.29518684</v>
      </c>
    </row>
    <row r="39" spans="1:14" s="32" customFormat="1">
      <c r="A39" s="61">
        <v>288</v>
      </c>
      <c r="B39" s="40" t="s">
        <v>26</v>
      </c>
      <c r="C39" s="62" t="e">
        <f>L39-#REF!</f>
        <v>#REF!</v>
      </c>
      <c r="D39" s="62">
        <f t="shared" si="0"/>
        <v>24991.778553712531</v>
      </c>
      <c r="E39" s="62">
        <f t="shared" si="1"/>
        <v>68.666666666666671</v>
      </c>
      <c r="F39" s="42">
        <v>456789</v>
      </c>
      <c r="G39" s="164">
        <v>67</v>
      </c>
      <c r="H39" s="63">
        <v>68.666666666666671</v>
      </c>
      <c r="I39" s="69">
        <v>277881.62497999996</v>
      </c>
      <c r="J39" s="42">
        <v>170559</v>
      </c>
      <c r="K39" s="69">
        <f t="shared" si="4"/>
        <v>24991.778553712531</v>
      </c>
      <c r="L39" s="42">
        <f t="shared" si="2"/>
        <v>473432.4035337125</v>
      </c>
    </row>
    <row r="40" spans="1:14" s="32" customFormat="1">
      <c r="A40" s="61">
        <v>291</v>
      </c>
      <c r="B40" s="40" t="s">
        <v>27</v>
      </c>
      <c r="C40" s="62" t="e">
        <f>L40-#REF!</f>
        <v>#REF!</v>
      </c>
      <c r="D40" s="62">
        <f t="shared" si="0"/>
        <v>34801.331560065039</v>
      </c>
      <c r="E40" s="62">
        <f t="shared" si="1"/>
        <v>58.666666666666664</v>
      </c>
      <c r="F40" s="42">
        <v>369698</v>
      </c>
      <c r="G40" s="164">
        <v>54</v>
      </c>
      <c r="H40" s="63">
        <v>58.666666666666664</v>
      </c>
      <c r="I40" s="69">
        <v>223964.29475999999</v>
      </c>
      <c r="J40" s="42">
        <v>144803</v>
      </c>
      <c r="K40" s="69">
        <f t="shared" si="4"/>
        <v>34801.331560065039</v>
      </c>
      <c r="L40" s="42">
        <f t="shared" si="2"/>
        <v>403568.626320065</v>
      </c>
    </row>
    <row r="41" spans="1:14" s="32" customFormat="1">
      <c r="A41" s="61">
        <v>305</v>
      </c>
      <c r="B41" s="40" t="s">
        <v>28</v>
      </c>
      <c r="C41" s="62" t="e">
        <f>L41-#REF!</f>
        <v>#REF!</v>
      </c>
      <c r="D41" s="62">
        <f t="shared" si="0"/>
        <v>18430.35469553218</v>
      </c>
      <c r="E41" s="62">
        <f t="shared" si="1"/>
        <v>70</v>
      </c>
      <c r="F41" s="42">
        <v>338016</v>
      </c>
      <c r="G41" s="164">
        <v>70</v>
      </c>
      <c r="H41" s="63">
        <v>62.666666666666664</v>
      </c>
      <c r="I41" s="69">
        <v>290324.0858</v>
      </c>
      <c r="J41" s="42">
        <v>80409</v>
      </c>
      <c r="K41" s="69">
        <f t="shared" si="4"/>
        <v>18430.35469553218</v>
      </c>
      <c r="L41" s="42">
        <f t="shared" si="2"/>
        <v>389163.44049553218</v>
      </c>
    </row>
    <row r="42" spans="1:14" s="32" customFormat="1">
      <c r="A42" s="61">
        <v>307</v>
      </c>
      <c r="B42" s="40" t="s">
        <v>29</v>
      </c>
      <c r="C42" s="62" t="e">
        <f>L42-#REF!</f>
        <v>#REF!</v>
      </c>
      <c r="D42" s="62">
        <f t="shared" si="0"/>
        <v>11058.212817319261</v>
      </c>
      <c r="E42" s="62">
        <f t="shared" si="1"/>
        <v>42</v>
      </c>
      <c r="F42" s="42">
        <v>276242</v>
      </c>
      <c r="G42" s="164">
        <v>42</v>
      </c>
      <c r="H42" s="63">
        <v>41.333333333333336</v>
      </c>
      <c r="I42" s="69">
        <v>174194.45147999999</v>
      </c>
      <c r="J42" s="42">
        <v>108593</v>
      </c>
      <c r="K42" s="69">
        <f t="shared" si="4"/>
        <v>11058.21281731929</v>
      </c>
      <c r="L42" s="42">
        <f t="shared" si="2"/>
        <v>293845.66429731925</v>
      </c>
    </row>
    <row r="43" spans="1:14" s="32" customFormat="1">
      <c r="A43" s="61">
        <v>315</v>
      </c>
      <c r="B43" s="40" t="s">
        <v>30</v>
      </c>
      <c r="C43" s="62" t="e">
        <f>L43-#REF!</f>
        <v>#REF!</v>
      </c>
      <c r="D43" s="62">
        <f t="shared" si="0"/>
        <v>41688.583227424999</v>
      </c>
      <c r="E43" s="62">
        <f t="shared" si="1"/>
        <v>137.33333333333334</v>
      </c>
      <c r="F43" s="42">
        <v>754493</v>
      </c>
      <c r="G43" s="164">
        <v>136</v>
      </c>
      <c r="H43" s="63">
        <v>137.33333333333334</v>
      </c>
      <c r="I43" s="69">
        <v>564058.22383999999</v>
      </c>
      <c r="J43" s="42">
        <v>186122</v>
      </c>
      <c r="K43" s="69">
        <f t="shared" si="4"/>
        <v>41688.583227424999</v>
      </c>
      <c r="L43" s="42">
        <f t="shared" si="2"/>
        <v>791868.80706742499</v>
      </c>
    </row>
    <row r="44" spans="1:14" s="32" customFormat="1">
      <c r="A44" s="61">
        <v>317</v>
      </c>
      <c r="B44" s="40" t="s">
        <v>31</v>
      </c>
      <c r="C44" s="62" t="e">
        <f>L44-#REF!</f>
        <v>#REF!</v>
      </c>
      <c r="D44" s="62">
        <f t="shared" si="0"/>
        <v>42806.911914719967</v>
      </c>
      <c r="E44" s="62">
        <f t="shared" si="1"/>
        <v>157.33333333333334</v>
      </c>
      <c r="F44" s="42">
        <v>915836</v>
      </c>
      <c r="G44" s="164">
        <v>157</v>
      </c>
      <c r="H44" s="63">
        <v>157.33333333333334</v>
      </c>
      <c r="I44" s="69">
        <v>651155.44958000001</v>
      </c>
      <c r="J44" s="42">
        <v>273863</v>
      </c>
      <c r="K44" s="69">
        <f t="shared" si="4"/>
        <v>42806.911914719967</v>
      </c>
      <c r="L44" s="42">
        <f t="shared" si="2"/>
        <v>967825.36149471998</v>
      </c>
    </row>
    <row r="45" spans="1:14" s="32" customFormat="1">
      <c r="A45" s="61">
        <v>330</v>
      </c>
      <c r="B45" s="40" t="s">
        <v>32</v>
      </c>
      <c r="C45" s="62" t="e">
        <f>L45-#REF!</f>
        <v>#REF!</v>
      </c>
      <c r="D45" s="62">
        <f t="shared" si="0"/>
        <v>67384.222887457581</v>
      </c>
      <c r="E45" s="62">
        <f t="shared" si="1"/>
        <v>166.66666666666666</v>
      </c>
      <c r="F45" s="42">
        <v>958795</v>
      </c>
      <c r="G45" s="164">
        <v>161</v>
      </c>
      <c r="H45" s="63">
        <v>166.66666666666666</v>
      </c>
      <c r="I45" s="69">
        <v>667745.39733999991</v>
      </c>
      <c r="J45" s="42">
        <v>267754</v>
      </c>
      <c r="K45" s="69">
        <f t="shared" si="4"/>
        <v>67384.222887457581</v>
      </c>
      <c r="L45" s="42">
        <f t="shared" si="2"/>
        <v>1002883.6202274575</v>
      </c>
    </row>
    <row r="46" spans="1:14" s="32" customFormat="1">
      <c r="A46" s="61">
        <v>335</v>
      </c>
      <c r="B46" s="40" t="s">
        <v>33</v>
      </c>
      <c r="C46" s="62" t="e">
        <f>L46-#REF!</f>
        <v>#REF!</v>
      </c>
      <c r="D46" s="62">
        <f t="shared" si="0"/>
        <v>12901.24828687252</v>
      </c>
      <c r="E46" s="62">
        <f t="shared" si="1"/>
        <v>49</v>
      </c>
      <c r="F46" s="42">
        <v>257643</v>
      </c>
      <c r="G46" s="164">
        <v>49</v>
      </c>
      <c r="H46" s="63">
        <v>45.666666666666664</v>
      </c>
      <c r="I46" s="69">
        <v>203226.86005999998</v>
      </c>
      <c r="J46" s="42">
        <v>73638</v>
      </c>
      <c r="K46" s="69">
        <f t="shared" si="4"/>
        <v>12901.24828687252</v>
      </c>
      <c r="L46" s="42">
        <f t="shared" si="2"/>
        <v>289766.1083468725</v>
      </c>
    </row>
    <row r="47" spans="1:14" s="32" customFormat="1">
      <c r="A47" s="87">
        <v>999</v>
      </c>
      <c r="B47" s="88" t="s">
        <v>39</v>
      </c>
      <c r="C47" s="89">
        <f>L47-F47</f>
        <v>1180795.0000000037</v>
      </c>
      <c r="D47" s="89">
        <f t="shared" si="0"/>
        <v>1180795.0009600036</v>
      </c>
      <c r="E47" s="89">
        <f>SUM(E10:E46)</f>
        <v>3282.6666666666661</v>
      </c>
      <c r="F47" s="42">
        <f>SUM(F10:F46)</f>
        <v>19339089</v>
      </c>
      <c r="G47" s="90">
        <f>SUM(G10:G46)</f>
        <v>3216</v>
      </c>
      <c r="H47" s="91">
        <v>3253</v>
      </c>
      <c r="I47" s="92">
        <f>SUM(I10:I46)</f>
        <v>13338317.99904</v>
      </c>
      <c r="J47" s="93">
        <f>SUM(J10:J46)</f>
        <v>6000771</v>
      </c>
      <c r="K47" s="93">
        <f>SUM(K10:K46)</f>
        <v>1180795.0009600041</v>
      </c>
      <c r="L47" s="93">
        <f t="shared" si="2"/>
        <v>20519884.000000004</v>
      </c>
      <c r="M47" s="76"/>
      <c r="N47" s="76"/>
    </row>
    <row r="48" spans="1:14" s="32" customFormat="1">
      <c r="A48" s="80">
        <v>281</v>
      </c>
      <c r="B48" s="81" t="s">
        <v>25</v>
      </c>
      <c r="C48" s="82" t="e">
        <f>L48-#REF!</f>
        <v>#REF!</v>
      </c>
      <c r="D48" s="62">
        <f t="shared" si="0"/>
        <v>3245</v>
      </c>
      <c r="E48" s="82">
        <v>0</v>
      </c>
      <c r="F48" s="42">
        <v>44453</v>
      </c>
      <c r="G48" s="83">
        <v>0</v>
      </c>
      <c r="H48" s="84">
        <v>0</v>
      </c>
      <c r="I48" s="85">
        <v>44453</v>
      </c>
      <c r="J48" s="86">
        <v>0</v>
      </c>
      <c r="K48" s="85">
        <v>3245</v>
      </c>
      <c r="L48" s="86">
        <f t="shared" si="2"/>
        <v>47698</v>
      </c>
    </row>
    <row r="49" spans="1:13" s="32" customFormat="1">
      <c r="A49" s="64" t="s">
        <v>93</v>
      </c>
      <c r="B49" s="40" t="s">
        <v>91</v>
      </c>
      <c r="C49" s="62"/>
      <c r="D49" s="62"/>
      <c r="E49" s="62"/>
      <c r="F49" s="40"/>
      <c r="G49" s="61"/>
      <c r="H49" s="42"/>
      <c r="I49" s="69"/>
      <c r="J49" s="42"/>
      <c r="K49" s="69"/>
      <c r="L49" s="42">
        <v>1615000</v>
      </c>
    </row>
    <row r="50" spans="1:13" ht="15.75" hidden="1" thickBot="1">
      <c r="A50" s="45"/>
      <c r="B50" s="46"/>
      <c r="C50" s="46"/>
      <c r="D50" s="46"/>
      <c r="E50" s="46"/>
      <c r="F50" s="47"/>
      <c r="G50" s="60" t="s">
        <v>85</v>
      </c>
      <c r="H50" s="56"/>
      <c r="I50" s="50"/>
      <c r="J50" s="47"/>
      <c r="K50" s="50">
        <f>(22182582-6000771-40000-47698-1615000)/E47</f>
        <v>4410.777721364745</v>
      </c>
      <c r="L50" s="47"/>
      <c r="M50" s="75"/>
    </row>
    <row r="51" spans="1:13" s="99" customFormat="1" ht="18" customHeight="1">
      <c r="A51" s="95" t="s">
        <v>92</v>
      </c>
      <c r="B51" s="95"/>
      <c r="C51" s="95"/>
      <c r="D51" s="95"/>
      <c r="E51" s="95"/>
      <c r="F51" s="100"/>
      <c r="G51" s="96"/>
      <c r="H51" s="97"/>
      <c r="I51" s="98"/>
      <c r="J51" s="97"/>
      <c r="K51" s="98"/>
      <c r="L51" s="94">
        <f>SUM(L47:L49)</f>
        <v>22182582.000000004</v>
      </c>
    </row>
    <row r="52" spans="1:13">
      <c r="A52" s="36" t="s">
        <v>95</v>
      </c>
    </row>
  </sheetData>
  <autoFilter ref="A9:L47" xr:uid="{00000000-0009-0000-0000-000004000000}">
    <sortState xmlns:xlrd2="http://schemas.microsoft.com/office/spreadsheetml/2017/richdata2" ref="A10:K48">
      <sortCondition ref="B9:B48"/>
    </sortState>
  </autoFilter>
  <pageMargins left="0.45" right="0.17" top="0.61" bottom="1" header="0.35" footer="0.5"/>
  <pageSetup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2"/>
  <sheetViews>
    <sheetView workbookViewId="0">
      <selection activeCell="A3" sqref="A3"/>
    </sheetView>
  </sheetViews>
  <sheetFormatPr defaultRowHeight="15.75"/>
  <cols>
    <col min="1" max="1" width="65.25" style="35" customWidth="1"/>
    <col min="2" max="2" width="12.375" style="35" bestFit="1" customWidth="1"/>
    <col min="3" max="3" width="9" style="35"/>
    <col min="4" max="4" width="14.125" style="35" customWidth="1"/>
    <col min="5" max="16384" width="9" style="35"/>
  </cols>
  <sheetData>
    <row r="1" spans="1:8">
      <c r="A1" s="73" t="s">
        <v>246</v>
      </c>
    </row>
    <row r="2" spans="1:8" ht="177.75" customHeight="1">
      <c r="A2" s="220" t="s">
        <v>245</v>
      </c>
      <c r="B2" s="220"/>
      <c r="C2" s="72"/>
      <c r="D2" s="72"/>
      <c r="E2" s="72"/>
      <c r="F2" s="72"/>
      <c r="G2" s="72"/>
      <c r="H2" s="72"/>
    </row>
    <row r="3" spans="1:8">
      <c r="D3" s="33"/>
    </row>
    <row r="4" spans="1:8">
      <c r="A4" s="74" t="s">
        <v>244</v>
      </c>
      <c r="B4" s="77">
        <v>22182582</v>
      </c>
      <c r="D4" s="33"/>
    </row>
    <row r="5" spans="1:8">
      <c r="A5" s="36" t="s">
        <v>243</v>
      </c>
      <c r="B5" s="71">
        <f>'FY19 grant final'!I47</f>
        <v>13338317.99904</v>
      </c>
      <c r="D5" s="33"/>
    </row>
    <row r="6" spans="1:8">
      <c r="A6" s="36" t="s">
        <v>90</v>
      </c>
      <c r="B6" s="71">
        <f>'FY19 grant final'!J47</f>
        <v>6000771</v>
      </c>
      <c r="D6" s="33"/>
    </row>
    <row r="7" spans="1:8">
      <c r="A7" s="36" t="s">
        <v>242</v>
      </c>
      <c r="B7" s="71">
        <f>'FY19 grant final'!K47</f>
        <v>1180795.0009600041</v>
      </c>
      <c r="D7" s="33"/>
    </row>
    <row r="8" spans="1:8">
      <c r="A8" s="36" t="s">
        <v>241</v>
      </c>
      <c r="B8" s="71">
        <f>1500000+47698+115000</f>
        <v>1662698</v>
      </c>
      <c r="D8" s="33"/>
    </row>
    <row r="9" spans="1:8">
      <c r="A9" s="78" t="s">
        <v>240</v>
      </c>
      <c r="B9" s="79">
        <f>SUM(B5:B8)</f>
        <v>22182582.000000004</v>
      </c>
      <c r="D9" s="34"/>
    </row>
    <row r="10" spans="1:8">
      <c r="D10" s="34"/>
    </row>
    <row r="11" spans="1:8" ht="96.75" customHeight="1">
      <c r="A11" s="221" t="s">
        <v>239</v>
      </c>
      <c r="B11" s="221"/>
    </row>
    <row r="12" spans="1:8">
      <c r="A12" s="165"/>
      <c r="B12" s="101">
        <f>(22182582-1500000-115000-47698-6000771-40000)/3282.66667</f>
        <v>4410.7777168858875</v>
      </c>
    </row>
  </sheetData>
  <mergeCells count="2">
    <mergeCell ref="A2:B2"/>
    <mergeCell ref="A11:B11"/>
  </mergeCells>
  <hyperlinks>
    <hyperlink ref="A1" r:id="rId1" xr:uid="{00000000-0004-0000-0500-000000000000}"/>
  </hyperlinks>
  <pageMargins left="0.7" right="0.7" top="0.75" bottom="0.75" header="0.3" footer="0.3"/>
  <pageSetup scale="7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8"/>
  <sheetViews>
    <sheetView workbookViewId="0">
      <pane ySplit="1" topLeftCell="A2" activePane="bottomLeft" state="frozen"/>
      <selection pane="bottomLeft"/>
    </sheetView>
  </sheetViews>
  <sheetFormatPr defaultColWidth="9" defaultRowHeight="15"/>
  <cols>
    <col min="1" max="1" width="14" style="104" bestFit="1" customWidth="1"/>
    <col min="2" max="2" width="11.875" style="104" bestFit="1" customWidth="1"/>
    <col min="3" max="3" width="11.375" style="104" bestFit="1" customWidth="1"/>
    <col min="4" max="4" width="42.5" style="104" bestFit="1" customWidth="1"/>
    <col min="5" max="5" width="7.75" style="104" bestFit="1" customWidth="1"/>
    <col min="6" max="6" width="8.875" style="104" bestFit="1" customWidth="1"/>
    <col min="7" max="7" width="7.125" style="104" bestFit="1" customWidth="1"/>
    <col min="8" max="8" width="9.5" style="104" bestFit="1" customWidth="1"/>
    <col min="9" max="9" width="9.75" style="104" bestFit="1" customWidth="1"/>
    <col min="10" max="10" width="10.25" style="104" bestFit="1" customWidth="1"/>
    <col min="11" max="11" width="9.75" style="104" bestFit="1" customWidth="1"/>
    <col min="12" max="12" width="9.875" style="104" bestFit="1" customWidth="1"/>
    <col min="13" max="13" width="9.375" style="104" bestFit="1" customWidth="1"/>
    <col min="14" max="14" width="10.5" style="104" bestFit="1" customWidth="1"/>
    <col min="15" max="15" width="10" style="104" bestFit="1" customWidth="1"/>
    <col min="16" max="27" width="10.75" style="104" bestFit="1" customWidth="1"/>
    <col min="28" max="28" width="10.875" style="104" bestFit="1" customWidth="1"/>
    <col min="29" max="16384" width="9" style="104"/>
  </cols>
  <sheetData>
    <row r="1" spans="1:28">
      <c r="A1" s="103" t="s">
        <v>139</v>
      </c>
      <c r="B1" s="103" t="s">
        <v>140</v>
      </c>
      <c r="C1" s="103" t="s">
        <v>141</v>
      </c>
      <c r="D1" s="103" t="s">
        <v>142</v>
      </c>
      <c r="E1" s="104" t="s">
        <v>143</v>
      </c>
      <c r="F1" s="104" t="s">
        <v>144</v>
      </c>
      <c r="G1" s="104" t="s">
        <v>145</v>
      </c>
      <c r="H1" s="104" t="s">
        <v>146</v>
      </c>
      <c r="I1" s="104" t="s">
        <v>147</v>
      </c>
      <c r="J1" s="104" t="s">
        <v>148</v>
      </c>
      <c r="K1" s="104" t="s">
        <v>149</v>
      </c>
      <c r="L1" s="104" t="s">
        <v>150</v>
      </c>
      <c r="M1" s="104" t="s">
        <v>151</v>
      </c>
      <c r="N1" s="104" t="s">
        <v>152</v>
      </c>
      <c r="O1" s="104" t="s">
        <v>153</v>
      </c>
      <c r="P1" s="104" t="s">
        <v>154</v>
      </c>
      <c r="Q1" s="104" t="s">
        <v>155</v>
      </c>
      <c r="R1" s="104" t="s">
        <v>156</v>
      </c>
      <c r="S1" s="104" t="s">
        <v>157</v>
      </c>
      <c r="T1" s="104" t="s">
        <v>158</v>
      </c>
      <c r="U1" s="104" t="s">
        <v>159</v>
      </c>
      <c r="V1" s="104" t="s">
        <v>160</v>
      </c>
      <c r="W1" s="104" t="s">
        <v>161</v>
      </c>
      <c r="X1" s="104" t="s">
        <v>162</v>
      </c>
      <c r="Y1" s="104" t="s">
        <v>163</v>
      </c>
      <c r="Z1" s="104" t="s">
        <v>164</v>
      </c>
      <c r="AA1" s="104" t="s">
        <v>165</v>
      </c>
      <c r="AB1" s="104" t="s">
        <v>166</v>
      </c>
    </row>
    <row r="2" spans="1:28">
      <c r="A2" s="103" t="s">
        <v>167</v>
      </c>
      <c r="B2" s="103" t="s">
        <v>168</v>
      </c>
      <c r="C2" s="103" t="s">
        <v>169</v>
      </c>
      <c r="D2" s="103" t="s">
        <v>96</v>
      </c>
      <c r="E2" s="104">
        <v>78</v>
      </c>
      <c r="F2" s="104">
        <v>36</v>
      </c>
      <c r="G2" s="104">
        <v>42</v>
      </c>
      <c r="H2" s="104">
        <v>63</v>
      </c>
      <c r="I2" s="104">
        <v>11</v>
      </c>
      <c r="J2" s="104">
        <v>1</v>
      </c>
      <c r="K2" s="104">
        <v>3</v>
      </c>
      <c r="L2" s="104">
        <v>0</v>
      </c>
      <c r="M2" s="104">
        <v>0</v>
      </c>
      <c r="N2" s="104">
        <v>0</v>
      </c>
      <c r="O2" s="104">
        <v>6</v>
      </c>
      <c r="P2" s="104">
        <v>8</v>
      </c>
      <c r="Q2" s="104">
        <v>0</v>
      </c>
      <c r="R2" s="104">
        <v>3</v>
      </c>
      <c r="S2" s="104">
        <v>7</v>
      </c>
      <c r="T2" s="104">
        <v>6</v>
      </c>
      <c r="U2" s="104">
        <v>9</v>
      </c>
      <c r="V2" s="104">
        <v>4</v>
      </c>
      <c r="W2" s="104">
        <v>8</v>
      </c>
      <c r="X2" s="104">
        <v>4</v>
      </c>
      <c r="Y2" s="104">
        <v>9</v>
      </c>
      <c r="Z2" s="104">
        <v>6</v>
      </c>
      <c r="AA2" s="104">
        <v>8</v>
      </c>
      <c r="AB2" s="104">
        <v>0</v>
      </c>
    </row>
    <row r="3" spans="1:28">
      <c r="A3" s="103" t="s">
        <v>167</v>
      </c>
      <c r="B3" s="103" t="s">
        <v>168</v>
      </c>
      <c r="C3" s="103" t="s">
        <v>170</v>
      </c>
      <c r="D3" s="103" t="s">
        <v>97</v>
      </c>
      <c r="E3" s="104">
        <v>100</v>
      </c>
      <c r="F3" s="104">
        <v>50</v>
      </c>
      <c r="G3" s="104">
        <v>50</v>
      </c>
      <c r="H3" s="104">
        <v>80</v>
      </c>
      <c r="I3" s="104">
        <v>15</v>
      </c>
      <c r="J3" s="104">
        <v>2</v>
      </c>
      <c r="K3" s="104">
        <v>1</v>
      </c>
      <c r="L3" s="104">
        <v>0</v>
      </c>
      <c r="M3" s="104">
        <v>1</v>
      </c>
      <c r="N3" s="104">
        <v>1</v>
      </c>
      <c r="O3" s="104">
        <v>9</v>
      </c>
      <c r="P3" s="104">
        <v>6</v>
      </c>
      <c r="Q3" s="104">
        <v>5</v>
      </c>
      <c r="R3" s="104">
        <v>4</v>
      </c>
      <c r="S3" s="104">
        <v>6</v>
      </c>
      <c r="T3" s="104">
        <v>7</v>
      </c>
      <c r="U3" s="104">
        <v>7</v>
      </c>
      <c r="V3" s="104">
        <v>12</v>
      </c>
      <c r="W3" s="104">
        <v>10</v>
      </c>
      <c r="X3" s="104">
        <v>11</v>
      </c>
      <c r="Y3" s="104">
        <v>6</v>
      </c>
      <c r="Z3" s="104">
        <v>8</v>
      </c>
      <c r="AA3" s="104">
        <v>9</v>
      </c>
      <c r="AB3" s="104">
        <v>0</v>
      </c>
    </row>
    <row r="4" spans="1:28">
      <c r="A4" s="103" t="s">
        <v>167</v>
      </c>
      <c r="B4" s="103" t="s">
        <v>168</v>
      </c>
      <c r="C4" s="103" t="s">
        <v>171</v>
      </c>
      <c r="D4" s="103" t="s">
        <v>98</v>
      </c>
      <c r="E4" s="104">
        <v>103</v>
      </c>
      <c r="F4" s="104">
        <v>49</v>
      </c>
      <c r="G4" s="104">
        <v>54</v>
      </c>
      <c r="H4" s="104">
        <v>73</v>
      </c>
      <c r="I4" s="104">
        <v>19</v>
      </c>
      <c r="J4" s="104">
        <v>6</v>
      </c>
      <c r="K4" s="104">
        <v>2</v>
      </c>
      <c r="L4" s="104">
        <v>0</v>
      </c>
      <c r="M4" s="104">
        <v>0</v>
      </c>
      <c r="N4" s="104">
        <v>3</v>
      </c>
      <c r="O4" s="104">
        <v>9</v>
      </c>
      <c r="P4" s="104">
        <v>8</v>
      </c>
      <c r="Q4" s="104">
        <v>6</v>
      </c>
      <c r="R4" s="104">
        <v>5</v>
      </c>
      <c r="S4" s="104">
        <v>8</v>
      </c>
      <c r="T4" s="104">
        <v>6</v>
      </c>
      <c r="U4" s="104">
        <v>10</v>
      </c>
      <c r="V4" s="104">
        <v>4</v>
      </c>
      <c r="W4" s="104">
        <v>9</v>
      </c>
      <c r="X4" s="104">
        <v>7</v>
      </c>
      <c r="Y4" s="104">
        <v>10</v>
      </c>
      <c r="Z4" s="104">
        <v>10</v>
      </c>
      <c r="AA4" s="104">
        <v>11</v>
      </c>
      <c r="AB4" s="104">
        <v>0</v>
      </c>
    </row>
    <row r="5" spans="1:28">
      <c r="A5" s="103" t="s">
        <v>167</v>
      </c>
      <c r="B5" s="103" t="s">
        <v>168</v>
      </c>
      <c r="C5" s="103" t="s">
        <v>172</v>
      </c>
      <c r="D5" s="103" t="s">
        <v>99</v>
      </c>
      <c r="E5" s="104">
        <v>26</v>
      </c>
      <c r="F5" s="104">
        <v>13</v>
      </c>
      <c r="G5" s="104">
        <v>13</v>
      </c>
      <c r="H5" s="104">
        <v>18</v>
      </c>
      <c r="I5" s="104">
        <v>7</v>
      </c>
      <c r="J5" s="104">
        <v>1</v>
      </c>
      <c r="K5" s="104">
        <v>0</v>
      </c>
      <c r="L5" s="104">
        <v>0</v>
      </c>
      <c r="M5" s="104">
        <v>0</v>
      </c>
      <c r="N5" s="104">
        <v>0</v>
      </c>
      <c r="O5" s="104">
        <v>0</v>
      </c>
      <c r="P5" s="104">
        <v>1</v>
      </c>
      <c r="Q5" s="104">
        <v>1</v>
      </c>
      <c r="R5" s="104">
        <v>1</v>
      </c>
      <c r="S5" s="104">
        <v>3</v>
      </c>
      <c r="T5" s="104">
        <v>3</v>
      </c>
      <c r="U5" s="104">
        <v>3</v>
      </c>
      <c r="V5" s="104">
        <v>2</v>
      </c>
      <c r="W5" s="104">
        <v>1</v>
      </c>
      <c r="X5" s="104">
        <v>3</v>
      </c>
      <c r="Y5" s="104">
        <v>3</v>
      </c>
      <c r="Z5" s="104">
        <v>1</v>
      </c>
      <c r="AA5" s="104">
        <v>4</v>
      </c>
      <c r="AB5" s="104">
        <v>0</v>
      </c>
    </row>
    <row r="6" spans="1:28">
      <c r="A6" s="103" t="s">
        <v>167</v>
      </c>
      <c r="B6" s="103" t="s">
        <v>168</v>
      </c>
      <c r="C6" s="103" t="s">
        <v>173</v>
      </c>
      <c r="D6" s="103" t="s">
        <v>100</v>
      </c>
      <c r="E6" s="104">
        <v>304</v>
      </c>
      <c r="F6" s="104">
        <v>168</v>
      </c>
      <c r="G6" s="104">
        <v>135</v>
      </c>
      <c r="H6" s="104">
        <v>194</v>
      </c>
      <c r="I6" s="104">
        <v>80</v>
      </c>
      <c r="J6" s="104">
        <v>18</v>
      </c>
      <c r="K6" s="104">
        <v>8</v>
      </c>
      <c r="L6" s="104">
        <v>0</v>
      </c>
      <c r="M6" s="104">
        <v>0</v>
      </c>
      <c r="N6" s="104">
        <v>4</v>
      </c>
      <c r="O6" s="104">
        <v>22</v>
      </c>
      <c r="P6" s="104">
        <v>34</v>
      </c>
      <c r="Q6" s="104">
        <v>27</v>
      </c>
      <c r="R6" s="104">
        <v>25</v>
      </c>
      <c r="S6" s="104">
        <v>22</v>
      </c>
      <c r="T6" s="104">
        <v>18</v>
      </c>
      <c r="U6" s="104">
        <v>23</v>
      </c>
      <c r="V6" s="104">
        <v>20</v>
      </c>
      <c r="W6" s="104">
        <v>21</v>
      </c>
      <c r="X6" s="104">
        <v>18</v>
      </c>
      <c r="Y6" s="104">
        <v>31</v>
      </c>
      <c r="Z6" s="104">
        <v>24</v>
      </c>
      <c r="AA6" s="104">
        <v>19</v>
      </c>
      <c r="AB6" s="104">
        <v>0</v>
      </c>
    </row>
    <row r="7" spans="1:28">
      <c r="A7" s="103" t="s">
        <v>167</v>
      </c>
      <c r="B7" s="103" t="s">
        <v>168</v>
      </c>
      <c r="C7" s="103" t="s">
        <v>174</v>
      </c>
      <c r="D7" s="103" t="s">
        <v>101</v>
      </c>
      <c r="E7" s="104">
        <v>46</v>
      </c>
      <c r="F7" s="104">
        <v>32</v>
      </c>
      <c r="G7" s="104">
        <v>14</v>
      </c>
      <c r="H7" s="104">
        <v>37</v>
      </c>
      <c r="I7" s="104">
        <v>3</v>
      </c>
      <c r="J7" s="104">
        <v>3</v>
      </c>
      <c r="K7" s="104">
        <v>0</v>
      </c>
      <c r="L7" s="104">
        <v>0</v>
      </c>
      <c r="M7" s="104">
        <v>1</v>
      </c>
      <c r="N7" s="104">
        <v>2</v>
      </c>
      <c r="O7" s="104">
        <v>1</v>
      </c>
      <c r="P7" s="104">
        <v>5</v>
      </c>
      <c r="Q7" s="104">
        <v>5</v>
      </c>
      <c r="R7" s="104">
        <v>5</v>
      </c>
      <c r="S7" s="104">
        <v>6</v>
      </c>
      <c r="T7" s="104">
        <v>2</v>
      </c>
      <c r="U7" s="104">
        <v>4</v>
      </c>
      <c r="V7" s="104">
        <v>4</v>
      </c>
      <c r="W7" s="104">
        <v>3</v>
      </c>
      <c r="X7" s="104">
        <v>3</v>
      </c>
      <c r="Y7" s="104">
        <v>2</v>
      </c>
      <c r="Z7" s="104">
        <v>3</v>
      </c>
      <c r="AA7" s="104">
        <v>3</v>
      </c>
      <c r="AB7" s="104">
        <v>0</v>
      </c>
    </row>
    <row r="8" spans="1:28">
      <c r="A8" s="103" t="s">
        <v>167</v>
      </c>
      <c r="B8" s="103" t="s">
        <v>168</v>
      </c>
      <c r="C8" s="103" t="s">
        <v>175</v>
      </c>
      <c r="D8" s="103" t="s">
        <v>102</v>
      </c>
      <c r="E8" s="104">
        <v>82</v>
      </c>
      <c r="F8" s="104">
        <v>46</v>
      </c>
      <c r="G8" s="104">
        <v>36</v>
      </c>
      <c r="H8" s="104">
        <v>60</v>
      </c>
      <c r="I8" s="104">
        <v>20</v>
      </c>
      <c r="J8" s="104">
        <v>1</v>
      </c>
      <c r="K8" s="104">
        <v>1</v>
      </c>
      <c r="L8" s="104">
        <v>0</v>
      </c>
      <c r="M8" s="104">
        <v>0</v>
      </c>
      <c r="N8" s="104">
        <v>0</v>
      </c>
      <c r="O8" s="104">
        <v>10</v>
      </c>
      <c r="P8" s="104">
        <v>10</v>
      </c>
      <c r="Q8" s="104">
        <v>7</v>
      </c>
      <c r="R8" s="104">
        <v>9</v>
      </c>
      <c r="S8" s="104">
        <v>5</v>
      </c>
      <c r="T8" s="104">
        <v>6</v>
      </c>
      <c r="U8" s="104">
        <v>11</v>
      </c>
      <c r="V8" s="104">
        <v>13</v>
      </c>
      <c r="W8" s="104">
        <v>11</v>
      </c>
      <c r="X8" s="104">
        <v>0</v>
      </c>
      <c r="Y8" s="104">
        <v>0</v>
      </c>
      <c r="Z8" s="104">
        <v>0</v>
      </c>
      <c r="AA8" s="104">
        <v>0</v>
      </c>
      <c r="AB8" s="104">
        <v>0</v>
      </c>
    </row>
    <row r="9" spans="1:28">
      <c r="A9" s="103" t="s">
        <v>167</v>
      </c>
      <c r="B9" s="103" t="s">
        <v>168</v>
      </c>
      <c r="C9" s="103" t="s">
        <v>176</v>
      </c>
      <c r="D9" s="103" t="s">
        <v>104</v>
      </c>
      <c r="E9" s="104">
        <v>8</v>
      </c>
      <c r="F9" s="104">
        <v>3</v>
      </c>
      <c r="G9" s="104">
        <v>5</v>
      </c>
      <c r="H9" s="104">
        <v>7</v>
      </c>
      <c r="I9" s="104">
        <v>1</v>
      </c>
      <c r="J9" s="104">
        <v>0</v>
      </c>
      <c r="K9" s="104">
        <v>0</v>
      </c>
      <c r="L9" s="104">
        <v>0</v>
      </c>
      <c r="M9" s="104">
        <v>0</v>
      </c>
      <c r="N9" s="104">
        <v>0</v>
      </c>
      <c r="O9" s="104">
        <v>2</v>
      </c>
      <c r="P9" s="104">
        <v>2</v>
      </c>
      <c r="Q9" s="104">
        <v>0</v>
      </c>
      <c r="R9" s="104">
        <v>0</v>
      </c>
      <c r="S9" s="104">
        <v>1</v>
      </c>
      <c r="T9" s="104">
        <v>3</v>
      </c>
      <c r="U9" s="104">
        <v>0</v>
      </c>
      <c r="V9" s="104">
        <v>0</v>
      </c>
      <c r="W9" s="104">
        <v>0</v>
      </c>
      <c r="X9" s="104">
        <v>0</v>
      </c>
      <c r="Y9" s="104">
        <v>0</v>
      </c>
      <c r="Z9" s="104">
        <v>0</v>
      </c>
      <c r="AA9" s="104">
        <v>0</v>
      </c>
      <c r="AB9" s="104">
        <v>0</v>
      </c>
    </row>
    <row r="10" spans="1:28">
      <c r="A10" s="103" t="s">
        <v>167</v>
      </c>
      <c r="B10" s="103" t="s">
        <v>168</v>
      </c>
      <c r="C10" s="103" t="s">
        <v>177</v>
      </c>
      <c r="D10" s="103" t="s">
        <v>107</v>
      </c>
      <c r="E10" s="104">
        <v>35</v>
      </c>
      <c r="F10" s="104">
        <v>18</v>
      </c>
      <c r="G10" s="104">
        <v>17</v>
      </c>
      <c r="H10" s="104">
        <v>24</v>
      </c>
      <c r="I10" s="104">
        <v>10</v>
      </c>
      <c r="J10" s="104">
        <v>0</v>
      </c>
      <c r="K10" s="104">
        <v>0</v>
      </c>
      <c r="L10" s="104">
        <v>0</v>
      </c>
      <c r="M10" s="104">
        <v>1</v>
      </c>
      <c r="N10" s="104">
        <v>0</v>
      </c>
      <c r="O10" s="104">
        <v>0</v>
      </c>
      <c r="P10" s="104">
        <v>0</v>
      </c>
      <c r="Q10" s="104">
        <v>0</v>
      </c>
      <c r="R10" s="104">
        <v>0</v>
      </c>
      <c r="S10" s="104">
        <v>0</v>
      </c>
      <c r="T10" s="104">
        <v>2</v>
      </c>
      <c r="U10" s="104">
        <v>5</v>
      </c>
      <c r="V10" s="104">
        <v>4</v>
      </c>
      <c r="W10" s="104">
        <v>5</v>
      </c>
      <c r="X10" s="104">
        <v>5</v>
      </c>
      <c r="Y10" s="104">
        <v>3</v>
      </c>
      <c r="Z10" s="104">
        <v>8</v>
      </c>
      <c r="AA10" s="104">
        <v>3</v>
      </c>
      <c r="AB10" s="104">
        <v>0</v>
      </c>
    </row>
    <row r="11" spans="1:28">
      <c r="A11" s="103" t="s">
        <v>167</v>
      </c>
      <c r="B11" s="103" t="s">
        <v>168</v>
      </c>
      <c r="C11" s="103" t="s">
        <v>178</v>
      </c>
      <c r="D11" s="103" t="s">
        <v>109</v>
      </c>
      <c r="E11" s="104">
        <v>42</v>
      </c>
      <c r="F11" s="104">
        <v>19</v>
      </c>
      <c r="G11" s="104">
        <v>23</v>
      </c>
      <c r="H11" s="104">
        <v>27</v>
      </c>
      <c r="I11" s="104">
        <v>13</v>
      </c>
      <c r="J11" s="104">
        <v>1</v>
      </c>
      <c r="K11" s="104">
        <v>0</v>
      </c>
      <c r="L11" s="104">
        <v>0</v>
      </c>
      <c r="M11" s="104">
        <v>0</v>
      </c>
      <c r="N11" s="104">
        <v>1</v>
      </c>
      <c r="O11" s="104">
        <v>0</v>
      </c>
      <c r="P11" s="104">
        <v>4</v>
      </c>
      <c r="Q11" s="104">
        <v>5</v>
      </c>
      <c r="R11" s="104">
        <v>3</v>
      </c>
      <c r="S11" s="104">
        <v>7</v>
      </c>
      <c r="T11" s="104">
        <v>0</v>
      </c>
      <c r="U11" s="104">
        <v>1</v>
      </c>
      <c r="V11" s="104">
        <v>10</v>
      </c>
      <c r="W11" s="104">
        <v>3</v>
      </c>
      <c r="X11" s="104">
        <v>4</v>
      </c>
      <c r="Y11" s="104">
        <v>1</v>
      </c>
      <c r="Z11" s="104">
        <v>1</v>
      </c>
      <c r="AA11" s="104">
        <v>3</v>
      </c>
      <c r="AB11" s="104">
        <v>0</v>
      </c>
    </row>
    <row r="12" spans="1:28">
      <c r="A12" s="103" t="s">
        <v>167</v>
      </c>
      <c r="B12" s="103" t="s">
        <v>168</v>
      </c>
      <c r="C12" s="103" t="s">
        <v>179</v>
      </c>
      <c r="D12" s="103" t="s">
        <v>110</v>
      </c>
      <c r="E12" s="104">
        <v>215</v>
      </c>
      <c r="F12" s="104">
        <v>127</v>
      </c>
      <c r="G12" s="104">
        <v>88</v>
      </c>
      <c r="H12" s="104">
        <v>162</v>
      </c>
      <c r="I12" s="104">
        <v>44</v>
      </c>
      <c r="J12" s="104">
        <v>5</v>
      </c>
      <c r="K12" s="104">
        <v>4</v>
      </c>
      <c r="L12" s="104">
        <v>0</v>
      </c>
      <c r="M12" s="104">
        <v>0</v>
      </c>
      <c r="N12" s="104">
        <v>0</v>
      </c>
      <c r="O12" s="104">
        <v>11</v>
      </c>
      <c r="P12" s="104">
        <v>15</v>
      </c>
      <c r="Q12" s="104">
        <v>20</v>
      </c>
      <c r="R12" s="104">
        <v>18</v>
      </c>
      <c r="S12" s="104">
        <v>26</v>
      </c>
      <c r="T12" s="104">
        <v>21</v>
      </c>
      <c r="U12" s="104">
        <v>14</v>
      </c>
      <c r="V12" s="104">
        <v>26</v>
      </c>
      <c r="W12" s="104">
        <v>6</v>
      </c>
      <c r="X12" s="104">
        <v>22</v>
      </c>
      <c r="Y12" s="104">
        <v>12</v>
      </c>
      <c r="Z12" s="104">
        <v>14</v>
      </c>
      <c r="AA12" s="104">
        <v>10</v>
      </c>
      <c r="AB12" s="104">
        <v>0</v>
      </c>
    </row>
    <row r="13" spans="1:28">
      <c r="A13" s="103" t="s">
        <v>167</v>
      </c>
      <c r="B13" s="103" t="s">
        <v>168</v>
      </c>
      <c r="C13" s="103" t="s">
        <v>180</v>
      </c>
      <c r="D13" s="103" t="s">
        <v>111</v>
      </c>
      <c r="E13" s="104">
        <v>86</v>
      </c>
      <c r="F13" s="104">
        <v>49</v>
      </c>
      <c r="G13" s="104">
        <v>37</v>
      </c>
      <c r="H13" s="104">
        <v>46</v>
      </c>
      <c r="I13" s="104">
        <v>35</v>
      </c>
      <c r="J13" s="104">
        <v>4</v>
      </c>
      <c r="K13" s="104">
        <v>1</v>
      </c>
      <c r="L13" s="104">
        <v>0</v>
      </c>
      <c r="M13" s="104">
        <v>0</v>
      </c>
      <c r="N13" s="104">
        <v>0</v>
      </c>
      <c r="O13" s="104">
        <v>13</v>
      </c>
      <c r="P13" s="104">
        <v>14</v>
      </c>
      <c r="Q13" s="104">
        <v>13</v>
      </c>
      <c r="R13" s="104">
        <v>10</v>
      </c>
      <c r="S13" s="104">
        <v>11</v>
      </c>
      <c r="T13" s="104">
        <v>6</v>
      </c>
      <c r="U13" s="104">
        <v>8</v>
      </c>
      <c r="V13" s="104">
        <v>6</v>
      </c>
      <c r="W13" s="104">
        <v>5</v>
      </c>
      <c r="X13" s="104">
        <v>0</v>
      </c>
      <c r="Y13" s="104">
        <v>0</v>
      </c>
      <c r="Z13" s="104">
        <v>0</v>
      </c>
      <c r="AA13" s="104">
        <v>0</v>
      </c>
      <c r="AB13" s="104">
        <v>0</v>
      </c>
    </row>
    <row r="14" spans="1:28">
      <c r="A14" s="103" t="s">
        <v>167</v>
      </c>
      <c r="B14" s="103" t="s">
        <v>168</v>
      </c>
      <c r="C14" s="103" t="s">
        <v>181</v>
      </c>
      <c r="D14" s="103" t="s">
        <v>114</v>
      </c>
      <c r="E14" s="104">
        <v>33</v>
      </c>
      <c r="F14" s="104">
        <v>14</v>
      </c>
      <c r="G14" s="104">
        <v>19</v>
      </c>
      <c r="H14" s="104">
        <v>23</v>
      </c>
      <c r="I14" s="104">
        <v>9</v>
      </c>
      <c r="J14" s="104">
        <v>1</v>
      </c>
      <c r="K14" s="104">
        <v>0</v>
      </c>
      <c r="L14" s="104">
        <v>0</v>
      </c>
      <c r="M14" s="104">
        <v>0</v>
      </c>
      <c r="N14" s="104">
        <v>0</v>
      </c>
      <c r="O14" s="104">
        <v>0</v>
      </c>
      <c r="P14" s="104">
        <v>1</v>
      </c>
      <c r="Q14" s="104">
        <v>3</v>
      </c>
      <c r="R14" s="104">
        <v>3</v>
      </c>
      <c r="S14" s="104">
        <v>4</v>
      </c>
      <c r="T14" s="104">
        <v>3</v>
      </c>
      <c r="U14" s="104">
        <v>2</v>
      </c>
      <c r="V14" s="104">
        <v>4</v>
      </c>
      <c r="W14" s="104">
        <v>3</v>
      </c>
      <c r="X14" s="104">
        <v>1</v>
      </c>
      <c r="Y14" s="104">
        <v>2</v>
      </c>
      <c r="Z14" s="104">
        <v>3</v>
      </c>
      <c r="AA14" s="104">
        <v>4</v>
      </c>
      <c r="AB14" s="104">
        <v>0</v>
      </c>
    </row>
    <row r="15" spans="1:28">
      <c r="A15" s="103" t="s">
        <v>167</v>
      </c>
      <c r="B15" s="103" t="s">
        <v>168</v>
      </c>
      <c r="C15" s="103" t="s">
        <v>182</v>
      </c>
      <c r="D15" s="103" t="s">
        <v>115</v>
      </c>
      <c r="E15" s="104">
        <v>64</v>
      </c>
      <c r="F15" s="104">
        <v>30</v>
      </c>
      <c r="G15" s="104">
        <v>34</v>
      </c>
      <c r="H15" s="104">
        <v>50</v>
      </c>
      <c r="I15" s="104">
        <v>12</v>
      </c>
      <c r="J15" s="104">
        <v>2</v>
      </c>
      <c r="K15" s="104">
        <v>0</v>
      </c>
      <c r="L15" s="104">
        <v>0</v>
      </c>
      <c r="M15" s="104">
        <v>0</v>
      </c>
      <c r="N15" s="104">
        <v>0</v>
      </c>
      <c r="O15" s="104">
        <v>0</v>
      </c>
      <c r="P15" s="104">
        <v>3</v>
      </c>
      <c r="Q15" s="104">
        <v>1</v>
      </c>
      <c r="R15" s="104">
        <v>2</v>
      </c>
      <c r="S15" s="104">
        <v>8</v>
      </c>
      <c r="T15" s="104">
        <v>5</v>
      </c>
      <c r="U15" s="104">
        <v>3</v>
      </c>
      <c r="V15" s="104">
        <v>10</v>
      </c>
      <c r="W15" s="104">
        <v>8</v>
      </c>
      <c r="X15" s="104">
        <v>4</v>
      </c>
      <c r="Y15" s="104">
        <v>6</v>
      </c>
      <c r="Z15" s="104">
        <v>5</v>
      </c>
      <c r="AA15" s="104">
        <v>9</v>
      </c>
      <c r="AB15" s="104">
        <v>0</v>
      </c>
    </row>
    <row r="16" spans="1:28">
      <c r="A16" s="103" t="s">
        <v>167</v>
      </c>
      <c r="B16" s="103" t="s">
        <v>168</v>
      </c>
      <c r="C16" s="103" t="s">
        <v>183</v>
      </c>
      <c r="D16" s="103" t="s">
        <v>116</v>
      </c>
      <c r="E16" s="104">
        <v>127</v>
      </c>
      <c r="F16" s="104">
        <v>69</v>
      </c>
      <c r="G16" s="104">
        <v>58</v>
      </c>
      <c r="H16" s="104">
        <v>98</v>
      </c>
      <c r="I16" s="104">
        <v>22</v>
      </c>
      <c r="J16" s="104">
        <v>6</v>
      </c>
      <c r="K16" s="104">
        <v>0</v>
      </c>
      <c r="L16" s="104">
        <v>0</v>
      </c>
      <c r="M16" s="104">
        <v>0</v>
      </c>
      <c r="N16" s="104">
        <v>1</v>
      </c>
      <c r="O16" s="104">
        <v>4</v>
      </c>
      <c r="P16" s="104">
        <v>5</v>
      </c>
      <c r="Q16" s="104">
        <v>9</v>
      </c>
      <c r="R16" s="104">
        <v>3</v>
      </c>
      <c r="S16" s="104">
        <v>7</v>
      </c>
      <c r="T16" s="104">
        <v>14</v>
      </c>
      <c r="U16" s="104">
        <v>10</v>
      </c>
      <c r="V16" s="104">
        <v>20</v>
      </c>
      <c r="W16" s="104">
        <v>11</v>
      </c>
      <c r="X16" s="104">
        <v>7</v>
      </c>
      <c r="Y16" s="104">
        <v>6</v>
      </c>
      <c r="Z16" s="104">
        <v>15</v>
      </c>
      <c r="AA16" s="104">
        <v>16</v>
      </c>
      <c r="AB16" s="104">
        <v>0</v>
      </c>
    </row>
    <row r="17" spans="1:28">
      <c r="A17" s="103" t="s">
        <v>167</v>
      </c>
      <c r="B17" s="103" t="s">
        <v>168</v>
      </c>
      <c r="C17" s="103" t="s">
        <v>184</v>
      </c>
      <c r="D17" s="103" t="s">
        <v>117</v>
      </c>
      <c r="E17" s="104">
        <v>51</v>
      </c>
      <c r="F17" s="104">
        <v>28</v>
      </c>
      <c r="G17" s="104">
        <v>23</v>
      </c>
      <c r="H17" s="104">
        <v>35</v>
      </c>
      <c r="I17" s="104">
        <v>10</v>
      </c>
      <c r="J17" s="104">
        <v>4</v>
      </c>
      <c r="K17" s="104">
        <v>1</v>
      </c>
      <c r="L17" s="104">
        <v>1</v>
      </c>
      <c r="M17" s="104">
        <v>0</v>
      </c>
      <c r="N17" s="104">
        <v>0</v>
      </c>
      <c r="O17" s="104">
        <v>0</v>
      </c>
      <c r="P17" s="104">
        <v>0</v>
      </c>
      <c r="Q17" s="104">
        <v>0</v>
      </c>
      <c r="R17" s="104">
        <v>0</v>
      </c>
      <c r="S17" s="104">
        <v>0</v>
      </c>
      <c r="T17" s="104">
        <v>3</v>
      </c>
      <c r="U17" s="104">
        <v>3</v>
      </c>
      <c r="V17" s="104">
        <v>2</v>
      </c>
      <c r="W17" s="104">
        <v>6</v>
      </c>
      <c r="X17" s="104">
        <v>15</v>
      </c>
      <c r="Y17" s="104">
        <v>7</v>
      </c>
      <c r="Z17" s="104">
        <v>7</v>
      </c>
      <c r="AA17" s="104">
        <v>8</v>
      </c>
      <c r="AB17" s="104">
        <v>0</v>
      </c>
    </row>
    <row r="18" spans="1:28">
      <c r="A18" s="103" t="s">
        <v>167</v>
      </c>
      <c r="B18" s="103" t="s">
        <v>168</v>
      </c>
      <c r="C18" s="103" t="s">
        <v>185</v>
      </c>
      <c r="D18" s="103" t="s">
        <v>118</v>
      </c>
      <c r="E18" s="104">
        <v>180</v>
      </c>
      <c r="F18" s="104">
        <v>104</v>
      </c>
      <c r="G18" s="104">
        <v>76</v>
      </c>
      <c r="H18" s="104">
        <v>82</v>
      </c>
      <c r="I18" s="104">
        <v>71</v>
      </c>
      <c r="J18" s="104">
        <v>12</v>
      </c>
      <c r="K18" s="104">
        <v>11</v>
      </c>
      <c r="L18" s="104">
        <v>0</v>
      </c>
      <c r="M18" s="104">
        <v>0</v>
      </c>
      <c r="N18" s="104">
        <v>4</v>
      </c>
      <c r="O18" s="104">
        <v>16</v>
      </c>
      <c r="P18" s="104">
        <v>18</v>
      </c>
      <c r="Q18" s="104">
        <v>23</v>
      </c>
      <c r="R18" s="104">
        <v>19</v>
      </c>
      <c r="S18" s="104">
        <v>18</v>
      </c>
      <c r="T18" s="104">
        <v>17</v>
      </c>
      <c r="U18" s="104">
        <v>12</v>
      </c>
      <c r="V18" s="104">
        <v>12</v>
      </c>
      <c r="W18" s="104">
        <v>8</v>
      </c>
      <c r="X18" s="104">
        <v>4</v>
      </c>
      <c r="Y18" s="104">
        <v>5</v>
      </c>
      <c r="Z18" s="104">
        <v>18</v>
      </c>
      <c r="AA18" s="104">
        <v>10</v>
      </c>
      <c r="AB18" s="104">
        <v>0</v>
      </c>
    </row>
    <row r="19" spans="1:28">
      <c r="A19" s="103" t="s">
        <v>167</v>
      </c>
      <c r="B19" s="103" t="s">
        <v>168</v>
      </c>
      <c r="C19" s="103" t="s">
        <v>186</v>
      </c>
      <c r="D19" s="103" t="s">
        <v>119</v>
      </c>
      <c r="E19" s="104">
        <v>434</v>
      </c>
      <c r="F19" s="104">
        <v>236</v>
      </c>
      <c r="G19" s="104">
        <v>198</v>
      </c>
      <c r="H19" s="104">
        <v>253</v>
      </c>
      <c r="I19" s="104">
        <v>121</v>
      </c>
      <c r="J19" s="104">
        <v>27</v>
      </c>
      <c r="K19" s="104">
        <v>28</v>
      </c>
      <c r="L19" s="104">
        <v>0</v>
      </c>
      <c r="M19" s="104">
        <v>0</v>
      </c>
      <c r="N19" s="104">
        <v>5</v>
      </c>
      <c r="O19" s="104">
        <v>18</v>
      </c>
      <c r="P19" s="104">
        <v>35</v>
      </c>
      <c r="Q19" s="104">
        <v>41</v>
      </c>
      <c r="R19" s="104">
        <v>39</v>
      </c>
      <c r="S19" s="104">
        <v>38</v>
      </c>
      <c r="T19" s="104">
        <v>38</v>
      </c>
      <c r="U19" s="104">
        <v>35</v>
      </c>
      <c r="V19" s="104">
        <v>21</v>
      </c>
      <c r="W19" s="104">
        <v>26</v>
      </c>
      <c r="X19" s="104">
        <v>34</v>
      </c>
      <c r="Y19" s="104">
        <v>39</v>
      </c>
      <c r="Z19" s="104">
        <v>45</v>
      </c>
      <c r="AA19" s="104">
        <v>25</v>
      </c>
      <c r="AB19" s="104">
        <v>0</v>
      </c>
    </row>
    <row r="20" spans="1:28">
      <c r="A20" s="103" t="s">
        <v>167</v>
      </c>
      <c r="B20" s="103" t="s">
        <v>168</v>
      </c>
      <c r="C20" s="103" t="s">
        <v>187</v>
      </c>
      <c r="D20" s="103" t="s">
        <v>120</v>
      </c>
      <c r="E20" s="104">
        <v>67</v>
      </c>
      <c r="F20" s="104">
        <v>36</v>
      </c>
      <c r="G20" s="104">
        <v>31</v>
      </c>
      <c r="H20" s="104">
        <v>57</v>
      </c>
      <c r="I20" s="104">
        <v>9</v>
      </c>
      <c r="J20" s="104">
        <v>1</v>
      </c>
      <c r="K20" s="104">
        <v>0</v>
      </c>
      <c r="L20" s="104">
        <v>0</v>
      </c>
      <c r="M20" s="104">
        <v>0</v>
      </c>
      <c r="N20" s="104">
        <v>0</v>
      </c>
      <c r="O20" s="104">
        <v>5</v>
      </c>
      <c r="P20" s="104">
        <v>3</v>
      </c>
      <c r="Q20" s="104">
        <v>2</v>
      </c>
      <c r="R20" s="104">
        <v>9</v>
      </c>
      <c r="S20" s="104">
        <v>4</v>
      </c>
      <c r="T20" s="104">
        <v>7</v>
      </c>
      <c r="U20" s="104">
        <v>7</v>
      </c>
      <c r="V20" s="104">
        <v>11</v>
      </c>
      <c r="W20" s="104">
        <v>3</v>
      </c>
      <c r="X20" s="104">
        <v>2</v>
      </c>
      <c r="Y20" s="104">
        <v>3</v>
      </c>
      <c r="Z20" s="104">
        <v>6</v>
      </c>
      <c r="AA20" s="104">
        <v>5</v>
      </c>
      <c r="AB20" s="104">
        <v>0</v>
      </c>
    </row>
    <row r="21" spans="1:28">
      <c r="A21" s="103" t="s">
        <v>167</v>
      </c>
      <c r="B21" s="103" t="s">
        <v>168</v>
      </c>
      <c r="C21" s="103" t="s">
        <v>188</v>
      </c>
      <c r="D21" s="103" t="s">
        <v>121</v>
      </c>
      <c r="E21" s="104">
        <v>60</v>
      </c>
      <c r="F21" s="104">
        <v>32</v>
      </c>
      <c r="G21" s="104">
        <v>28</v>
      </c>
      <c r="H21" s="104">
        <v>47</v>
      </c>
      <c r="I21" s="104">
        <v>10</v>
      </c>
      <c r="J21" s="104">
        <v>2</v>
      </c>
      <c r="K21" s="104">
        <v>1</v>
      </c>
      <c r="L21" s="104">
        <v>0</v>
      </c>
      <c r="M21" s="104">
        <v>0</v>
      </c>
      <c r="N21" s="104">
        <v>0</v>
      </c>
      <c r="O21" s="104">
        <v>0</v>
      </c>
      <c r="P21" s="104">
        <v>4</v>
      </c>
      <c r="Q21" s="104">
        <v>3</v>
      </c>
      <c r="R21" s="104">
        <v>6</v>
      </c>
      <c r="S21" s="104">
        <v>5</v>
      </c>
      <c r="T21" s="104">
        <v>4</v>
      </c>
      <c r="U21" s="104">
        <v>7</v>
      </c>
      <c r="V21" s="104">
        <v>4</v>
      </c>
      <c r="W21" s="104">
        <v>4</v>
      </c>
      <c r="X21" s="104">
        <v>9</v>
      </c>
      <c r="Y21" s="104">
        <v>6</v>
      </c>
      <c r="Z21" s="104">
        <v>3</v>
      </c>
      <c r="AA21" s="104">
        <v>5</v>
      </c>
      <c r="AB21" s="104">
        <v>0</v>
      </c>
    </row>
    <row r="22" spans="1:28">
      <c r="A22" s="103" t="s">
        <v>167</v>
      </c>
      <c r="B22" s="103" t="s">
        <v>168</v>
      </c>
      <c r="C22" s="103" t="s">
        <v>189</v>
      </c>
      <c r="D22" s="103" t="s">
        <v>122</v>
      </c>
      <c r="E22" s="104">
        <v>62</v>
      </c>
      <c r="F22" s="104">
        <v>30</v>
      </c>
      <c r="G22" s="104">
        <v>32</v>
      </c>
      <c r="H22" s="104">
        <v>35</v>
      </c>
      <c r="I22" s="104">
        <v>22</v>
      </c>
      <c r="J22" s="104">
        <v>1</v>
      </c>
      <c r="K22" s="104">
        <v>3</v>
      </c>
      <c r="L22" s="104">
        <v>1</v>
      </c>
      <c r="M22" s="104">
        <v>0</v>
      </c>
      <c r="N22" s="104">
        <v>0</v>
      </c>
      <c r="O22" s="104">
        <v>0</v>
      </c>
      <c r="P22" s="104">
        <v>5</v>
      </c>
      <c r="Q22" s="104">
        <v>4</v>
      </c>
      <c r="R22" s="104">
        <v>3</v>
      </c>
      <c r="S22" s="104">
        <v>5</v>
      </c>
      <c r="T22" s="104">
        <v>4</v>
      </c>
      <c r="U22" s="104">
        <v>3</v>
      </c>
      <c r="V22" s="104">
        <v>8</v>
      </c>
      <c r="W22" s="104">
        <v>4</v>
      </c>
      <c r="X22" s="104">
        <v>6</v>
      </c>
      <c r="Y22" s="104">
        <v>5</v>
      </c>
      <c r="Z22" s="104">
        <v>8</v>
      </c>
      <c r="AA22" s="104">
        <v>7</v>
      </c>
      <c r="AB22" s="104">
        <v>0</v>
      </c>
    </row>
    <row r="23" spans="1:28">
      <c r="A23" s="103" t="s">
        <v>167</v>
      </c>
      <c r="B23" s="103" t="s">
        <v>168</v>
      </c>
      <c r="C23" s="103" t="s">
        <v>190</v>
      </c>
      <c r="D23" s="103" t="s">
        <v>123</v>
      </c>
      <c r="E23" s="104">
        <v>9</v>
      </c>
      <c r="F23" s="104">
        <v>6</v>
      </c>
      <c r="G23" s="104">
        <v>3</v>
      </c>
      <c r="H23" s="104">
        <v>6</v>
      </c>
      <c r="I23" s="104">
        <v>2</v>
      </c>
      <c r="J23" s="104">
        <v>1</v>
      </c>
      <c r="K23" s="104">
        <v>0</v>
      </c>
      <c r="L23" s="104">
        <v>0</v>
      </c>
      <c r="M23" s="104">
        <v>0</v>
      </c>
      <c r="N23" s="104">
        <v>0</v>
      </c>
      <c r="O23" s="104">
        <v>0</v>
      </c>
      <c r="P23" s="104">
        <v>2</v>
      </c>
      <c r="Q23" s="104">
        <v>0</v>
      </c>
      <c r="R23" s="104">
        <v>4</v>
      </c>
      <c r="S23" s="104">
        <v>1</v>
      </c>
      <c r="T23" s="104">
        <v>2</v>
      </c>
      <c r="U23" s="104">
        <v>0</v>
      </c>
      <c r="V23" s="104">
        <v>0</v>
      </c>
      <c r="W23" s="104">
        <v>0</v>
      </c>
      <c r="X23" s="104">
        <v>0</v>
      </c>
      <c r="Y23" s="104">
        <v>0</v>
      </c>
      <c r="Z23" s="104">
        <v>0</v>
      </c>
      <c r="AA23" s="104">
        <v>0</v>
      </c>
      <c r="AB23" s="104">
        <v>0</v>
      </c>
    </row>
    <row r="24" spans="1:28">
      <c r="A24" s="103" t="s">
        <v>167</v>
      </c>
      <c r="B24" s="103" t="s">
        <v>168</v>
      </c>
      <c r="C24" s="103" t="s">
        <v>191</v>
      </c>
      <c r="D24" s="103" t="s">
        <v>125</v>
      </c>
      <c r="E24" s="104">
        <v>70</v>
      </c>
      <c r="F24" s="104">
        <v>41</v>
      </c>
      <c r="G24" s="104">
        <v>29</v>
      </c>
      <c r="H24" s="104">
        <v>56</v>
      </c>
      <c r="I24" s="104">
        <v>12</v>
      </c>
      <c r="J24" s="104">
        <v>2</v>
      </c>
      <c r="K24" s="104">
        <v>0</v>
      </c>
      <c r="L24" s="104">
        <v>0</v>
      </c>
      <c r="M24" s="104">
        <v>0</v>
      </c>
      <c r="N24" s="104">
        <v>0</v>
      </c>
      <c r="O24" s="104">
        <v>0</v>
      </c>
      <c r="P24" s="104">
        <v>5</v>
      </c>
      <c r="Q24" s="104">
        <v>10</v>
      </c>
      <c r="R24" s="104">
        <v>7</v>
      </c>
      <c r="S24" s="104">
        <v>10</v>
      </c>
      <c r="T24" s="104">
        <v>9</v>
      </c>
      <c r="U24" s="104">
        <v>10</v>
      </c>
      <c r="V24" s="104">
        <v>10</v>
      </c>
      <c r="W24" s="104">
        <v>9</v>
      </c>
      <c r="X24" s="104">
        <v>0</v>
      </c>
      <c r="Y24" s="104">
        <v>0</v>
      </c>
      <c r="Z24" s="104">
        <v>0</v>
      </c>
      <c r="AA24" s="104">
        <v>0</v>
      </c>
      <c r="AB24" s="104">
        <v>0</v>
      </c>
    </row>
    <row r="25" spans="1:28">
      <c r="A25" s="103" t="s">
        <v>167</v>
      </c>
      <c r="B25" s="103" t="s">
        <v>168</v>
      </c>
      <c r="C25" s="103" t="s">
        <v>192</v>
      </c>
      <c r="D25" s="103" t="s">
        <v>126</v>
      </c>
      <c r="E25" s="104">
        <v>53</v>
      </c>
      <c r="F25" s="104">
        <v>24</v>
      </c>
      <c r="G25" s="104">
        <v>29</v>
      </c>
      <c r="H25" s="104">
        <v>34</v>
      </c>
      <c r="I25" s="104">
        <v>15</v>
      </c>
      <c r="J25" s="104">
        <v>1</v>
      </c>
      <c r="K25" s="104">
        <v>0</v>
      </c>
      <c r="L25" s="104">
        <v>0</v>
      </c>
      <c r="M25" s="104">
        <v>2</v>
      </c>
      <c r="N25" s="104">
        <v>1</v>
      </c>
      <c r="O25" s="104">
        <v>0</v>
      </c>
      <c r="P25" s="104">
        <v>0</v>
      </c>
      <c r="Q25" s="104">
        <v>0</v>
      </c>
      <c r="R25" s="104">
        <v>1</v>
      </c>
      <c r="S25" s="104">
        <v>2</v>
      </c>
      <c r="T25" s="104">
        <v>3</v>
      </c>
      <c r="U25" s="104">
        <v>8</v>
      </c>
      <c r="V25" s="104">
        <v>5</v>
      </c>
      <c r="W25" s="104">
        <v>5</v>
      </c>
      <c r="X25" s="104">
        <v>10</v>
      </c>
      <c r="Y25" s="104">
        <v>7</v>
      </c>
      <c r="Z25" s="104">
        <v>3</v>
      </c>
      <c r="AA25" s="104">
        <v>9</v>
      </c>
      <c r="AB25" s="104">
        <v>0</v>
      </c>
    </row>
    <row r="26" spans="1:28">
      <c r="A26" s="103" t="s">
        <v>167</v>
      </c>
      <c r="B26" s="103" t="s">
        <v>168</v>
      </c>
      <c r="C26" s="103" t="s">
        <v>193</v>
      </c>
      <c r="D26" s="103" t="s">
        <v>127</v>
      </c>
      <c r="E26" s="104">
        <v>72</v>
      </c>
      <c r="F26" s="104">
        <v>42</v>
      </c>
      <c r="G26" s="104">
        <v>30</v>
      </c>
      <c r="H26" s="104">
        <v>48</v>
      </c>
      <c r="I26" s="104">
        <v>21</v>
      </c>
      <c r="J26" s="104">
        <v>1</v>
      </c>
      <c r="K26" s="104">
        <v>2</v>
      </c>
      <c r="L26" s="104">
        <v>0</v>
      </c>
      <c r="M26" s="104">
        <v>0</v>
      </c>
      <c r="N26" s="104">
        <v>0</v>
      </c>
      <c r="O26" s="104">
        <v>0</v>
      </c>
      <c r="P26" s="104">
        <v>3</v>
      </c>
      <c r="Q26" s="104">
        <v>4</v>
      </c>
      <c r="R26" s="104">
        <v>6</v>
      </c>
      <c r="S26" s="104">
        <v>1</v>
      </c>
      <c r="T26" s="104">
        <v>5</v>
      </c>
      <c r="U26" s="104">
        <v>10</v>
      </c>
      <c r="V26" s="104">
        <v>9</v>
      </c>
      <c r="W26" s="104">
        <v>6</v>
      </c>
      <c r="X26" s="104">
        <v>8</v>
      </c>
      <c r="Y26" s="104">
        <v>9</v>
      </c>
      <c r="Z26" s="104">
        <v>5</v>
      </c>
      <c r="AA26" s="104">
        <v>6</v>
      </c>
      <c r="AB26" s="104">
        <v>0</v>
      </c>
    </row>
    <row r="27" spans="1:28">
      <c r="A27" s="103" t="s">
        <v>167</v>
      </c>
      <c r="B27" s="103" t="s">
        <v>168</v>
      </c>
      <c r="C27" s="103" t="s">
        <v>194</v>
      </c>
      <c r="D27" s="103" t="s">
        <v>128</v>
      </c>
      <c r="E27" s="104">
        <v>37</v>
      </c>
      <c r="F27" s="104">
        <v>25</v>
      </c>
      <c r="G27" s="104">
        <v>12</v>
      </c>
      <c r="H27" s="104">
        <v>26</v>
      </c>
      <c r="I27" s="104">
        <v>9</v>
      </c>
      <c r="J27" s="104">
        <v>0</v>
      </c>
      <c r="K27" s="104">
        <v>0</v>
      </c>
      <c r="L27" s="104">
        <v>0</v>
      </c>
      <c r="M27" s="104">
        <v>0</v>
      </c>
      <c r="N27" s="104">
        <v>2</v>
      </c>
      <c r="O27" s="104">
        <v>0</v>
      </c>
      <c r="P27" s="104">
        <v>0</v>
      </c>
      <c r="Q27" s="104">
        <v>5</v>
      </c>
      <c r="R27" s="104">
        <v>6</v>
      </c>
      <c r="S27" s="104">
        <v>3</v>
      </c>
      <c r="T27" s="104">
        <v>1</v>
      </c>
      <c r="U27" s="104">
        <v>3</v>
      </c>
      <c r="V27" s="104">
        <v>2</v>
      </c>
      <c r="W27" s="104">
        <v>3</v>
      </c>
      <c r="X27" s="104">
        <v>0</v>
      </c>
      <c r="Y27" s="104">
        <v>5</v>
      </c>
      <c r="Z27" s="104">
        <v>4</v>
      </c>
      <c r="AA27" s="104">
        <v>5</v>
      </c>
      <c r="AB27" s="104">
        <v>0</v>
      </c>
    </row>
    <row r="28" spans="1:28">
      <c r="A28" s="103" t="s">
        <v>167</v>
      </c>
      <c r="B28" s="103" t="s">
        <v>168</v>
      </c>
      <c r="C28" s="103" t="s">
        <v>195</v>
      </c>
      <c r="D28" s="103" t="s">
        <v>129</v>
      </c>
      <c r="E28" s="104">
        <v>138</v>
      </c>
      <c r="F28" s="104">
        <v>79</v>
      </c>
      <c r="G28" s="104">
        <v>59</v>
      </c>
      <c r="H28" s="104">
        <v>111</v>
      </c>
      <c r="I28" s="104">
        <v>12</v>
      </c>
      <c r="J28" s="104">
        <v>6</v>
      </c>
      <c r="K28" s="104">
        <v>2</v>
      </c>
      <c r="L28" s="104">
        <v>2</v>
      </c>
      <c r="M28" s="104">
        <v>0</v>
      </c>
      <c r="N28" s="104">
        <v>5</v>
      </c>
      <c r="O28" s="104">
        <v>4</v>
      </c>
      <c r="P28" s="104">
        <v>5</v>
      </c>
      <c r="Q28" s="104">
        <v>8</v>
      </c>
      <c r="R28" s="104">
        <v>10</v>
      </c>
      <c r="S28" s="104">
        <v>12</v>
      </c>
      <c r="T28" s="104">
        <v>20</v>
      </c>
      <c r="U28" s="104">
        <v>15</v>
      </c>
      <c r="V28" s="104">
        <v>9</v>
      </c>
      <c r="W28" s="104">
        <v>11</v>
      </c>
      <c r="X28" s="104">
        <v>10</v>
      </c>
      <c r="Y28" s="104">
        <v>14</v>
      </c>
      <c r="Z28" s="104">
        <v>14</v>
      </c>
      <c r="AA28" s="104">
        <v>6</v>
      </c>
      <c r="AB28" s="104">
        <v>0</v>
      </c>
    </row>
    <row r="29" spans="1:28">
      <c r="A29" s="103" t="s">
        <v>167</v>
      </c>
      <c r="B29" s="103" t="s">
        <v>168</v>
      </c>
      <c r="C29" s="103" t="s">
        <v>196</v>
      </c>
      <c r="D29" s="103" t="s">
        <v>130</v>
      </c>
      <c r="E29" s="104">
        <v>158</v>
      </c>
      <c r="F29" s="104">
        <v>90</v>
      </c>
      <c r="G29" s="104">
        <v>68</v>
      </c>
      <c r="H29" s="104">
        <v>113</v>
      </c>
      <c r="I29" s="104">
        <v>20</v>
      </c>
      <c r="J29" s="104">
        <v>16</v>
      </c>
      <c r="K29" s="104">
        <v>4</v>
      </c>
      <c r="L29" s="104">
        <v>0</v>
      </c>
      <c r="M29" s="104">
        <v>1</v>
      </c>
      <c r="N29" s="104">
        <v>4</v>
      </c>
      <c r="O29" s="104">
        <v>13</v>
      </c>
      <c r="P29" s="104">
        <v>9</v>
      </c>
      <c r="Q29" s="104">
        <v>15</v>
      </c>
      <c r="R29" s="104">
        <v>21</v>
      </c>
      <c r="S29" s="104">
        <v>13</v>
      </c>
      <c r="T29" s="104">
        <v>11</v>
      </c>
      <c r="U29" s="104">
        <v>18</v>
      </c>
      <c r="V29" s="104">
        <v>7</v>
      </c>
      <c r="W29" s="104">
        <v>6</v>
      </c>
      <c r="X29" s="104">
        <v>12</v>
      </c>
      <c r="Y29" s="104">
        <v>7</v>
      </c>
      <c r="Z29" s="104">
        <v>17</v>
      </c>
      <c r="AA29" s="104">
        <v>9</v>
      </c>
      <c r="AB29" s="104">
        <v>0</v>
      </c>
    </row>
    <row r="30" spans="1:28">
      <c r="A30" s="103" t="s">
        <v>167</v>
      </c>
      <c r="B30" s="103" t="s">
        <v>168</v>
      </c>
      <c r="C30" s="103" t="s">
        <v>197</v>
      </c>
      <c r="D30" s="103" t="s">
        <v>131</v>
      </c>
      <c r="E30" s="104">
        <v>160</v>
      </c>
      <c r="F30" s="104">
        <v>93</v>
      </c>
      <c r="G30" s="104">
        <v>67</v>
      </c>
      <c r="H30" s="104">
        <v>110</v>
      </c>
      <c r="I30" s="104">
        <v>32</v>
      </c>
      <c r="J30" s="104">
        <v>11</v>
      </c>
      <c r="K30" s="104">
        <v>1</v>
      </c>
      <c r="L30" s="104">
        <v>1</v>
      </c>
      <c r="M30" s="104">
        <v>0</v>
      </c>
      <c r="N30" s="104">
        <v>5</v>
      </c>
      <c r="O30" s="104">
        <v>14</v>
      </c>
      <c r="P30" s="104">
        <v>12</v>
      </c>
      <c r="Q30" s="104">
        <v>14</v>
      </c>
      <c r="R30" s="104">
        <v>14</v>
      </c>
      <c r="S30" s="104">
        <v>12</v>
      </c>
      <c r="T30" s="104">
        <v>13</v>
      </c>
      <c r="U30" s="104">
        <v>14</v>
      </c>
      <c r="V30" s="104">
        <v>11</v>
      </c>
      <c r="W30" s="104">
        <v>10</v>
      </c>
      <c r="X30" s="104">
        <v>13</v>
      </c>
      <c r="Y30" s="104">
        <v>10</v>
      </c>
      <c r="Z30" s="104">
        <v>13</v>
      </c>
      <c r="AA30" s="104">
        <v>10</v>
      </c>
      <c r="AB30" s="104">
        <v>0</v>
      </c>
    </row>
    <row r="31" spans="1:28">
      <c r="A31" s="103" t="s">
        <v>167</v>
      </c>
      <c r="B31" s="103" t="s">
        <v>168</v>
      </c>
      <c r="C31" s="103" t="s">
        <v>198</v>
      </c>
      <c r="D31" s="103" t="s">
        <v>132</v>
      </c>
      <c r="E31" s="104">
        <v>49</v>
      </c>
      <c r="F31" s="104">
        <v>25</v>
      </c>
      <c r="G31" s="104">
        <v>24</v>
      </c>
      <c r="H31" s="104">
        <v>39</v>
      </c>
      <c r="I31" s="104">
        <v>8</v>
      </c>
      <c r="J31" s="104">
        <v>2</v>
      </c>
      <c r="K31" s="104">
        <v>0</v>
      </c>
      <c r="L31" s="104">
        <v>0</v>
      </c>
      <c r="M31" s="104">
        <v>0</v>
      </c>
      <c r="N31" s="104">
        <v>0</v>
      </c>
      <c r="O31" s="104">
        <v>0</v>
      </c>
      <c r="P31" s="104">
        <v>0</v>
      </c>
      <c r="Q31" s="104">
        <v>0</v>
      </c>
      <c r="R31" s="104">
        <v>0</v>
      </c>
      <c r="S31" s="104">
        <v>0</v>
      </c>
      <c r="T31" s="104">
        <v>0</v>
      </c>
      <c r="U31" s="104">
        <v>7</v>
      </c>
      <c r="V31" s="104">
        <v>5</v>
      </c>
      <c r="W31" s="104">
        <v>12</v>
      </c>
      <c r="X31" s="104">
        <v>7</v>
      </c>
      <c r="Y31" s="104">
        <v>6</v>
      </c>
      <c r="Z31" s="104">
        <v>8</v>
      </c>
      <c r="AA31" s="104">
        <v>4</v>
      </c>
      <c r="AB31" s="104">
        <v>0</v>
      </c>
    </row>
    <row r="32" spans="1:28">
      <c r="A32" s="103" t="s">
        <v>167</v>
      </c>
      <c r="B32" s="103" t="s">
        <v>168</v>
      </c>
      <c r="C32" s="103" t="s">
        <v>199</v>
      </c>
      <c r="D32" s="103" t="s">
        <v>103</v>
      </c>
      <c r="E32" s="104">
        <v>53</v>
      </c>
      <c r="F32" s="104">
        <v>26</v>
      </c>
      <c r="G32" s="104">
        <v>27</v>
      </c>
      <c r="H32" s="104">
        <v>39</v>
      </c>
      <c r="I32" s="104">
        <v>9</v>
      </c>
      <c r="J32" s="104">
        <v>4</v>
      </c>
      <c r="K32" s="104">
        <v>1</v>
      </c>
      <c r="L32" s="104">
        <v>0</v>
      </c>
      <c r="M32" s="104">
        <v>0</v>
      </c>
      <c r="N32" s="104">
        <v>0</v>
      </c>
      <c r="O32" s="104">
        <v>0</v>
      </c>
      <c r="P32" s="104">
        <v>0</v>
      </c>
      <c r="Q32" s="104">
        <v>0</v>
      </c>
      <c r="R32" s="104">
        <v>0</v>
      </c>
      <c r="S32" s="104">
        <v>0</v>
      </c>
      <c r="T32" s="104">
        <v>0</v>
      </c>
      <c r="U32" s="104">
        <v>0</v>
      </c>
      <c r="V32" s="104">
        <v>0</v>
      </c>
      <c r="W32" s="104">
        <v>0</v>
      </c>
      <c r="X32" s="104">
        <v>17</v>
      </c>
      <c r="Y32" s="104">
        <v>15</v>
      </c>
      <c r="Z32" s="104">
        <v>10</v>
      </c>
      <c r="AA32" s="104">
        <v>11</v>
      </c>
      <c r="AB32" s="104">
        <v>0</v>
      </c>
    </row>
    <row r="33" spans="1:28">
      <c r="A33" s="103" t="s">
        <v>167</v>
      </c>
      <c r="B33" s="103" t="s">
        <v>168</v>
      </c>
      <c r="C33" s="103" t="s">
        <v>200</v>
      </c>
      <c r="D33" s="103" t="s">
        <v>105</v>
      </c>
      <c r="E33" s="104">
        <v>26</v>
      </c>
      <c r="F33" s="104">
        <v>14</v>
      </c>
      <c r="G33" s="104">
        <v>12</v>
      </c>
      <c r="H33" s="104">
        <v>26</v>
      </c>
      <c r="I33" s="104">
        <v>0</v>
      </c>
      <c r="J33" s="104">
        <v>0</v>
      </c>
      <c r="K33" s="104">
        <v>0</v>
      </c>
      <c r="L33" s="104">
        <v>0</v>
      </c>
      <c r="M33" s="104">
        <v>0</v>
      </c>
      <c r="N33" s="104">
        <v>0</v>
      </c>
      <c r="O33" s="104">
        <v>0</v>
      </c>
      <c r="P33" s="104">
        <v>0</v>
      </c>
      <c r="Q33" s="104">
        <v>0</v>
      </c>
      <c r="R33" s="104">
        <v>0</v>
      </c>
      <c r="S33" s="104">
        <v>0</v>
      </c>
      <c r="T33" s="104">
        <v>0</v>
      </c>
      <c r="U33" s="104">
        <v>4</v>
      </c>
      <c r="V33" s="104">
        <v>3</v>
      </c>
      <c r="W33" s="104">
        <v>6</v>
      </c>
      <c r="X33" s="104">
        <v>2</v>
      </c>
      <c r="Y33" s="104">
        <v>3</v>
      </c>
      <c r="Z33" s="104">
        <v>4</v>
      </c>
      <c r="AA33" s="104">
        <v>4</v>
      </c>
      <c r="AB33" s="104">
        <v>0</v>
      </c>
    </row>
    <row r="34" spans="1:28">
      <c r="A34" s="103" t="s">
        <v>167</v>
      </c>
      <c r="B34" s="103" t="s">
        <v>168</v>
      </c>
      <c r="C34" s="103" t="s">
        <v>201</v>
      </c>
      <c r="D34" s="103" t="s">
        <v>112</v>
      </c>
      <c r="E34" s="104">
        <v>93</v>
      </c>
      <c r="F34" s="104">
        <v>53</v>
      </c>
      <c r="G34" s="104">
        <v>40</v>
      </c>
      <c r="H34" s="104">
        <v>60</v>
      </c>
      <c r="I34" s="104">
        <v>29</v>
      </c>
      <c r="J34" s="104">
        <v>2</v>
      </c>
      <c r="K34" s="104">
        <v>0</v>
      </c>
      <c r="L34" s="104">
        <v>1</v>
      </c>
      <c r="M34" s="104">
        <v>1</v>
      </c>
      <c r="N34" s="104">
        <v>0</v>
      </c>
      <c r="O34" s="104">
        <v>0</v>
      </c>
      <c r="P34" s="104">
        <v>0</v>
      </c>
      <c r="Q34" s="104">
        <v>0</v>
      </c>
      <c r="R34" s="104">
        <v>0</v>
      </c>
      <c r="S34" s="104">
        <v>0</v>
      </c>
      <c r="T34" s="104">
        <v>0</v>
      </c>
      <c r="U34" s="104">
        <v>0</v>
      </c>
      <c r="V34" s="104">
        <v>0</v>
      </c>
      <c r="W34" s="104">
        <v>0</v>
      </c>
      <c r="X34" s="104">
        <v>33</v>
      </c>
      <c r="Y34" s="104">
        <v>20</v>
      </c>
      <c r="Z34" s="104">
        <v>21</v>
      </c>
      <c r="AA34" s="104">
        <v>19</v>
      </c>
      <c r="AB34" s="104">
        <v>0</v>
      </c>
    </row>
    <row r="35" spans="1:28">
      <c r="A35" s="103" t="s">
        <v>167</v>
      </c>
      <c r="B35" s="103" t="s">
        <v>41</v>
      </c>
      <c r="C35" s="103" t="s">
        <v>202</v>
      </c>
      <c r="D35" s="103" t="s">
        <v>106</v>
      </c>
      <c r="E35" s="104">
        <v>45</v>
      </c>
      <c r="F35" s="104">
        <v>24</v>
      </c>
      <c r="G35" s="104">
        <v>21</v>
      </c>
      <c r="H35" s="104">
        <v>23</v>
      </c>
      <c r="I35" s="104">
        <v>16</v>
      </c>
      <c r="J35" s="104">
        <v>4</v>
      </c>
      <c r="K35" s="104">
        <v>1</v>
      </c>
      <c r="L35" s="104">
        <v>0</v>
      </c>
      <c r="M35" s="104">
        <v>0</v>
      </c>
      <c r="N35" s="104">
        <v>1</v>
      </c>
      <c r="O35" s="104">
        <v>4</v>
      </c>
      <c r="P35" s="104">
        <v>4</v>
      </c>
      <c r="Q35" s="104">
        <v>2</v>
      </c>
      <c r="R35" s="104">
        <v>8</v>
      </c>
      <c r="S35" s="104">
        <v>2</v>
      </c>
      <c r="T35" s="104">
        <v>2</v>
      </c>
      <c r="U35" s="104">
        <v>3</v>
      </c>
      <c r="V35" s="104">
        <v>5</v>
      </c>
      <c r="W35" s="104">
        <v>4</v>
      </c>
      <c r="X35" s="104">
        <v>4</v>
      </c>
      <c r="Y35" s="104">
        <v>0</v>
      </c>
      <c r="Z35" s="104">
        <v>4</v>
      </c>
      <c r="AA35" s="104">
        <v>3</v>
      </c>
      <c r="AB35" s="104">
        <v>0</v>
      </c>
    </row>
    <row r="36" spans="1:28">
      <c r="A36" s="103" t="s">
        <v>167</v>
      </c>
      <c r="B36" s="103" t="s">
        <v>41</v>
      </c>
      <c r="C36" s="103" t="s">
        <v>203</v>
      </c>
      <c r="D36" s="103" t="s">
        <v>113</v>
      </c>
      <c r="E36" s="104">
        <v>35</v>
      </c>
      <c r="F36" s="104">
        <v>16</v>
      </c>
      <c r="G36" s="104">
        <v>19</v>
      </c>
      <c r="H36" s="104">
        <v>20</v>
      </c>
      <c r="I36" s="104">
        <v>12</v>
      </c>
      <c r="J36" s="104">
        <v>2</v>
      </c>
      <c r="K36" s="104">
        <v>0</v>
      </c>
      <c r="L36" s="104">
        <v>0</v>
      </c>
      <c r="M36" s="104">
        <v>0</v>
      </c>
      <c r="N36" s="104">
        <v>1</v>
      </c>
      <c r="O36" s="104">
        <v>5</v>
      </c>
      <c r="P36" s="104">
        <v>5</v>
      </c>
      <c r="Q36" s="104">
        <v>4</v>
      </c>
      <c r="R36" s="104">
        <v>3</v>
      </c>
      <c r="S36" s="104">
        <v>2</v>
      </c>
      <c r="T36" s="104">
        <v>4</v>
      </c>
      <c r="U36" s="104">
        <v>3</v>
      </c>
      <c r="V36" s="104">
        <v>3</v>
      </c>
      <c r="W36" s="104">
        <v>0</v>
      </c>
      <c r="X36" s="104">
        <v>2</v>
      </c>
      <c r="Y36" s="104">
        <v>1</v>
      </c>
      <c r="Z36" s="104">
        <v>2</v>
      </c>
      <c r="AA36" s="104">
        <v>1</v>
      </c>
      <c r="AB36" s="104">
        <v>0</v>
      </c>
    </row>
    <row r="37" spans="1:28">
      <c r="A37" s="103" t="s">
        <v>167</v>
      </c>
      <c r="B37" s="103" t="s">
        <v>41</v>
      </c>
      <c r="C37" s="103" t="s">
        <v>204</v>
      </c>
      <c r="D37" s="103" t="s">
        <v>108</v>
      </c>
      <c r="E37" s="104">
        <v>11</v>
      </c>
      <c r="F37" s="104">
        <v>9</v>
      </c>
      <c r="G37" s="104">
        <v>2</v>
      </c>
      <c r="H37" s="104">
        <v>6</v>
      </c>
      <c r="I37" s="104">
        <v>4</v>
      </c>
      <c r="J37" s="104">
        <v>1</v>
      </c>
      <c r="K37" s="104">
        <v>0</v>
      </c>
      <c r="L37" s="104">
        <v>0</v>
      </c>
      <c r="M37" s="104">
        <v>0</v>
      </c>
      <c r="N37" s="104">
        <v>0</v>
      </c>
      <c r="O37" s="104">
        <v>0</v>
      </c>
      <c r="P37" s="104">
        <v>0</v>
      </c>
      <c r="Q37" s="104">
        <v>0</v>
      </c>
      <c r="R37" s="104">
        <v>0</v>
      </c>
      <c r="S37" s="104">
        <v>0</v>
      </c>
      <c r="T37" s="104">
        <v>1</v>
      </c>
      <c r="U37" s="104">
        <v>1</v>
      </c>
      <c r="V37" s="104">
        <v>0</v>
      </c>
      <c r="W37" s="104">
        <v>0</v>
      </c>
      <c r="X37" s="104">
        <v>4</v>
      </c>
      <c r="Y37" s="104">
        <v>5</v>
      </c>
      <c r="Z37" s="104">
        <v>0</v>
      </c>
      <c r="AA37" s="104">
        <v>0</v>
      </c>
      <c r="AB37" s="104">
        <v>0</v>
      </c>
    </row>
    <row r="38" spans="1:28">
      <c r="A38" s="103" t="s">
        <v>167</v>
      </c>
      <c r="B38" s="103" t="s">
        <v>41</v>
      </c>
      <c r="C38" s="103" t="s">
        <v>205</v>
      </c>
      <c r="D38" s="103" t="s">
        <v>124</v>
      </c>
      <c r="E38" s="104">
        <v>18</v>
      </c>
      <c r="F38" s="104">
        <v>10</v>
      </c>
      <c r="G38" s="104">
        <v>8</v>
      </c>
      <c r="H38" s="104">
        <v>15</v>
      </c>
      <c r="I38" s="104">
        <v>1</v>
      </c>
      <c r="J38" s="104">
        <v>1</v>
      </c>
      <c r="K38" s="104">
        <v>0</v>
      </c>
      <c r="L38" s="104">
        <v>0</v>
      </c>
      <c r="M38" s="104">
        <v>0</v>
      </c>
      <c r="N38" s="104">
        <v>1</v>
      </c>
      <c r="O38" s="104">
        <v>2</v>
      </c>
      <c r="P38" s="104">
        <v>1</v>
      </c>
      <c r="Q38" s="104">
        <v>1</v>
      </c>
      <c r="R38" s="104">
        <v>2</v>
      </c>
      <c r="S38" s="104">
        <v>1</v>
      </c>
      <c r="T38" s="104">
        <v>2</v>
      </c>
      <c r="U38" s="104">
        <v>2</v>
      </c>
      <c r="V38" s="104">
        <v>0</v>
      </c>
      <c r="W38" s="104">
        <v>1</v>
      </c>
      <c r="X38" s="104">
        <v>2</v>
      </c>
      <c r="Y38" s="104">
        <v>1</v>
      </c>
      <c r="Z38" s="104">
        <v>1</v>
      </c>
      <c r="AA38" s="104">
        <v>2</v>
      </c>
      <c r="AB38" s="104">
        <v>0</v>
      </c>
    </row>
  </sheetData>
  <autoFilter ref="A1:AB38"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
  <sheetViews>
    <sheetView workbookViewId="0"/>
  </sheetViews>
  <sheetFormatPr defaultRowHeight="15.75"/>
  <cols>
    <col min="1" max="1" width="39.625" bestFit="1" customWidth="1"/>
    <col min="2" max="3" width="6.625" style="22" customWidth="1"/>
  </cols>
  <sheetData>
    <row r="1" spans="1:4">
      <c r="A1" s="23" t="s">
        <v>43</v>
      </c>
      <c r="B1" s="24"/>
      <c r="C1" s="25"/>
      <c r="D1" s="24"/>
    </row>
    <row r="2" spans="1:4" ht="16.5" thickBot="1">
      <c r="A2" s="4" t="s">
        <v>44</v>
      </c>
      <c r="B2" s="6" t="s">
        <v>46</v>
      </c>
      <c r="C2" s="7" t="s">
        <v>47</v>
      </c>
      <c r="D2" s="5" t="s">
        <v>45</v>
      </c>
    </row>
    <row r="3" spans="1:4" ht="15.75" customHeight="1">
      <c r="A3" s="8" t="s">
        <v>96</v>
      </c>
      <c r="B3" s="10">
        <v>76</v>
      </c>
      <c r="C3" s="11">
        <f t="shared" ref="C3:C40" si="0">(B3/$B$42)*100</f>
        <v>2.3631840796019898</v>
      </c>
      <c r="D3" s="9" t="s">
        <v>48</v>
      </c>
    </row>
    <row r="4" spans="1:4">
      <c r="A4" s="12" t="s">
        <v>97</v>
      </c>
      <c r="B4" s="14">
        <v>98</v>
      </c>
      <c r="C4" s="15">
        <f t="shared" si="0"/>
        <v>3.0472636815920398</v>
      </c>
      <c r="D4" s="13" t="s">
        <v>49</v>
      </c>
    </row>
    <row r="5" spans="1:4">
      <c r="A5" s="12" t="s">
        <v>98</v>
      </c>
      <c r="B5" s="14">
        <v>102</v>
      </c>
      <c r="C5" s="15">
        <f t="shared" si="0"/>
        <v>3.1716417910447761</v>
      </c>
      <c r="D5" s="13" t="s">
        <v>50</v>
      </c>
    </row>
    <row r="6" spans="1:4">
      <c r="A6" s="12" t="s">
        <v>99</v>
      </c>
      <c r="B6" s="14">
        <v>24</v>
      </c>
      <c r="C6" s="15">
        <f t="shared" si="0"/>
        <v>0.74626865671641784</v>
      </c>
      <c r="D6" s="13" t="s">
        <v>51</v>
      </c>
    </row>
    <row r="7" spans="1:4">
      <c r="A7" s="12" t="s">
        <v>100</v>
      </c>
      <c r="B7" s="14">
        <v>292</v>
      </c>
      <c r="C7" s="15">
        <f t="shared" si="0"/>
        <v>9.0796019900497509</v>
      </c>
      <c r="D7" s="13" t="s">
        <v>52</v>
      </c>
    </row>
    <row r="8" spans="1:4">
      <c r="A8" s="12" t="s">
        <v>101</v>
      </c>
      <c r="B8" s="14">
        <v>47</v>
      </c>
      <c r="C8" s="15">
        <f t="shared" si="0"/>
        <v>1.4614427860696517</v>
      </c>
      <c r="D8" s="13" t="s">
        <v>53</v>
      </c>
    </row>
    <row r="9" spans="1:4">
      <c r="A9" s="12" t="s">
        <v>102</v>
      </c>
      <c r="B9" s="14">
        <v>78</v>
      </c>
      <c r="C9" s="15">
        <f t="shared" si="0"/>
        <v>2.4253731343283582</v>
      </c>
      <c r="D9" s="13" t="s">
        <v>54</v>
      </c>
    </row>
    <row r="10" spans="1:4">
      <c r="A10" s="12" t="s">
        <v>103</v>
      </c>
      <c r="B10" s="14">
        <v>52</v>
      </c>
      <c r="C10" s="15">
        <f t="shared" si="0"/>
        <v>1.616915422885572</v>
      </c>
      <c r="D10" s="13" t="s">
        <v>80</v>
      </c>
    </row>
    <row r="11" spans="1:4">
      <c r="A11" s="12" t="s">
        <v>104</v>
      </c>
      <c r="B11" s="14">
        <v>8</v>
      </c>
      <c r="C11" s="15">
        <f t="shared" si="0"/>
        <v>0.24875621890547264</v>
      </c>
      <c r="D11" s="13" t="s">
        <v>55</v>
      </c>
    </row>
    <row r="12" spans="1:4">
      <c r="A12" s="12" t="s">
        <v>105</v>
      </c>
      <c r="B12" s="14">
        <v>23</v>
      </c>
      <c r="C12" s="15">
        <f t="shared" si="0"/>
        <v>0.71517412935323388</v>
      </c>
      <c r="D12" s="13" t="s">
        <v>81</v>
      </c>
    </row>
    <row r="13" spans="1:4">
      <c r="A13" s="12" t="s">
        <v>106</v>
      </c>
      <c r="B13" s="14">
        <v>42</v>
      </c>
      <c r="C13" s="15">
        <f t="shared" si="0"/>
        <v>1.3059701492537312</v>
      </c>
      <c r="D13" s="13" t="s">
        <v>56</v>
      </c>
    </row>
    <row r="14" spans="1:4">
      <c r="A14" s="12" t="s">
        <v>107</v>
      </c>
      <c r="B14" s="14">
        <v>37</v>
      </c>
      <c r="C14" s="15">
        <f t="shared" si="0"/>
        <v>1.150497512437811</v>
      </c>
      <c r="D14" s="13" t="s">
        <v>57</v>
      </c>
    </row>
    <row r="15" spans="1:4">
      <c r="A15" s="12" t="s">
        <v>108</v>
      </c>
      <c r="B15" s="14">
        <v>14</v>
      </c>
      <c r="C15" s="15">
        <f t="shared" si="0"/>
        <v>0.43532338308457713</v>
      </c>
      <c r="D15" s="13" t="s">
        <v>82</v>
      </c>
    </row>
    <row r="16" spans="1:4">
      <c r="A16" s="12" t="s">
        <v>109</v>
      </c>
      <c r="B16" s="14">
        <v>42</v>
      </c>
      <c r="C16" s="15">
        <f t="shared" si="0"/>
        <v>1.3059701492537312</v>
      </c>
      <c r="D16" s="13" t="s">
        <v>58</v>
      </c>
    </row>
    <row r="17" spans="1:4">
      <c r="A17" s="12" t="s">
        <v>110</v>
      </c>
      <c r="B17" s="14">
        <v>219</v>
      </c>
      <c r="C17" s="15">
        <f t="shared" si="0"/>
        <v>6.8097014925373136</v>
      </c>
      <c r="D17" s="13" t="s">
        <v>59</v>
      </c>
    </row>
    <row r="18" spans="1:4">
      <c r="A18" s="12" t="s">
        <v>111</v>
      </c>
      <c r="B18" s="14">
        <v>84</v>
      </c>
      <c r="C18" s="15">
        <f t="shared" si="0"/>
        <v>2.6119402985074625</v>
      </c>
      <c r="D18" s="13" t="s">
        <v>60</v>
      </c>
    </row>
    <row r="19" spans="1:4">
      <c r="A19" s="12" t="s">
        <v>112</v>
      </c>
      <c r="B19" s="14">
        <v>91</v>
      </c>
      <c r="C19" s="15">
        <f t="shared" si="0"/>
        <v>2.8296019900497513</v>
      </c>
      <c r="D19" s="13" t="s">
        <v>83</v>
      </c>
    </row>
    <row r="20" spans="1:4">
      <c r="A20" s="12" t="s">
        <v>113</v>
      </c>
      <c r="B20" s="14">
        <v>34</v>
      </c>
      <c r="C20" s="15">
        <f t="shared" si="0"/>
        <v>1.0572139303482588</v>
      </c>
      <c r="D20" s="13" t="s">
        <v>61</v>
      </c>
    </row>
    <row r="21" spans="1:4">
      <c r="A21" s="12" t="s">
        <v>114</v>
      </c>
      <c r="B21" s="14">
        <v>35</v>
      </c>
      <c r="C21" s="15">
        <f t="shared" si="0"/>
        <v>1.0883084577114428</v>
      </c>
      <c r="D21" s="13" t="s">
        <v>62</v>
      </c>
    </row>
    <row r="22" spans="1:4">
      <c r="A22" s="12" t="s">
        <v>115</v>
      </c>
      <c r="B22" s="14">
        <v>74</v>
      </c>
      <c r="C22" s="15">
        <f t="shared" si="0"/>
        <v>2.3009950248756219</v>
      </c>
      <c r="D22" s="13" t="s">
        <v>63</v>
      </c>
    </row>
    <row r="23" spans="1:4">
      <c r="A23" s="12" t="s">
        <v>116</v>
      </c>
      <c r="B23" s="14">
        <v>127</v>
      </c>
      <c r="C23" s="15">
        <f t="shared" si="0"/>
        <v>3.9490049751243781</v>
      </c>
      <c r="D23" s="13" t="s">
        <v>64</v>
      </c>
    </row>
    <row r="24" spans="1:4">
      <c r="A24" s="12" t="s">
        <v>117</v>
      </c>
      <c r="B24" s="14">
        <v>53</v>
      </c>
      <c r="C24" s="15">
        <f t="shared" si="0"/>
        <v>1.6480099502487564</v>
      </c>
      <c r="D24" s="13" t="s">
        <v>65</v>
      </c>
    </row>
    <row r="25" spans="1:4">
      <c r="A25" s="12" t="s">
        <v>118</v>
      </c>
      <c r="B25" s="14">
        <v>177</v>
      </c>
      <c r="C25" s="15">
        <f t="shared" si="0"/>
        <v>5.5037313432835822</v>
      </c>
      <c r="D25" s="13" t="s">
        <v>66</v>
      </c>
    </row>
    <row r="26" spans="1:4">
      <c r="A26" s="12" t="s">
        <v>119</v>
      </c>
      <c r="B26" s="14">
        <v>431</v>
      </c>
      <c r="C26" s="15">
        <f t="shared" si="0"/>
        <v>13.401741293532337</v>
      </c>
      <c r="D26" s="13" t="s">
        <v>67</v>
      </c>
    </row>
    <row r="27" spans="1:4">
      <c r="A27" s="12" t="s">
        <v>120</v>
      </c>
      <c r="B27" s="14">
        <v>66</v>
      </c>
      <c r="C27" s="15">
        <f t="shared" si="0"/>
        <v>2.0522388059701493</v>
      </c>
      <c r="D27" s="13" t="s">
        <v>68</v>
      </c>
    </row>
    <row r="28" spans="1:4">
      <c r="A28" s="12" t="s">
        <v>121</v>
      </c>
      <c r="B28" s="14">
        <v>65</v>
      </c>
      <c r="C28" s="15">
        <f t="shared" si="0"/>
        <v>2.0211442786069655</v>
      </c>
      <c r="D28" s="13" t="s">
        <v>69</v>
      </c>
    </row>
    <row r="29" spans="1:4">
      <c r="A29" s="12" t="s">
        <v>122</v>
      </c>
      <c r="B29" s="14">
        <v>60</v>
      </c>
      <c r="C29" s="15">
        <f t="shared" si="0"/>
        <v>1.8656716417910446</v>
      </c>
      <c r="D29" s="13" t="s">
        <v>70</v>
      </c>
    </row>
    <row r="30" spans="1:4">
      <c r="A30" s="12" t="s">
        <v>123</v>
      </c>
      <c r="B30" s="14">
        <v>10</v>
      </c>
      <c r="C30" s="15">
        <f t="shared" si="0"/>
        <v>0.31094527363184082</v>
      </c>
      <c r="D30" s="13" t="s">
        <v>71</v>
      </c>
    </row>
    <row r="31" spans="1:4">
      <c r="A31" s="12" t="s">
        <v>124</v>
      </c>
      <c r="B31" s="14">
        <v>19</v>
      </c>
      <c r="C31" s="15">
        <f t="shared" si="0"/>
        <v>0.59079601990049746</v>
      </c>
      <c r="D31" s="13" t="s">
        <v>84</v>
      </c>
    </row>
    <row r="32" spans="1:4">
      <c r="A32" s="12" t="s">
        <v>41</v>
      </c>
      <c r="B32" s="14">
        <v>0</v>
      </c>
      <c r="C32" s="15">
        <f t="shared" si="0"/>
        <v>0</v>
      </c>
      <c r="D32" s="13"/>
    </row>
    <row r="33" spans="1:4">
      <c r="A33" s="12" t="s">
        <v>125</v>
      </c>
      <c r="B33" s="14">
        <v>67</v>
      </c>
      <c r="C33" s="15">
        <f t="shared" si="0"/>
        <v>2.083333333333333</v>
      </c>
      <c r="D33" s="13" t="s">
        <v>72</v>
      </c>
    </row>
    <row r="34" spans="1:4">
      <c r="A34" s="12" t="s">
        <v>126</v>
      </c>
      <c r="B34" s="14">
        <v>54</v>
      </c>
      <c r="C34" s="15">
        <f t="shared" si="0"/>
        <v>1.6791044776119404</v>
      </c>
      <c r="D34" s="13" t="s">
        <v>73</v>
      </c>
    </row>
    <row r="35" spans="1:4">
      <c r="A35" s="12" t="s">
        <v>127</v>
      </c>
      <c r="B35" s="14">
        <v>70</v>
      </c>
      <c r="C35" s="15">
        <f t="shared" si="0"/>
        <v>2.1766169154228856</v>
      </c>
      <c r="D35" s="13" t="s">
        <v>74</v>
      </c>
    </row>
    <row r="36" spans="1:4">
      <c r="A36" s="12" t="s">
        <v>128</v>
      </c>
      <c r="B36" s="14">
        <v>42</v>
      </c>
      <c r="C36" s="15">
        <f t="shared" si="0"/>
        <v>1.3059701492537312</v>
      </c>
      <c r="D36" s="13" t="s">
        <v>75</v>
      </c>
    </row>
    <row r="37" spans="1:4">
      <c r="A37" s="12" t="s">
        <v>129</v>
      </c>
      <c r="B37" s="14">
        <v>136</v>
      </c>
      <c r="C37" s="15">
        <f t="shared" si="0"/>
        <v>4.2288557213930353</v>
      </c>
      <c r="D37" s="13" t="s">
        <v>76</v>
      </c>
    </row>
    <row r="38" spans="1:4">
      <c r="A38" s="12" t="s">
        <v>130</v>
      </c>
      <c r="B38" s="14">
        <v>157</v>
      </c>
      <c r="C38" s="15">
        <f t="shared" si="0"/>
        <v>4.8818407960199002</v>
      </c>
      <c r="D38" s="13" t="s">
        <v>77</v>
      </c>
    </row>
    <row r="39" spans="1:4">
      <c r="A39" s="12" t="s">
        <v>131</v>
      </c>
      <c r="B39" s="14">
        <v>161</v>
      </c>
      <c r="C39" s="15">
        <f t="shared" si="0"/>
        <v>5.0062189054726369</v>
      </c>
      <c r="D39" s="13" t="s">
        <v>78</v>
      </c>
    </row>
    <row r="40" spans="1:4" ht="16.5" thickBot="1">
      <c r="A40" s="16" t="s">
        <v>132</v>
      </c>
      <c r="B40" s="18">
        <v>49</v>
      </c>
      <c r="C40" s="19">
        <f t="shared" si="0"/>
        <v>1.5236318407960199</v>
      </c>
      <c r="D40" s="17" t="s">
        <v>79</v>
      </c>
    </row>
    <row r="41" spans="1:4" ht="16.5" thickBot="1">
      <c r="A41" s="28"/>
      <c r="B41" s="30"/>
      <c r="C41" s="31"/>
      <c r="D41" s="29"/>
    </row>
    <row r="42" spans="1:4">
      <c r="A42" s="26" t="s">
        <v>40</v>
      </c>
      <c r="B42" s="20">
        <v>3216</v>
      </c>
      <c r="C42" s="21">
        <f>(B42/$B$42)*100</f>
        <v>100</v>
      </c>
      <c r="D42" s="27"/>
    </row>
  </sheetData>
  <autoFilter ref="A2:S2" xr:uid="{00000000-0009-0000-0000-000007000000}">
    <sortState xmlns:xlrd2="http://schemas.microsoft.com/office/spreadsheetml/2017/richdata2" ref="A3:T40">
      <sortCondition ref="A2"/>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DESE-231-56486</_dlc_DocId>
    <_dlc_DocIdUrl xmlns="733efe1c-5bbe-4968-87dc-d400e65c879f">
      <Url>https://sharepoint.doemass.org/ese/webteam/cps/_layouts/DocIdRedir.aspx?ID=DESE-231-56486</Url>
      <Description>DESE-231-56486</Description>
    </_dlc_DocIdUrl>
  </documentManagement>
</p:properties>
</file>

<file path=customXml/itemProps1.xml><?xml version="1.0" encoding="utf-8"?>
<ds:datastoreItem xmlns:ds="http://schemas.openxmlformats.org/officeDocument/2006/customXml" ds:itemID="{5D817085-7064-4EFA-8981-62A60E558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2EA774-5ED9-4FAF-ACE9-F1E90ED2D765}">
  <ds:schemaRefs>
    <ds:schemaRef ds:uri="http://schemas.microsoft.com/sharepoint/events"/>
  </ds:schemaRefs>
</ds:datastoreItem>
</file>

<file path=customXml/itemProps3.xml><?xml version="1.0" encoding="utf-8"?>
<ds:datastoreItem xmlns:ds="http://schemas.openxmlformats.org/officeDocument/2006/customXml" ds:itemID="{092B655B-AF00-4B26-990A-24DBE911AD0D}">
  <ds:schemaRefs>
    <ds:schemaRef ds:uri="http://schemas.microsoft.com/sharepoint/v3/contenttype/forms"/>
  </ds:schemaRefs>
</ds:datastoreItem>
</file>

<file path=customXml/itemProps4.xml><?xml version="1.0" encoding="utf-8"?>
<ds:datastoreItem xmlns:ds="http://schemas.openxmlformats.org/officeDocument/2006/customXml" ds:itemID="{063E93D6-7B09-4A8D-BBDB-8B8A5F3DF312}">
  <ds:schemaRefs>
    <ds:schemaRef ds:uri="http://purl.org/dc/elements/1.1/"/>
    <ds:schemaRef ds:uri="http://schemas.microsoft.com/office/2006/metadata/properties"/>
    <ds:schemaRef ds:uri="http://purl.org/dc/dcmitype/"/>
    <ds:schemaRef ds:uri="0a4e05da-b9bc-4326-ad73-01ef31b95567"/>
    <ds:schemaRef ds:uri="http://purl.org/dc/terms/"/>
    <ds:schemaRef ds:uri="733efe1c-5bbe-4968-87dc-d400e65c879f"/>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FY20 Final Allocations</vt:lpstr>
      <vt:lpstr>FY20 Budget Assumptions</vt:lpstr>
      <vt:lpstr>Per Pupil Hold Harmless Calc</vt:lpstr>
      <vt:lpstr>Enrollment Trend</vt:lpstr>
      <vt:lpstr>FY19 grant final</vt:lpstr>
      <vt:lpstr>FY19 Budget Assumptions</vt:lpstr>
      <vt:lpstr>FY19 METCO SIMS</vt:lpstr>
      <vt:lpstr>FY18 METCO SIMS</vt:lpstr>
      <vt:lpstr>DATA</vt:lpstr>
      <vt:lpstr>enro</vt:lpstr>
      <vt:lpstr>PPHH</vt:lpstr>
      <vt:lpstr>'Enrollment Trend'!Print_Area</vt:lpstr>
      <vt:lpstr>'FY19 grant final'!Print_Area</vt:lpstr>
      <vt:lpstr>'FY20 Final Allocations'!Print_Area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FC317 METCO METCO Allocations</dc:title>
  <dc:creator>DESE</dc:creator>
  <cp:lastModifiedBy>Zou, Dong (EOE)</cp:lastModifiedBy>
  <cp:lastPrinted>2019-05-17T16:11:28Z</cp:lastPrinted>
  <dcterms:created xsi:type="dcterms:W3CDTF">2006-07-03T13:49:26Z</dcterms:created>
  <dcterms:modified xsi:type="dcterms:W3CDTF">2019-11-25T17:49:21Z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25 2019</vt:lpwstr>
  </property>
</Properties>
</file>