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50" windowHeight="8445" firstSheet="1" activeTab="1"/>
  </bookViews>
  <sheets>
    <sheet name="Contents" sheetId="4" state="hidden" r:id="rId1"/>
    <sheet name="Student rates" sheetId="1" r:id="rId2"/>
    <sheet name="Student achievement" sheetId="2" r:id="rId3"/>
    <sheet name="College readiness" sheetId="3" r:id="rId4"/>
    <sheet name="Data" sheetId="7" state="hidden" r:id="rId5"/>
  </sheets>
  <externalReferences>
    <externalReference r:id="rId6"/>
  </externalReferences>
  <definedNames>
    <definedName name="_xlnm.Print_Titles" localSheetId="3">'College readiness'!$5:$6</definedName>
    <definedName name="_xlnm.Print_Titles" localSheetId="4">Data!$B:$B</definedName>
    <definedName name="_xlnm.Print_Titles" localSheetId="2">'Student achievement'!$7:$8</definedName>
    <definedName name="school">Contents!$C$2</definedName>
    <definedName name="School_Code">Contents!$E$3</definedName>
    <definedName name="School_Data">Data!$1:$1048576</definedName>
    <definedName name="School_List">[1]Data!$A$425:$A$460</definedName>
  </definedNames>
  <calcPr calcId="125725" concurrentCalc="0"/>
</workbook>
</file>

<file path=xl/calcChain.xml><?xml version="1.0" encoding="utf-8"?>
<calcChain xmlns="http://schemas.openxmlformats.org/spreadsheetml/2006/main">
  <c r="H93" i="2"/>
  <c r="K81"/>
  <c r="E3" i="4"/>
  <c r="H153" i="2"/>
  <c r="C10"/>
  <c r="L153"/>
  <c r="K153"/>
  <c r="G153"/>
  <c r="F153"/>
  <c r="D153"/>
  <c r="C153"/>
  <c r="L152"/>
  <c r="J152"/>
  <c r="H152"/>
  <c r="G152"/>
  <c r="F152"/>
  <c r="E152"/>
  <c r="D152"/>
  <c r="C152"/>
  <c r="L151"/>
  <c r="K151"/>
  <c r="J151"/>
  <c r="H151"/>
  <c r="G151"/>
  <c r="F151"/>
  <c r="E151"/>
  <c r="D151"/>
  <c r="C151"/>
  <c r="L150"/>
  <c r="K150"/>
  <c r="J150"/>
  <c r="H150"/>
  <c r="G150"/>
  <c r="F150"/>
  <c r="E150"/>
  <c r="D150"/>
  <c r="C150"/>
  <c r="L149"/>
  <c r="K149"/>
  <c r="J149"/>
  <c r="H149"/>
  <c r="G149"/>
  <c r="F149"/>
  <c r="E149"/>
  <c r="D149"/>
  <c r="C149"/>
  <c r="L148"/>
  <c r="K148"/>
  <c r="J148"/>
  <c r="H148"/>
  <c r="G148"/>
  <c r="F148"/>
  <c r="E148"/>
  <c r="D148"/>
  <c r="C148"/>
  <c r="L147"/>
  <c r="K147"/>
  <c r="J147"/>
  <c r="H147"/>
  <c r="G147"/>
  <c r="F147"/>
  <c r="E147"/>
  <c r="D147"/>
  <c r="C147"/>
  <c r="L146"/>
  <c r="K146"/>
  <c r="J146"/>
  <c r="H146"/>
  <c r="G146"/>
  <c r="F146"/>
  <c r="E146"/>
  <c r="D146"/>
  <c r="C146"/>
  <c r="L145"/>
  <c r="K145"/>
  <c r="J145"/>
  <c r="H145"/>
  <c r="G145"/>
  <c r="F145"/>
  <c r="E145"/>
  <c r="D145"/>
  <c r="C145"/>
  <c r="L144"/>
  <c r="K144"/>
  <c r="J144"/>
  <c r="H144"/>
  <c r="G144"/>
  <c r="F144"/>
  <c r="E144"/>
  <c r="D144"/>
  <c r="C144"/>
  <c r="L143"/>
  <c r="K143"/>
  <c r="J143"/>
  <c r="H143"/>
  <c r="G143"/>
  <c r="F143"/>
  <c r="E143"/>
  <c r="D143"/>
  <c r="C143"/>
  <c r="L141"/>
  <c r="K141"/>
  <c r="J141"/>
  <c r="H141"/>
  <c r="G141"/>
  <c r="F141"/>
  <c r="E141"/>
  <c r="D141"/>
  <c r="C141"/>
  <c r="L140"/>
  <c r="K140"/>
  <c r="J140"/>
  <c r="H140"/>
  <c r="G140"/>
  <c r="F140"/>
  <c r="E140"/>
  <c r="D140"/>
  <c r="C140"/>
  <c r="L139"/>
  <c r="K139"/>
  <c r="J139"/>
  <c r="H139"/>
  <c r="G139"/>
  <c r="F139"/>
  <c r="E139"/>
  <c r="D139"/>
  <c r="C139"/>
  <c r="L138"/>
  <c r="K138"/>
  <c r="J138"/>
  <c r="H138"/>
  <c r="G138"/>
  <c r="F138"/>
  <c r="E138"/>
  <c r="D138"/>
  <c r="C138"/>
  <c r="L137"/>
  <c r="K137"/>
  <c r="J137"/>
  <c r="H137"/>
  <c r="G137"/>
  <c r="F137"/>
  <c r="E137"/>
  <c r="D137"/>
  <c r="C137"/>
  <c r="L136"/>
  <c r="K136"/>
  <c r="J136"/>
  <c r="H136"/>
  <c r="G136"/>
  <c r="F136"/>
  <c r="E136"/>
  <c r="D136"/>
  <c r="C136"/>
  <c r="L135"/>
  <c r="K135"/>
  <c r="J135"/>
  <c r="H135"/>
  <c r="G135"/>
  <c r="F135"/>
  <c r="E135"/>
  <c r="D135"/>
  <c r="C135"/>
  <c r="L134"/>
  <c r="K134"/>
  <c r="J134"/>
  <c r="H134"/>
  <c r="G134"/>
  <c r="F134"/>
  <c r="E134"/>
  <c r="D134"/>
  <c r="C134"/>
  <c r="L133"/>
  <c r="K133"/>
  <c r="J133"/>
  <c r="H133"/>
  <c r="G133"/>
  <c r="F133"/>
  <c r="E133"/>
  <c r="D133"/>
  <c r="C133"/>
  <c r="L132"/>
  <c r="K132"/>
  <c r="J132"/>
  <c r="H132"/>
  <c r="G132"/>
  <c r="F132"/>
  <c r="E132"/>
  <c r="D132"/>
  <c r="C132"/>
  <c r="L131"/>
  <c r="K131"/>
  <c r="J131"/>
  <c r="H131"/>
  <c r="G131"/>
  <c r="F131"/>
  <c r="E131"/>
  <c r="D131"/>
  <c r="C131"/>
  <c r="L130"/>
  <c r="K130"/>
  <c r="J130"/>
  <c r="H130"/>
  <c r="G130"/>
  <c r="F130"/>
  <c r="E130"/>
  <c r="D130"/>
  <c r="C130"/>
  <c r="L128"/>
  <c r="K128"/>
  <c r="J128"/>
  <c r="H128"/>
  <c r="G128"/>
  <c r="F128"/>
  <c r="E128"/>
  <c r="D128"/>
  <c r="C128"/>
  <c r="L127"/>
  <c r="K127"/>
  <c r="J127"/>
  <c r="H127"/>
  <c r="G127"/>
  <c r="F127"/>
  <c r="E127"/>
  <c r="D127"/>
  <c r="C127"/>
  <c r="L126"/>
  <c r="K126"/>
  <c r="J126"/>
  <c r="H126"/>
  <c r="G126"/>
  <c r="F126"/>
  <c r="E126"/>
  <c r="D126"/>
  <c r="C126"/>
  <c r="L125"/>
  <c r="K125"/>
  <c r="J125"/>
  <c r="H125"/>
  <c r="G125"/>
  <c r="F125"/>
  <c r="E125"/>
  <c r="D125"/>
  <c r="C125"/>
  <c r="L124"/>
  <c r="K124"/>
  <c r="J124"/>
  <c r="H124"/>
  <c r="G124"/>
  <c r="F124"/>
  <c r="E124"/>
  <c r="D124"/>
  <c r="C124"/>
  <c r="L123"/>
  <c r="K123"/>
  <c r="J123"/>
  <c r="H123"/>
  <c r="G123"/>
  <c r="F123"/>
  <c r="E123"/>
  <c r="D123"/>
  <c r="C123"/>
  <c r="L122"/>
  <c r="K122"/>
  <c r="J122"/>
  <c r="H122"/>
  <c r="G122"/>
  <c r="F122"/>
  <c r="E122"/>
  <c r="D122"/>
  <c r="C122"/>
  <c r="L121"/>
  <c r="K121"/>
  <c r="J121"/>
  <c r="H121"/>
  <c r="G121"/>
  <c r="F121"/>
  <c r="E121"/>
  <c r="D121"/>
  <c r="C121"/>
  <c r="L120"/>
  <c r="K120"/>
  <c r="J120"/>
  <c r="H120"/>
  <c r="G120"/>
  <c r="F120"/>
  <c r="E120"/>
  <c r="D120"/>
  <c r="C120"/>
  <c r="L119"/>
  <c r="K119"/>
  <c r="J119"/>
  <c r="H119"/>
  <c r="G119"/>
  <c r="F119"/>
  <c r="E119"/>
  <c r="D119"/>
  <c r="C119"/>
  <c r="L118"/>
  <c r="K118"/>
  <c r="J118"/>
  <c r="H118"/>
  <c r="G118"/>
  <c r="F118"/>
  <c r="E118"/>
  <c r="D118"/>
  <c r="C118"/>
  <c r="L117"/>
  <c r="K117"/>
  <c r="J117"/>
  <c r="H117"/>
  <c r="G117"/>
  <c r="F117"/>
  <c r="E117"/>
  <c r="D117"/>
  <c r="C117"/>
  <c r="L115"/>
  <c r="K115"/>
  <c r="J115"/>
  <c r="H115"/>
  <c r="G115"/>
  <c r="F115"/>
  <c r="E115"/>
  <c r="D115"/>
  <c r="C115"/>
  <c r="L114"/>
  <c r="K114"/>
  <c r="J114"/>
  <c r="H114"/>
  <c r="G114"/>
  <c r="F114"/>
  <c r="E114"/>
  <c r="D114"/>
  <c r="C114"/>
  <c r="L113"/>
  <c r="K113"/>
  <c r="J113"/>
  <c r="H113"/>
  <c r="G113"/>
  <c r="F113"/>
  <c r="E113"/>
  <c r="D113"/>
  <c r="C113"/>
  <c r="L112"/>
  <c r="K112"/>
  <c r="J112"/>
  <c r="H112"/>
  <c r="G112"/>
  <c r="F112"/>
  <c r="E112"/>
  <c r="D112"/>
  <c r="C112"/>
  <c r="L111"/>
  <c r="K111"/>
  <c r="J111"/>
  <c r="H111"/>
  <c r="G111"/>
  <c r="F111"/>
  <c r="E111"/>
  <c r="D111"/>
  <c r="C111"/>
  <c r="L110"/>
  <c r="K110"/>
  <c r="J110"/>
  <c r="H110"/>
  <c r="G110"/>
  <c r="F110"/>
  <c r="E110"/>
  <c r="D110"/>
  <c r="C110"/>
  <c r="L109"/>
  <c r="K109"/>
  <c r="J109"/>
  <c r="H109"/>
  <c r="G109"/>
  <c r="F109"/>
  <c r="E109"/>
  <c r="D109"/>
  <c r="C109"/>
  <c r="L108"/>
  <c r="K108"/>
  <c r="J108"/>
  <c r="H108"/>
  <c r="G108"/>
  <c r="F108"/>
  <c r="E108"/>
  <c r="D108"/>
  <c r="C108"/>
  <c r="L107"/>
  <c r="K107"/>
  <c r="J107"/>
  <c r="H107"/>
  <c r="G107"/>
  <c r="F107"/>
  <c r="E107"/>
  <c r="D107"/>
  <c r="C107"/>
  <c r="L106"/>
  <c r="K106"/>
  <c r="J106"/>
  <c r="H106"/>
  <c r="G106"/>
  <c r="F106"/>
  <c r="E106"/>
  <c r="D106"/>
  <c r="C106"/>
  <c r="L105"/>
  <c r="K105"/>
  <c r="J105"/>
  <c r="H105"/>
  <c r="G105"/>
  <c r="F105"/>
  <c r="E105"/>
  <c r="D105"/>
  <c r="C105"/>
  <c r="L104"/>
  <c r="K104"/>
  <c r="J104"/>
  <c r="H104"/>
  <c r="G104"/>
  <c r="F104"/>
  <c r="E104"/>
  <c r="D104"/>
  <c r="C104"/>
  <c r="L102"/>
  <c r="K102"/>
  <c r="J102"/>
  <c r="H102"/>
  <c r="G102"/>
  <c r="F102"/>
  <c r="E102"/>
  <c r="D102"/>
  <c r="C102"/>
  <c r="L101"/>
  <c r="K101"/>
  <c r="J101"/>
  <c r="H101"/>
  <c r="G101"/>
  <c r="F101"/>
  <c r="E101"/>
  <c r="D101"/>
  <c r="C101"/>
  <c r="L100"/>
  <c r="K100"/>
  <c r="J100"/>
  <c r="H100"/>
  <c r="G100"/>
  <c r="F100"/>
  <c r="E100"/>
  <c r="D100"/>
  <c r="C100"/>
  <c r="L99"/>
  <c r="K99"/>
  <c r="J99"/>
  <c r="H99"/>
  <c r="G99"/>
  <c r="F99"/>
  <c r="E99"/>
  <c r="D99"/>
  <c r="C99"/>
  <c r="L98"/>
  <c r="K98"/>
  <c r="J98"/>
  <c r="H98"/>
  <c r="G98"/>
  <c r="F98"/>
  <c r="E98"/>
  <c r="D98"/>
  <c r="C98"/>
  <c r="L97"/>
  <c r="K97"/>
  <c r="J97"/>
  <c r="H97"/>
  <c r="G97"/>
  <c r="F97"/>
  <c r="E97"/>
  <c r="D97"/>
  <c r="C97"/>
  <c r="L96"/>
  <c r="K96"/>
  <c r="J96"/>
  <c r="H96"/>
  <c r="G96"/>
  <c r="F96"/>
  <c r="E96"/>
  <c r="D96"/>
  <c r="C96"/>
  <c r="L95"/>
  <c r="K95"/>
  <c r="J95"/>
  <c r="H95"/>
  <c r="G95"/>
  <c r="F95"/>
  <c r="E95"/>
  <c r="D95"/>
  <c r="C95"/>
  <c r="L94"/>
  <c r="K94"/>
  <c r="J94"/>
  <c r="H94"/>
  <c r="G94"/>
  <c r="F94"/>
  <c r="E94"/>
  <c r="D94"/>
  <c r="C94"/>
  <c r="L93"/>
  <c r="G93"/>
  <c r="F93"/>
  <c r="E93"/>
  <c r="D93"/>
  <c r="C93"/>
  <c r="L92"/>
  <c r="K92"/>
  <c r="J92"/>
  <c r="H92"/>
  <c r="G92"/>
  <c r="F92"/>
  <c r="E92"/>
  <c r="D92"/>
  <c r="C92"/>
  <c r="L91"/>
  <c r="K91"/>
  <c r="J91"/>
  <c r="H91"/>
  <c r="G91"/>
  <c r="F91"/>
  <c r="E91"/>
  <c r="D91"/>
  <c r="C91"/>
  <c r="L89"/>
  <c r="K89"/>
  <c r="J89"/>
  <c r="H89"/>
  <c r="G89"/>
  <c r="F89"/>
  <c r="E89"/>
  <c r="D89"/>
  <c r="C89"/>
  <c r="L88"/>
  <c r="K88"/>
  <c r="J88"/>
  <c r="H88"/>
  <c r="G88"/>
  <c r="F88"/>
  <c r="E88"/>
  <c r="D88"/>
  <c r="C88"/>
  <c r="L87"/>
  <c r="K87"/>
  <c r="J87"/>
  <c r="H87"/>
  <c r="G87"/>
  <c r="F87"/>
  <c r="E87"/>
  <c r="D87"/>
  <c r="C87"/>
  <c r="L86"/>
  <c r="K86"/>
  <c r="J86"/>
  <c r="H86"/>
  <c r="G86"/>
  <c r="F86"/>
  <c r="E86"/>
  <c r="D86"/>
  <c r="C86"/>
  <c r="L85"/>
  <c r="K85"/>
  <c r="J85"/>
  <c r="H85"/>
  <c r="G85"/>
  <c r="F85"/>
  <c r="E85"/>
  <c r="D85"/>
  <c r="C85"/>
  <c r="L84"/>
  <c r="K84"/>
  <c r="J84"/>
  <c r="H84"/>
  <c r="G84"/>
  <c r="F84"/>
  <c r="E84"/>
  <c r="D84"/>
  <c r="C84"/>
  <c r="L83"/>
  <c r="K83"/>
  <c r="J83"/>
  <c r="H83"/>
  <c r="G83"/>
  <c r="F83"/>
  <c r="E83"/>
  <c r="D83"/>
  <c r="C83"/>
  <c r="L82"/>
  <c r="K82"/>
  <c r="J82"/>
  <c r="H82"/>
  <c r="G82"/>
  <c r="F82"/>
  <c r="E82"/>
  <c r="D82"/>
  <c r="C82"/>
  <c r="L81"/>
  <c r="H81"/>
  <c r="G81"/>
  <c r="F81"/>
  <c r="E81"/>
  <c r="D81"/>
  <c r="C81"/>
  <c r="L80"/>
  <c r="K80"/>
  <c r="J80"/>
  <c r="H80"/>
  <c r="G80"/>
  <c r="F80"/>
  <c r="E80"/>
  <c r="D80"/>
  <c r="C80"/>
  <c r="L79"/>
  <c r="K79"/>
  <c r="J79"/>
  <c r="H79"/>
  <c r="G79"/>
  <c r="F79"/>
  <c r="E79"/>
  <c r="D79"/>
  <c r="C79"/>
  <c r="L78"/>
  <c r="K78"/>
  <c r="J78"/>
  <c r="H78"/>
  <c r="G78"/>
  <c r="F78"/>
  <c r="E78"/>
  <c r="D78"/>
  <c r="C78"/>
  <c r="L76"/>
  <c r="K76"/>
  <c r="J76"/>
  <c r="H76"/>
  <c r="G76"/>
  <c r="F76"/>
  <c r="E76"/>
  <c r="D76"/>
  <c r="C76"/>
  <c r="L74"/>
  <c r="K74"/>
  <c r="J74"/>
  <c r="H74"/>
  <c r="G74"/>
  <c r="F74"/>
  <c r="E74"/>
  <c r="D74"/>
  <c r="C74"/>
  <c r="L73"/>
  <c r="K73"/>
  <c r="J73"/>
  <c r="H73"/>
  <c r="G73"/>
  <c r="F73"/>
  <c r="E73"/>
  <c r="D73"/>
  <c r="C73"/>
  <c r="L72"/>
  <c r="K72"/>
  <c r="J72"/>
  <c r="H72"/>
  <c r="G72"/>
  <c r="F72"/>
  <c r="E72"/>
  <c r="D72"/>
  <c r="C72"/>
  <c r="L71"/>
  <c r="K71"/>
  <c r="J71"/>
  <c r="H71"/>
  <c r="G71"/>
  <c r="F71"/>
  <c r="E71"/>
  <c r="D71"/>
  <c r="C71"/>
  <c r="L70"/>
  <c r="K70"/>
  <c r="J70"/>
  <c r="H70"/>
  <c r="G70"/>
  <c r="F70"/>
  <c r="E70"/>
  <c r="D70"/>
  <c r="C70"/>
  <c r="L69"/>
  <c r="K69"/>
  <c r="J69"/>
  <c r="H69"/>
  <c r="G69"/>
  <c r="F69"/>
  <c r="E69"/>
  <c r="D69"/>
  <c r="C69"/>
  <c r="L68"/>
  <c r="K68"/>
  <c r="J68"/>
  <c r="H68"/>
  <c r="G68"/>
  <c r="F68"/>
  <c r="E68"/>
  <c r="D68"/>
  <c r="C68"/>
  <c r="L67"/>
  <c r="K67"/>
  <c r="J67"/>
  <c r="H67"/>
  <c r="G67"/>
  <c r="F67"/>
  <c r="E67"/>
  <c r="D67"/>
  <c r="C67"/>
  <c r="L66"/>
  <c r="K66"/>
  <c r="J66"/>
  <c r="H66"/>
  <c r="G66"/>
  <c r="F66"/>
  <c r="E66"/>
  <c r="D66"/>
  <c r="C66"/>
  <c r="L65"/>
  <c r="K65"/>
  <c r="J65"/>
  <c r="H65"/>
  <c r="G65"/>
  <c r="F65"/>
  <c r="E65"/>
  <c r="D65"/>
  <c r="C65"/>
  <c r="L64"/>
  <c r="K64"/>
  <c r="J64"/>
  <c r="H64"/>
  <c r="G64"/>
  <c r="F64"/>
  <c r="E64"/>
  <c r="D64"/>
  <c r="C64"/>
  <c r="L62"/>
  <c r="K62"/>
  <c r="J62"/>
  <c r="H62"/>
  <c r="G62"/>
  <c r="F62"/>
  <c r="E62"/>
  <c r="D62"/>
  <c r="C62"/>
  <c r="L61"/>
  <c r="K61"/>
  <c r="J61"/>
  <c r="H61"/>
  <c r="G61"/>
  <c r="F61"/>
  <c r="E61"/>
  <c r="D61"/>
  <c r="C61"/>
  <c r="L60"/>
  <c r="K60"/>
  <c r="J60"/>
  <c r="H60"/>
  <c r="G60"/>
  <c r="F60"/>
  <c r="E60"/>
  <c r="D60"/>
  <c r="C60"/>
  <c r="L59"/>
  <c r="K59"/>
  <c r="J59"/>
  <c r="H59"/>
  <c r="G59"/>
  <c r="F59"/>
  <c r="E59"/>
  <c r="D59"/>
  <c r="C59"/>
  <c r="L58"/>
  <c r="K58"/>
  <c r="J58"/>
  <c r="H58"/>
  <c r="G58"/>
  <c r="F58"/>
  <c r="E58"/>
  <c r="D58"/>
  <c r="C58"/>
  <c r="L57"/>
  <c r="K57"/>
  <c r="J57"/>
  <c r="H57"/>
  <c r="G57"/>
  <c r="F57"/>
  <c r="E57"/>
  <c r="D57"/>
  <c r="C57"/>
  <c r="L56"/>
  <c r="K56"/>
  <c r="J56"/>
  <c r="H56"/>
  <c r="G56"/>
  <c r="F56"/>
  <c r="E56"/>
  <c r="D56"/>
  <c r="C56"/>
  <c r="L55"/>
  <c r="K55"/>
  <c r="J55"/>
  <c r="H55"/>
  <c r="G55"/>
  <c r="F55"/>
  <c r="E55"/>
  <c r="D55"/>
  <c r="C55"/>
  <c r="L54"/>
  <c r="K54"/>
  <c r="J54"/>
  <c r="H54"/>
  <c r="G54"/>
  <c r="F54"/>
  <c r="E54"/>
  <c r="D54"/>
  <c r="C54"/>
  <c r="L53"/>
  <c r="K53"/>
  <c r="J53"/>
  <c r="H53"/>
  <c r="G53"/>
  <c r="F53"/>
  <c r="E53"/>
  <c r="D53"/>
  <c r="C53"/>
  <c r="L52"/>
  <c r="K52"/>
  <c r="J52"/>
  <c r="H52"/>
  <c r="G52"/>
  <c r="F52"/>
  <c r="E52"/>
  <c r="D52"/>
  <c r="C52"/>
  <c r="L51"/>
  <c r="K51"/>
  <c r="J51"/>
  <c r="H51"/>
  <c r="G51"/>
  <c r="F51"/>
  <c r="E51"/>
  <c r="D51"/>
  <c r="C51"/>
  <c r="L49"/>
  <c r="K49"/>
  <c r="J49"/>
  <c r="H49"/>
  <c r="G49"/>
  <c r="F49"/>
  <c r="E49"/>
  <c r="D49"/>
  <c r="C49"/>
  <c r="L48"/>
  <c r="K48"/>
  <c r="J48"/>
  <c r="H48"/>
  <c r="G48"/>
  <c r="F48"/>
  <c r="E48"/>
  <c r="D48"/>
  <c r="C48"/>
  <c r="L47"/>
  <c r="K47"/>
  <c r="J47"/>
  <c r="H47"/>
  <c r="G47"/>
  <c r="F47"/>
  <c r="E47"/>
  <c r="D47"/>
  <c r="C47"/>
  <c r="L46"/>
  <c r="K46"/>
  <c r="J46"/>
  <c r="H46"/>
  <c r="G46"/>
  <c r="F46"/>
  <c r="E46"/>
  <c r="D46"/>
  <c r="C46"/>
  <c r="L45"/>
  <c r="K45"/>
  <c r="J45"/>
  <c r="H45"/>
  <c r="G45"/>
  <c r="F45"/>
  <c r="E45"/>
  <c r="D45"/>
  <c r="C45"/>
  <c r="L44"/>
  <c r="K44"/>
  <c r="J44"/>
  <c r="H44"/>
  <c r="G44"/>
  <c r="F44"/>
  <c r="E44"/>
  <c r="D44"/>
  <c r="C44"/>
  <c r="L43"/>
  <c r="K43"/>
  <c r="J43"/>
  <c r="H43"/>
  <c r="G43"/>
  <c r="F43"/>
  <c r="E43"/>
  <c r="D43"/>
  <c r="C43"/>
  <c r="L42"/>
  <c r="K42"/>
  <c r="J42"/>
  <c r="H42"/>
  <c r="G42"/>
  <c r="F42"/>
  <c r="E42"/>
  <c r="D42"/>
  <c r="C42"/>
  <c r="L41"/>
  <c r="K41"/>
  <c r="J41"/>
  <c r="H41"/>
  <c r="G41"/>
  <c r="F41"/>
  <c r="E41"/>
  <c r="D41"/>
  <c r="C41"/>
  <c r="L40"/>
  <c r="K40"/>
  <c r="J40"/>
  <c r="H40"/>
  <c r="G40"/>
  <c r="F40"/>
  <c r="E40"/>
  <c r="D40"/>
  <c r="C40"/>
  <c r="L39"/>
  <c r="K39"/>
  <c r="J39"/>
  <c r="H39"/>
  <c r="G39"/>
  <c r="F39"/>
  <c r="E39"/>
  <c r="D39"/>
  <c r="C39"/>
  <c r="L38"/>
  <c r="K38"/>
  <c r="J38"/>
  <c r="H38"/>
  <c r="G38"/>
  <c r="F38"/>
  <c r="E38"/>
  <c r="D38"/>
  <c r="C38"/>
  <c r="L36"/>
  <c r="K36"/>
  <c r="J36"/>
  <c r="H36"/>
  <c r="G36"/>
  <c r="F36"/>
  <c r="E36"/>
  <c r="D36"/>
  <c r="C36"/>
  <c r="L35"/>
  <c r="K35"/>
  <c r="J35"/>
  <c r="H35"/>
  <c r="G35"/>
  <c r="F35"/>
  <c r="E35"/>
  <c r="D35"/>
  <c r="C35"/>
  <c r="L34"/>
  <c r="K34"/>
  <c r="J34"/>
  <c r="H34"/>
  <c r="G34"/>
  <c r="F34"/>
  <c r="E34"/>
  <c r="D34"/>
  <c r="C34"/>
  <c r="L33"/>
  <c r="K33"/>
  <c r="J33"/>
  <c r="H33"/>
  <c r="G33"/>
  <c r="F33"/>
  <c r="E33"/>
  <c r="D33"/>
  <c r="C33"/>
  <c r="L32"/>
  <c r="K32"/>
  <c r="J32"/>
  <c r="H32"/>
  <c r="G32"/>
  <c r="F32"/>
  <c r="E32"/>
  <c r="D32"/>
  <c r="C32"/>
  <c r="L31"/>
  <c r="K31"/>
  <c r="J31"/>
  <c r="H31"/>
  <c r="G31"/>
  <c r="F31"/>
  <c r="E31"/>
  <c r="D31"/>
  <c r="C31"/>
  <c r="L30"/>
  <c r="K30"/>
  <c r="J30"/>
  <c r="H30"/>
  <c r="G30"/>
  <c r="F30"/>
  <c r="E30"/>
  <c r="D30"/>
  <c r="C30"/>
  <c r="L29"/>
  <c r="K29"/>
  <c r="J29"/>
  <c r="H29"/>
  <c r="G29"/>
  <c r="F29"/>
  <c r="E29"/>
  <c r="D29"/>
  <c r="C29"/>
  <c r="L28"/>
  <c r="K28"/>
  <c r="J28"/>
  <c r="H28"/>
  <c r="G28"/>
  <c r="F28"/>
  <c r="E28"/>
  <c r="D28"/>
  <c r="C28"/>
  <c r="L27"/>
  <c r="K27"/>
  <c r="J27"/>
  <c r="H27"/>
  <c r="G27"/>
  <c r="F27"/>
  <c r="E27"/>
  <c r="D27"/>
  <c r="C27"/>
  <c r="L26"/>
  <c r="K26"/>
  <c r="J26"/>
  <c r="H26"/>
  <c r="G26"/>
  <c r="F26"/>
  <c r="E26"/>
  <c r="D26"/>
  <c r="C26"/>
  <c r="L25"/>
  <c r="K25"/>
  <c r="J25"/>
  <c r="H25"/>
  <c r="G25"/>
  <c r="F25"/>
  <c r="E25"/>
  <c r="D25"/>
  <c r="C25"/>
  <c r="L23"/>
  <c r="K23"/>
  <c r="J23"/>
  <c r="H23"/>
  <c r="G23"/>
  <c r="F23"/>
  <c r="E23"/>
  <c r="D23"/>
  <c r="C23"/>
  <c r="L22"/>
  <c r="K22"/>
  <c r="J22"/>
  <c r="H22"/>
  <c r="G22"/>
  <c r="F22"/>
  <c r="E22"/>
  <c r="D22"/>
  <c r="C22"/>
  <c r="L21"/>
  <c r="K21"/>
  <c r="J21"/>
  <c r="H21"/>
  <c r="G21"/>
  <c r="F21"/>
  <c r="E21"/>
  <c r="D21"/>
  <c r="C21"/>
  <c r="L20"/>
  <c r="K20"/>
  <c r="J20"/>
  <c r="H20"/>
  <c r="G20"/>
  <c r="F20"/>
  <c r="E20"/>
  <c r="D20"/>
  <c r="C20"/>
  <c r="L19"/>
  <c r="K19"/>
  <c r="J19"/>
  <c r="H19"/>
  <c r="G19"/>
  <c r="F19"/>
  <c r="E19"/>
  <c r="D19"/>
  <c r="C19"/>
  <c r="L18"/>
  <c r="K18"/>
  <c r="J18"/>
  <c r="H18"/>
  <c r="G18"/>
  <c r="F18"/>
  <c r="E18"/>
  <c r="D18"/>
  <c r="C18"/>
  <c r="L17"/>
  <c r="K17"/>
  <c r="J17"/>
  <c r="H17"/>
  <c r="G17"/>
  <c r="F17"/>
  <c r="E17"/>
  <c r="D17"/>
  <c r="C17"/>
  <c r="L16"/>
  <c r="K16"/>
  <c r="J16"/>
  <c r="H16"/>
  <c r="G16"/>
  <c r="F16"/>
  <c r="E16"/>
  <c r="D16"/>
  <c r="C16"/>
  <c r="L15"/>
  <c r="K15"/>
  <c r="J15"/>
  <c r="H15"/>
  <c r="G15"/>
  <c r="F15"/>
  <c r="E15"/>
  <c r="D15"/>
  <c r="C15"/>
  <c r="L14"/>
  <c r="K14"/>
  <c r="J14"/>
  <c r="H14"/>
  <c r="G14"/>
  <c r="F14"/>
  <c r="E14"/>
  <c r="D14"/>
  <c r="C14"/>
  <c r="L13"/>
  <c r="K13"/>
  <c r="J13"/>
  <c r="H13"/>
  <c r="G13"/>
  <c r="F13"/>
  <c r="E13"/>
  <c r="D13"/>
  <c r="C13"/>
  <c r="L12"/>
  <c r="K12"/>
  <c r="J12"/>
  <c r="H12"/>
  <c r="G12"/>
  <c r="F12"/>
  <c r="E12"/>
  <c r="D12"/>
  <c r="C12"/>
  <c r="L10"/>
  <c r="K10"/>
  <c r="J10"/>
  <c r="H10"/>
  <c r="G10"/>
  <c r="F10"/>
  <c r="E10"/>
  <c r="D10"/>
  <c r="L63" i="1"/>
  <c r="K63"/>
  <c r="J63"/>
  <c r="H63"/>
  <c r="G63"/>
  <c r="F63"/>
  <c r="E63"/>
  <c r="D63"/>
  <c r="C63"/>
  <c r="L62"/>
  <c r="K62"/>
  <c r="J62"/>
  <c r="H62"/>
  <c r="G62"/>
  <c r="F62"/>
  <c r="E62"/>
  <c r="D62"/>
  <c r="C62"/>
  <c r="L61"/>
  <c r="K61"/>
  <c r="J61"/>
  <c r="H61"/>
  <c r="G61"/>
  <c r="F61"/>
  <c r="E61"/>
  <c r="D61"/>
  <c r="C61"/>
  <c r="L60"/>
  <c r="K60"/>
  <c r="J60"/>
  <c r="H60"/>
  <c r="G60"/>
  <c r="F60"/>
  <c r="E60"/>
  <c r="D60"/>
  <c r="C60"/>
  <c r="L59"/>
  <c r="K59"/>
  <c r="J59"/>
  <c r="H59"/>
  <c r="G59"/>
  <c r="F59"/>
  <c r="E59"/>
  <c r="D59"/>
  <c r="C59"/>
  <c r="L58"/>
  <c r="K58"/>
  <c r="J58"/>
  <c r="H58"/>
  <c r="G58"/>
  <c r="F58"/>
  <c r="E58"/>
  <c r="D58"/>
  <c r="C58"/>
  <c r="L57"/>
  <c r="K57"/>
  <c r="J57"/>
  <c r="H57"/>
  <c r="G57"/>
  <c r="F57"/>
  <c r="E57"/>
  <c r="D57"/>
  <c r="C57"/>
  <c r="L56"/>
  <c r="K56"/>
  <c r="J56"/>
  <c r="H56"/>
  <c r="G56"/>
  <c r="F56"/>
  <c r="E56"/>
  <c r="D56"/>
  <c r="C56"/>
  <c r="L55"/>
  <c r="K55"/>
  <c r="J55"/>
  <c r="H55"/>
  <c r="G55"/>
  <c r="F55"/>
  <c r="E55"/>
  <c r="D55"/>
  <c r="C55"/>
  <c r="L54"/>
  <c r="K54"/>
  <c r="J54"/>
  <c r="H54"/>
  <c r="G54"/>
  <c r="F54"/>
  <c r="E54"/>
  <c r="D54"/>
  <c r="C54"/>
  <c r="L53"/>
  <c r="K53"/>
  <c r="J53"/>
  <c r="H53"/>
  <c r="G53"/>
  <c r="F53"/>
  <c r="E53"/>
  <c r="D53"/>
  <c r="C53"/>
  <c r="L51"/>
  <c r="K51"/>
  <c r="J51"/>
  <c r="H51"/>
  <c r="G51"/>
  <c r="F51"/>
  <c r="E51"/>
  <c r="D51"/>
  <c r="C51"/>
  <c r="L50"/>
  <c r="K50"/>
  <c r="J50"/>
  <c r="H50"/>
  <c r="G50"/>
  <c r="F50"/>
  <c r="E50"/>
  <c r="D50"/>
  <c r="C50"/>
  <c r="L49"/>
  <c r="K49"/>
  <c r="J49"/>
  <c r="H49"/>
  <c r="G49"/>
  <c r="F49"/>
  <c r="E49"/>
  <c r="D49"/>
  <c r="C49"/>
  <c r="L48"/>
  <c r="K48"/>
  <c r="J48"/>
  <c r="H48"/>
  <c r="G48"/>
  <c r="F48"/>
  <c r="E48"/>
  <c r="D48"/>
  <c r="C48"/>
  <c r="L47"/>
  <c r="K47"/>
  <c r="J47"/>
  <c r="H47"/>
  <c r="G47"/>
  <c r="F47"/>
  <c r="E47"/>
  <c r="D47"/>
  <c r="C47"/>
  <c r="L46"/>
  <c r="K46"/>
  <c r="J46"/>
  <c r="H46"/>
  <c r="G46"/>
  <c r="F46"/>
  <c r="E46"/>
  <c r="D46"/>
  <c r="C46"/>
  <c r="L45"/>
  <c r="K45"/>
  <c r="J45"/>
  <c r="H45"/>
  <c r="G45"/>
  <c r="F45"/>
  <c r="E45"/>
  <c r="D45"/>
  <c r="C45"/>
  <c r="L44"/>
  <c r="K44"/>
  <c r="J44"/>
  <c r="H44"/>
  <c r="G44"/>
  <c r="F44"/>
  <c r="E44"/>
  <c r="D44"/>
  <c r="C44"/>
  <c r="L43"/>
  <c r="K43"/>
  <c r="J43"/>
  <c r="H43"/>
  <c r="G43"/>
  <c r="F43"/>
  <c r="E43"/>
  <c r="D43"/>
  <c r="C43"/>
  <c r="L42"/>
  <c r="K42"/>
  <c r="J42"/>
  <c r="H42"/>
  <c r="G42"/>
  <c r="F42"/>
  <c r="E42"/>
  <c r="D42"/>
  <c r="C42"/>
  <c r="L41"/>
  <c r="K41"/>
  <c r="J41"/>
  <c r="H41"/>
  <c r="G41"/>
  <c r="F41"/>
  <c r="E41"/>
  <c r="D41"/>
  <c r="C41"/>
  <c r="L40"/>
  <c r="K40"/>
  <c r="J40"/>
  <c r="H40"/>
  <c r="G40"/>
  <c r="F40"/>
  <c r="E40"/>
  <c r="D40"/>
  <c r="C40"/>
  <c r="L38"/>
  <c r="K38"/>
  <c r="J38"/>
  <c r="H38"/>
  <c r="G38"/>
  <c r="F38"/>
  <c r="E38"/>
  <c r="D38"/>
  <c r="C38"/>
  <c r="L35"/>
  <c r="K35"/>
  <c r="J35"/>
  <c r="H35"/>
  <c r="G35"/>
  <c r="F35"/>
  <c r="E35"/>
  <c r="D35"/>
  <c r="C35"/>
  <c r="L34"/>
  <c r="K34"/>
  <c r="J34"/>
  <c r="H34"/>
  <c r="G34"/>
  <c r="F34"/>
  <c r="E34"/>
  <c r="D34"/>
  <c r="C34"/>
  <c r="L33"/>
  <c r="K33"/>
  <c r="J33"/>
  <c r="H33"/>
  <c r="G33"/>
  <c r="F33"/>
  <c r="E33"/>
  <c r="D33"/>
  <c r="C33"/>
  <c r="L32"/>
  <c r="K32"/>
  <c r="J32"/>
  <c r="H32"/>
  <c r="G32"/>
  <c r="F32"/>
  <c r="E32"/>
  <c r="D32"/>
  <c r="C32"/>
  <c r="L31"/>
  <c r="K31"/>
  <c r="J31"/>
  <c r="H31"/>
  <c r="G31"/>
  <c r="F31"/>
  <c r="E31"/>
  <c r="D31"/>
  <c r="C31"/>
  <c r="L30"/>
  <c r="K30"/>
  <c r="J30"/>
  <c r="H30"/>
  <c r="G30"/>
  <c r="F30"/>
  <c r="E30"/>
  <c r="D30"/>
  <c r="C30"/>
  <c r="L29"/>
  <c r="K29"/>
  <c r="J29"/>
  <c r="H29"/>
  <c r="G29"/>
  <c r="F29"/>
  <c r="E29"/>
  <c r="D29"/>
  <c r="C29"/>
  <c r="L28"/>
  <c r="K28"/>
  <c r="J28"/>
  <c r="H28"/>
  <c r="G28"/>
  <c r="F28"/>
  <c r="E28"/>
  <c r="D28"/>
  <c r="C28"/>
  <c r="L27"/>
  <c r="K27"/>
  <c r="J27"/>
  <c r="H27"/>
  <c r="G27"/>
  <c r="F27"/>
  <c r="E27"/>
  <c r="D27"/>
  <c r="C27"/>
  <c r="L26"/>
  <c r="K26"/>
  <c r="J26"/>
  <c r="H26"/>
  <c r="G26"/>
  <c r="F26"/>
  <c r="E26"/>
  <c r="D26"/>
  <c r="C26"/>
  <c r="L25"/>
  <c r="K25"/>
  <c r="J25"/>
  <c r="H25"/>
  <c r="G25"/>
  <c r="F25"/>
  <c r="E25"/>
  <c r="D25"/>
  <c r="C25"/>
  <c r="L23"/>
  <c r="K23"/>
  <c r="J23"/>
  <c r="H23"/>
  <c r="G23"/>
  <c r="F23"/>
  <c r="D23"/>
  <c r="J81" i="2"/>
  <c r="K152"/>
  <c r="E153"/>
  <c r="J153"/>
  <c r="C23" i="1"/>
  <c r="E23"/>
  <c r="K93" i="2"/>
  <c r="J93"/>
</calcChain>
</file>

<file path=xl/sharedStrings.xml><?xml version="1.0" encoding="utf-8"?>
<sst xmlns="http://schemas.openxmlformats.org/spreadsheetml/2006/main" count="1820" uniqueCount="279">
  <si>
    <t>Student rates</t>
  </si>
  <si>
    <t>Measure</t>
  </si>
  <si>
    <t>Measurable Annual Goals (MAGs)</t>
  </si>
  <si>
    <t>2011
Baseline</t>
  </si>
  <si>
    <t>2012 
Target</t>
  </si>
  <si>
    <t>2012
Actual</t>
  </si>
  <si>
    <t>2013 
Target</t>
  </si>
  <si>
    <t>2013
Actual</t>
  </si>
  <si>
    <t>2014 
Target</t>
  </si>
  <si>
    <t>2015 
Target</t>
  </si>
  <si>
    <t>2016 
Target</t>
  </si>
  <si>
    <t>2017
Target</t>
  </si>
  <si>
    <t>MGL Chapter 69,  Section 1J( c ): (1) student attendance, dismissal rates, and exclusion rates</t>
  </si>
  <si>
    <r>
      <t xml:space="preserve">Attendance rate (increase)
</t>
    </r>
    <r>
      <rPr>
        <sz val="10"/>
        <color theme="1"/>
        <rFont val="Calibri"/>
        <family val="2"/>
        <scheme val="minor"/>
      </rPr>
      <t>Total # of days students attended school divided by total # of days students were enrolled during the school year. Set, at a minimum, a goal of 92% or improvement of at least 1% from the prior year if below 92%. (Source: SIMS)</t>
    </r>
  </si>
  <si>
    <t>Link to historical data (DART)</t>
  </si>
  <si>
    <r>
      <t xml:space="preserve">Percentage of students absent greater than 10% of days in membership (decrease)
</t>
    </r>
    <r>
      <rPr>
        <sz val="10"/>
        <color theme="1"/>
        <rFont val="Calibri"/>
        <family val="2"/>
        <scheme val="minor"/>
      </rPr>
      <t>Determined by the district. (Source: SIMS)</t>
    </r>
  </si>
  <si>
    <r>
      <t xml:space="preserve">Dismissal rate (decrease)
</t>
    </r>
    <r>
      <rPr>
        <sz val="10"/>
        <color theme="1"/>
        <rFont val="Calibri"/>
        <family val="2"/>
        <scheme val="minor"/>
      </rPr>
      <t>Total # of dismissals from non-routine student-nurse encounters) / (total # of non-routine encounters), or a similar measure. (Source: DPH)</t>
    </r>
  </si>
  <si>
    <r>
      <rPr>
        <b/>
        <sz val="10"/>
        <color theme="1"/>
        <rFont val="Calibri"/>
        <family val="2"/>
        <scheme val="minor"/>
      </rPr>
      <t>Out-of-school suspension rate (decrease)</t>
    </r>
    <r>
      <rPr>
        <sz val="10"/>
        <color theme="1"/>
        <rFont val="Calibri"/>
        <family val="2"/>
        <scheme val="minor"/>
      </rPr>
      <t xml:space="preserve">
Percentage of enrolled students who received 1+  out-of-school suspensions. (Source: SIMS)</t>
    </r>
  </si>
  <si>
    <t>Link to historical data (School &amp; District Profiles Indicators Report)</t>
  </si>
  <si>
    <t>MGL Chapter 69,  Section 1J( c ): (2) student safety and discipline</t>
  </si>
  <si>
    <r>
      <rPr>
        <b/>
        <sz val="10"/>
        <color theme="1"/>
        <rFont val="Calibri"/>
        <family val="2"/>
        <scheme val="minor"/>
      </rPr>
      <t>Number of drug, weapon, or violence incidents (decrease)</t>
    </r>
    <r>
      <rPr>
        <sz val="10"/>
        <color theme="1"/>
        <rFont val="Calibri"/>
        <family val="2"/>
        <scheme val="minor"/>
      </rPr>
      <t xml:space="preserve">
# of incidents involving drugs, violence or criminal incident on school property. (Source: SSDR)</t>
    </r>
  </si>
  <si>
    <t>MGL Chapter 69,  Section 1J( c ): (3a) student promotion and dropout rates</t>
  </si>
  <si>
    <r>
      <t xml:space="preserve">Retention rate (decrease)
</t>
    </r>
    <r>
      <rPr>
        <sz val="10"/>
        <color theme="1"/>
        <rFont val="Calibri"/>
        <family val="2"/>
        <scheme val="minor"/>
      </rPr>
      <t>Percentage of enrolled students repeating the grade in which they were enrolled the previous year (as of October 1). (Source: SIMS)</t>
    </r>
  </si>
  <si>
    <r>
      <t xml:space="preserve">Annual dropout rate - All students
</t>
    </r>
    <r>
      <rPr>
        <sz val="10"/>
        <color theme="1"/>
        <rFont val="Calibri"/>
        <family val="2"/>
        <scheme val="minor"/>
      </rPr>
      <t>Percentage of students in grades 9-12 who dropped out of school between July 1 and June 30 prior to the listed year and who did not return to school by the following October 1 of the following year. All data are lagged by one year. Dropouts are defined as students who leave school prior to graduation for reasons other than transfer to another school. (Source: Pre-populated by ESE from accountability data. A minimum N of 20 for all students and 30 for subgroups are required for MAGs to be set.)</t>
    </r>
  </si>
  <si>
    <t>Link to historical data (Accountability Data Drop Box in Drop Box Central on the Security Portal)</t>
  </si>
  <si>
    <t>High needs</t>
  </si>
  <si>
    <t>Low income</t>
  </si>
  <si>
    <t>ELL and Former ELL</t>
  </si>
  <si>
    <t>Students w/disabilities</t>
  </si>
  <si>
    <t>Amer. Ind. or Alaska Nat.</t>
  </si>
  <si>
    <t>Asian</t>
  </si>
  <si>
    <t>Afr. Amer./Black</t>
  </si>
  <si>
    <t>Hispanic/Latino</t>
  </si>
  <si>
    <t>Multi-race, Non-Hisp./Lat.</t>
  </si>
  <si>
    <t>Nat. Haw. or Pacif. Isl.</t>
  </si>
  <si>
    <t>White</t>
  </si>
  <si>
    <r>
      <t xml:space="preserve">Dropout recovery rate (Increase)
</t>
    </r>
    <r>
      <rPr>
        <sz val="10"/>
        <color theme="1"/>
        <rFont val="Calibri"/>
        <family val="2"/>
        <scheme val="minor"/>
      </rPr>
      <t>(Source: SIMS)</t>
    </r>
  </si>
  <si>
    <t>MGL Chapter 69,  Section 1J( c ): (3b) graduation rates</t>
  </si>
  <si>
    <r>
      <t xml:space="preserve">4-Year cohort graduation rate - All students
</t>
    </r>
    <r>
      <rPr>
        <sz val="10"/>
        <color theme="1"/>
        <rFont val="Calibri"/>
        <family val="2"/>
        <scheme val="minor"/>
      </rPr>
      <t># of students in a cohort who graduate in 4 years or less divided by the # of first-time grade 9 students, minus transfers out, plus transfers in. All data are lagged by one year. (Source: Pre-populated by ESE from accountability data. A minimum N of 20 for all students and 30 for subgroups are required for MAGs to be set.)</t>
    </r>
  </si>
  <si>
    <r>
      <t xml:space="preserve">5-Year cohort graduation rate - All students
</t>
    </r>
    <r>
      <rPr>
        <sz val="10"/>
        <color theme="1"/>
        <rFont val="Calibri"/>
        <family val="2"/>
        <scheme val="minor"/>
      </rPr>
      <t># of students in a cohort who graduate in 5 years or less divided by the # of first-time grade 9 students, minus transfers out, plus transfers in. All data are lagged by one year. (Source: Pre-populated by ESE from accountability data. A minimum N of 20 for all students and 30 for subgroups are required for MAGs to be set.)</t>
    </r>
  </si>
  <si>
    <t>District-defined measures (optional)</t>
  </si>
  <si>
    <r>
      <rPr>
        <b/>
        <sz val="10"/>
        <color theme="1"/>
        <rFont val="Calibri"/>
        <family val="2"/>
        <scheme val="minor"/>
      </rPr>
      <t xml:space="preserve">In-school suspension rate (decrease)
</t>
    </r>
    <r>
      <rPr>
        <sz val="10"/>
        <color theme="1"/>
        <rFont val="Calibri"/>
        <family val="2"/>
        <scheme val="minor"/>
      </rPr>
      <t>Percentage of enrolled students who received 1+ in-school suspensions. (Source: SIMS)</t>
    </r>
  </si>
  <si>
    <t>Student achievement</t>
  </si>
  <si>
    <t>MGL Chapter 69, Section 1J( c ): (4) student achievement on the Massachusetts Comprehensive Assessment System; (5) progress in areas of academic underperformance; (6) progress among subgroups of students, including low-income students as defined by chapter 70, limited English-proficient students and students receiving special education; (7) reduction of achievement gaps among different groups of students</t>
  </si>
  <si>
    <r>
      <t xml:space="preserve">Narrowing proficiency gaps (ELA)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</si>
  <si>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t>Afr. Amer/Black</t>
  </si>
  <si>
    <r>
      <t xml:space="preserve">Narrowing proficiency gaps (Math)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</si>
  <si>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r>
      <t xml:space="preserve">Narrowing proficiency gaps (Science)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</si>
  <si>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r>
      <t xml:space="preserve">Growth (ELA) - All students
</t>
    </r>
    <r>
      <rPr>
        <sz val="10"/>
        <color theme="1"/>
        <rFont val="Calibri"/>
        <family val="2"/>
        <scheme val="minor"/>
      </rPr>
      <t>All groups (districts, schools, and subgroups) are expected to demonstrate growth in student performance at or near the state median or show high growth each year between 2011 and 2017. Massachusetts uses Student Growth Percentiles (SGP) to measure how a group of students’ achievement has grown or changed over time. To be considered "on target", a group's SGP must increase by 10 points or more from the previous year, or a group must achieve or maintain a median SGP at least one point above the state median. In 2013, that figure is 51.</t>
    </r>
  </si>
  <si>
    <r>
      <t xml:space="preserve">Growth (Math) - All students
</t>
    </r>
    <r>
      <rPr>
        <sz val="10"/>
        <color theme="1"/>
        <rFont val="Calibri"/>
        <family val="2"/>
        <scheme val="minor"/>
      </rPr>
      <t>All groups (districts, schools, and subgroups) are expected to demonstrate growth in student performance at or near the state median or show high growth each year between 2011 and 2017. Massachusetts uses Student Growth Percentiles (SGP) to measure how a group of students’ achievement has grown or changed over time. To be considered "on target", a group's SGP must increase by 10 points or more from the previous year, or a group must achieve or maintain a median SGP at least one point above the state median. In 2013, that figure is 51.</t>
    </r>
  </si>
  <si>
    <r>
      <t xml:space="preserve">Progress on the English Language proficiency ACCESS test (for English language learners)
</t>
    </r>
    <r>
      <rPr>
        <sz val="10"/>
        <color theme="1"/>
        <rFont val="Calibri"/>
        <family val="2"/>
        <scheme val="minor"/>
      </rPr>
      <t>Set MAGs for this measure if the school has an accountable ELL and Former ELL subgroup for the ELA and mathematics narrowing proficiency gaps indicators.</t>
    </r>
  </si>
  <si>
    <t>College readiness and school culture</t>
  </si>
  <si>
    <t>Massachusetts Department of Elementary and Secondary Education</t>
  </si>
  <si>
    <t>Measurable annual goals template</t>
  </si>
  <si>
    <t>Select_Group</t>
  </si>
  <si>
    <t>School code plus group</t>
  </si>
  <si>
    <t>system</t>
  </si>
  <si>
    <t>School code</t>
  </si>
  <si>
    <t>District</t>
  </si>
  <si>
    <t>School name</t>
  </si>
  <si>
    <t>School type</t>
  </si>
  <si>
    <t>Select_School</t>
  </si>
  <si>
    <t>Group</t>
  </si>
  <si>
    <t>MA_Status11</t>
  </si>
  <si>
    <t>ELA baseline</t>
  </si>
  <si>
    <t>ELA target 2012</t>
  </si>
  <si>
    <t>ELA CPI 2012</t>
  </si>
  <si>
    <t>ELA target 2013</t>
  </si>
  <si>
    <t>ELA CPI 2013</t>
  </si>
  <si>
    <t>ELA target 2014</t>
  </si>
  <si>
    <t>ELA target 2015</t>
  </si>
  <si>
    <t>ELA target 2016</t>
  </si>
  <si>
    <t>ELA target 2017</t>
  </si>
  <si>
    <t>Math baseline</t>
  </si>
  <si>
    <t>Math Target 2012</t>
  </si>
  <si>
    <t>Math CPI 2012</t>
  </si>
  <si>
    <t>Math Target 2013</t>
  </si>
  <si>
    <t>Math CPI 2013</t>
  </si>
  <si>
    <t>Math Target 2014</t>
  </si>
  <si>
    <t>Math Target 2015</t>
  </si>
  <si>
    <t>Math Target 2016</t>
  </si>
  <si>
    <t>Math Target 2017</t>
  </si>
  <si>
    <t>Science baseline</t>
  </si>
  <si>
    <t>Science target 2012</t>
  </si>
  <si>
    <t>Science CPI 2012</t>
  </si>
  <si>
    <t>Science target 2013</t>
  </si>
  <si>
    <t>Science CPI 2013</t>
  </si>
  <si>
    <t>Science target 2014</t>
  </si>
  <si>
    <t>Science target 2015</t>
  </si>
  <si>
    <t>Science target 2016</t>
  </si>
  <si>
    <t>Science target 2017</t>
  </si>
  <si>
    <t>4-yr grad rate baseline</t>
  </si>
  <si>
    <t>4-yr grad rate target 2012</t>
  </si>
  <si>
    <t>2011 4-yr grad rate</t>
  </si>
  <si>
    <t>4-yr grad rate target 2013</t>
  </si>
  <si>
    <t>2012 4-yr grad rate</t>
  </si>
  <si>
    <t>4-yr grad rate target 2014</t>
  </si>
  <si>
    <t>4-yr grad rate target 2015</t>
  </si>
  <si>
    <t>4-yr grad rate target 2016</t>
  </si>
  <si>
    <t>4-yr grad rate target 2017</t>
  </si>
  <si>
    <t>5-yr grad rate baseline</t>
  </si>
  <si>
    <t>5-yr grad rate target 2012</t>
  </si>
  <si>
    <t>2010 5-yr grad rate</t>
  </si>
  <si>
    <t>5-yr grad rate target 2013</t>
  </si>
  <si>
    <t>2011 5-yr grad rate</t>
  </si>
  <si>
    <t>5-yr grad rate target 2014</t>
  </si>
  <si>
    <t>5-yr grad rate target 2015</t>
  </si>
  <si>
    <t>5-yr grad rate target 2016</t>
  </si>
  <si>
    <t>5-yr grad rate target 2017</t>
  </si>
  <si>
    <t>Dropout rate baseline</t>
  </si>
  <si>
    <t>Dropout rate target 2012</t>
  </si>
  <si>
    <t>2011 Dropout rate</t>
  </si>
  <si>
    <t>Dropout rate target 2013</t>
  </si>
  <si>
    <t>2012 Dropout rate</t>
  </si>
  <si>
    <t>Dropout rate target 2014</t>
  </si>
  <si>
    <t>Dropout rate target 2015</t>
  </si>
  <si>
    <t>Dropout rate target 2016</t>
  </si>
  <si>
    <t>Dropout rate target 2017</t>
  </si>
  <si>
    <t>ELA SGP baseline</t>
  </si>
  <si>
    <t>ELA SGP target 2012</t>
  </si>
  <si>
    <t>ELA SGP 2012</t>
  </si>
  <si>
    <t>ELA SGP target 2013</t>
  </si>
  <si>
    <t>ELA SGP 2013</t>
  </si>
  <si>
    <t>ELA SGP target 2014</t>
  </si>
  <si>
    <t>ELA SGP target 2015</t>
  </si>
  <si>
    <t>ELA SGP target 2016</t>
  </si>
  <si>
    <t>ELA SGP target 2017</t>
  </si>
  <si>
    <t>Math SGP baseline</t>
  </si>
  <si>
    <t>Math SGP target 2012</t>
  </si>
  <si>
    <t>Math SGP 2012</t>
  </si>
  <si>
    <t>Math SGP target 2013</t>
  </si>
  <si>
    <t>Math SGP 2013</t>
  </si>
  <si>
    <t>Math SGP target 2014</t>
  </si>
  <si>
    <t>Math SGP target 2015</t>
  </si>
  <si>
    <t>Math SGP target 2016</t>
  </si>
  <si>
    <t>Math SGP target 2017</t>
  </si>
  <si>
    <t>ELA W/F % 2011</t>
  </si>
  <si>
    <t>ELA W/F % target 2012</t>
  </si>
  <si>
    <t>ELA W/F % 2012</t>
  </si>
  <si>
    <t>ELA W/F % target 2013</t>
  </si>
  <si>
    <t>ELA W/F % 2013</t>
  </si>
  <si>
    <t>ELA W/F % target 2014</t>
  </si>
  <si>
    <t>ELA W/F % target 2015</t>
  </si>
  <si>
    <t>ELA W/F % target 2016</t>
  </si>
  <si>
    <t>ELA W/F % target 2017</t>
  </si>
  <si>
    <t>Math W/F % 2011</t>
  </si>
  <si>
    <t>Math W/F % target 2012</t>
  </si>
  <si>
    <t>Math W/F % 2012</t>
  </si>
  <si>
    <t>Math W/F % target 2013</t>
  </si>
  <si>
    <t>Math W/F % 2013</t>
  </si>
  <si>
    <t>Math W/F % target 2014</t>
  </si>
  <si>
    <t>Math W/F % target 2015</t>
  </si>
  <si>
    <t>Math W/F % target 2016</t>
  </si>
  <si>
    <t>Math W/F % target 2017</t>
  </si>
  <si>
    <t>Science W/F % 2011</t>
  </si>
  <si>
    <t>Science W/F % target 2012</t>
  </si>
  <si>
    <t>Science W/F % 2012</t>
  </si>
  <si>
    <t>Science W/F % target 2013</t>
  </si>
  <si>
    <t>Science W/F % 2013</t>
  </si>
  <si>
    <t>Science W/F % target 2014</t>
  </si>
  <si>
    <t>Science W/F % target 2015</t>
  </si>
  <si>
    <t>Science W/F % target 2016</t>
  </si>
  <si>
    <t>Science W/F % target 2017</t>
  </si>
  <si>
    <t>ELA Adv % 2011</t>
  </si>
  <si>
    <t>ELA Adv % target 2012</t>
  </si>
  <si>
    <t>ELA Adv % 2012</t>
  </si>
  <si>
    <t>ELA Adv % target 2013</t>
  </si>
  <si>
    <t>ELA Adv % 2013</t>
  </si>
  <si>
    <t>ELA Adv % target 2014</t>
  </si>
  <si>
    <t>ELA Adv % target 2015</t>
  </si>
  <si>
    <t>ELA Adv % target 2016</t>
  </si>
  <si>
    <t>ELA Adv % target 2017</t>
  </si>
  <si>
    <t>Math Adv % 2011</t>
  </si>
  <si>
    <t>Math Adv % target 2012</t>
  </si>
  <si>
    <t>Math Adv % 2012</t>
  </si>
  <si>
    <t>Math Adv % target 2013</t>
  </si>
  <si>
    <t>Math Adv % 2013</t>
  </si>
  <si>
    <t>Math Adv % target 2014</t>
  </si>
  <si>
    <t>Math Adv % target 2015</t>
  </si>
  <si>
    <t>Math Adv % target 2016</t>
  </si>
  <si>
    <t>Math Adv % target 2017</t>
  </si>
  <si>
    <t>Science Adv % 2011</t>
  </si>
  <si>
    <t>Science Adv % target 2012</t>
  </si>
  <si>
    <t>Science Adv % 2012</t>
  </si>
  <si>
    <t>Science Adv % target 2013</t>
  </si>
  <si>
    <t>Science Adv % 2013</t>
  </si>
  <si>
    <t>Science Adv % target 2014</t>
  </si>
  <si>
    <t>Science Adv % target 2015</t>
  </si>
  <si>
    <t>Science Adv % target 2016</t>
  </si>
  <si>
    <t>Science Adv % target 2017</t>
  </si>
  <si>
    <t>--</t>
  </si>
  <si>
    <t>Level 4</t>
  </si>
  <si>
    <t>All students</t>
  </si>
  <si>
    <t>2012 Baseline</t>
  </si>
  <si>
    <t>2016
Target</t>
  </si>
  <si>
    <t>2017 
Target</t>
  </si>
  <si>
    <t>MGL Chapter 69, Section 1J( c ): (8) student acquisition and mastery of twenty-first century skills</t>
  </si>
  <si>
    <t>MGL Chapter 69, Section 1J( c ): (9) development of college readiness, including at the elementary and middle school levels</t>
  </si>
  <si>
    <t>MGL Chapter 69, Section 1J( c ): (10) parent and family engagement</t>
  </si>
  <si>
    <t>MGL Chapter 69, Section 1J( c ): (11) building a culture of academic success among students</t>
  </si>
  <si>
    <t xml:space="preserve">MGL Chapter 69, Section 1J( c ): (12) building a culture of student support and success among school faculty and staff </t>
  </si>
  <si>
    <t>MGL Chapter 69, Section 1J( c ): (13) developmentally appropriate child assessments from pre-kindergarten through third grade, if applicable</t>
  </si>
  <si>
    <t>2013 Actual</t>
  </si>
  <si>
    <t>Notes</t>
  </si>
  <si>
    <t>Holyoke - Morgan Elementary (01370025)</t>
  </si>
  <si>
    <t>01370025Asian</t>
  </si>
  <si>
    <t>01370025A</t>
  </si>
  <si>
    <t>0137</t>
  </si>
  <si>
    <t>01370025</t>
  </si>
  <si>
    <t>Holyoke</t>
  </si>
  <si>
    <t>Morgan Elementary</t>
  </si>
  <si>
    <t>ESMS</t>
  </si>
  <si>
    <t>01370025Afr. Amer/Black</t>
  </si>
  <si>
    <t>01370025B</t>
  </si>
  <si>
    <t>01370025White</t>
  </si>
  <si>
    <t>01370025C</t>
  </si>
  <si>
    <t>01370025Students w/disabilities</t>
  </si>
  <si>
    <t>01370025D</t>
  </si>
  <si>
    <t>01370025Low income</t>
  </si>
  <si>
    <t>01370025F</t>
  </si>
  <si>
    <t>01370025Hispanic/Latino</t>
  </si>
  <si>
    <t>01370025H</t>
  </si>
  <si>
    <t>01370025ELL and Former ELL</t>
  </si>
  <si>
    <t>01370025L</t>
  </si>
  <si>
    <t>01370025Multi-race, Non-Hisp./Lat.</t>
  </si>
  <si>
    <t>01370025M</t>
  </si>
  <si>
    <t>01370025Amer. Ind. or Alaska Nat.</t>
  </si>
  <si>
    <t>01370025N</t>
  </si>
  <si>
    <t>01370025Nat. Haw. or Pacif. Isl.</t>
  </si>
  <si>
    <t>01370025P</t>
  </si>
  <si>
    <t>01370025High needs</t>
  </si>
  <si>
    <t>01370025S</t>
  </si>
  <si>
    <t>01370025All students</t>
  </si>
  <si>
    <t>01370025T</t>
  </si>
  <si>
    <t>Percentage of Grade 5 students scoring proficient or higher on Math MCAS</t>
  </si>
  <si>
    <t>Percentage of students completing Algebra 1 by the end of grade 8</t>
  </si>
  <si>
    <t>Percentage of families visited during Walk for Success</t>
  </si>
  <si>
    <t>Teacher attendance rate (days attended)</t>
  </si>
  <si>
    <t>Percentage of teachers reporting using the results of formative or interim assessments to improve their instruction to meet student needs</t>
  </si>
  <si>
    <t>Percentage of grade 7 and 8 students agreeing with statement that "Learning Science, Technology, Engineering, and Math skills will help me succeed"</t>
  </si>
  <si>
    <t>N/A</t>
  </si>
  <si>
    <t>Percentage of Grade 5 students scoring proficient or higher on Science and Technology/Engineering MCAS</t>
  </si>
  <si>
    <t>Percentage of Grade 8 students scoring proficient or higher on Science and Technology/Engineering MCAS</t>
  </si>
  <si>
    <t>Percentage of Grade 3 students scoring proficient or higher on Reading MCAS</t>
  </si>
  <si>
    <t>Percentage of Grade 3 students scoring proficient or higher on Math MCAS</t>
  </si>
  <si>
    <t>Percentage of Grade 5 students scoring proficient or higher on ELA MCAS</t>
  </si>
  <si>
    <t>Percentage of families attending at least one parent-teacher conference (happen at least twice a year)</t>
  </si>
  <si>
    <t>Percentage of teachers who see parents/guardians as influential decision makers within the school</t>
  </si>
  <si>
    <t>Percentage of families receiving at least one contact from student's teacher(s) per quarter</t>
  </si>
  <si>
    <t>Percentage of students agreeing with statement that they feel supported by teachers at school</t>
  </si>
  <si>
    <t>Percentage of students agreeing with statement that they feel safe at school</t>
  </si>
  <si>
    <t>Percent of teachers agreeing with statement that "The work I do prepares students for success in high school and college"</t>
  </si>
  <si>
    <t>Percentage of teachers agreeing with statement that "Teachers are effective leaders within the school"</t>
  </si>
  <si>
    <t>Percentage of teachers agreeing with statement that "Professional development enhances teachers' ability to implement instructional strategies that meet diverse student learning needs"</t>
  </si>
  <si>
    <t>Percentage of teachers incorporating the results of a developmentally appropriate child assessment to teach literacy as determined by a walkthrough or classroom observation instrument</t>
  </si>
  <si>
    <t>Percentage of students in grades K-2 reaching end-of-year grade level target on math summative assessments (e.g., Dibbels, BAS, Fountas and Pinnell)</t>
  </si>
  <si>
    <t>Percentage of students in grades K-2 reaching end-of-year grade level target on ELA summative assessments (e.g., Dibbels, BAS, Fountas and Pinnell)</t>
  </si>
  <si>
    <t>2014 Actual</t>
  </si>
  <si>
    <t>Actual number of days absent dependent on number of days student enrolled in school.</t>
  </si>
  <si>
    <t>Previous district data not available.</t>
  </si>
  <si>
    <t>In a chronically underperforming school, it may be appropriate to retain students who are not yet performing at grade level.</t>
  </si>
  <si>
    <t>Not applicable for K-8 schools.</t>
  </si>
  <si>
    <t>2014 
Actual</t>
  </si>
  <si>
    <t>New measure; previous district data not available</t>
  </si>
  <si>
    <t>__</t>
  </si>
  <si>
    <t>New measure; Walk for Success is a new concept to be introduced in 2014. Percentages are based on experience at Dean and at other GRAD sites.</t>
  </si>
  <si>
    <t>Data not available</t>
  </si>
  <si>
    <t>Appendix B: Holyoke - Morgan Full Service Community School (01370025) Measurable Annual Goals</t>
  </si>
  <si>
    <t>Preliminary Level 5 turnaround plan, submitted March 7, 2014</t>
  </si>
  <si>
    <t>Notes:</t>
  </si>
  <si>
    <t>Set MAGs related to student attendance, dismissal, exclusion, and promotion rates in the aggregate. For student attendance and exclusion rates, 2013 is the baseline year for most schools. In the pre-populated cells, a dash (--) means that no data exist for a group for a specific indicator.
(SIMS = Student Information Management System; DPH = Department of Public Health; SSDR = School Safety and Discipline Report)</t>
  </si>
  <si>
    <t>Note that due to the compensatory nature of the state's accountability measures, a group does not necessarily have to meet its fixed CPI or growth targets to be considered "on target" for narrowing proficiency gaps, as long as all groups in the school make the continuous improvement needed to earn a cumulative Progress and Performance Index (PPI) score of 75 or higher by the 2016-17 school year.</t>
  </si>
  <si>
    <r>
      <t xml:space="preserve">Reducing the percentage of students scoring at the Warning/Failing level on MCAS ELA tests - All students
</t>
    </r>
    <r>
      <rPr>
        <sz val="10"/>
        <rFont val="Calibri"/>
        <family val="2"/>
        <scheme val="minor"/>
      </rPr>
      <t>This group of measures will be included in the final turnaround plan.</t>
    </r>
  </si>
  <si>
    <r>
      <t xml:space="preserve">Reducing the percentage of students scoring at the Warning/Failing level on MCAS mathematics tests - All students
</t>
    </r>
    <r>
      <rPr>
        <sz val="10"/>
        <rFont val="Calibri"/>
        <family val="2"/>
        <scheme val="minor"/>
      </rPr>
      <t>This group of measures will be included in the final turnaround plan.</t>
    </r>
  </si>
  <si>
    <r>
      <t xml:space="preserve">Reducing the percentage of students scoring at the Warning/Failing level on MCAS science tests - All students
</t>
    </r>
    <r>
      <rPr>
        <sz val="10"/>
        <rFont val="Calibri"/>
        <family val="2"/>
        <scheme val="minor"/>
      </rPr>
      <t>This group of measures will be included in the final turnaround plan.</t>
    </r>
  </si>
  <si>
    <r>
      <t xml:space="preserve">Increasing the percentage of students scoring at the Advanced level on MCAS ELA tests - All students
</t>
    </r>
    <r>
      <rPr>
        <sz val="10"/>
        <rFont val="Calibri"/>
        <family val="2"/>
        <scheme val="minor"/>
      </rPr>
      <t>This group of measures will be included in the final turnaround plan.</t>
    </r>
  </si>
  <si>
    <r>
      <t xml:space="preserve">Increasing the percentage of students scoring at the Advanced level on MCAS mathematics tests - All students
</t>
    </r>
    <r>
      <rPr>
        <sz val="10"/>
        <rFont val="Calibri"/>
        <family val="2"/>
        <scheme val="minor"/>
      </rPr>
      <t>This group of measures will be included in the final turnaround plan.</t>
    </r>
  </si>
  <si>
    <r>
      <t xml:space="preserve">Increasing the percentage of students scoring at the Advanced level on MCAS science tests - All students
</t>
    </r>
    <r>
      <rPr>
        <sz val="10"/>
        <rFont val="Calibri"/>
        <family val="2"/>
        <scheme val="minor"/>
      </rPr>
      <t>This group of measures will be included in the final turnaround plan.</t>
    </r>
  </si>
  <si>
    <t>TBD</t>
  </si>
</sst>
</file>

<file path=xl/styles.xml><?xml version="1.0" encoding="utf-8"?>
<styleSheet xmlns="http://schemas.openxmlformats.org/spreadsheetml/2006/main">
  <numFmts count="3">
    <numFmt numFmtId="43" formatCode="_(* #,##0.00_);_(* \(#,##0.00\);_(* &quot;-&quot;??_);_(@_)"/>
    <numFmt numFmtId="164" formatCode="0.0%"/>
    <numFmt numFmtId="165" formatCode="0.0"/>
  </numFmts>
  <fonts count="20">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6"/>
      <name val="Calibri"/>
      <family val="2"/>
      <scheme val="minor"/>
    </font>
    <font>
      <b/>
      <sz val="11"/>
      <name val="Calibri"/>
      <family val="2"/>
      <scheme val="minor"/>
    </font>
    <font>
      <u/>
      <sz val="11"/>
      <color theme="10"/>
      <name val="Calibri"/>
      <family val="2"/>
      <scheme val="minor"/>
    </font>
    <font>
      <sz val="9"/>
      <color theme="1"/>
      <name val="Calibri"/>
      <family val="2"/>
      <scheme val="minor"/>
    </font>
    <font>
      <b/>
      <sz val="10"/>
      <color theme="1"/>
      <name val="Calibri"/>
      <family val="2"/>
      <scheme val="minor"/>
    </font>
    <font>
      <u/>
      <sz val="10"/>
      <color theme="10"/>
      <name val="Calibri"/>
      <family val="2"/>
      <scheme val="minor"/>
    </font>
    <font>
      <sz val="10"/>
      <color theme="1"/>
      <name val="Calibri"/>
      <family val="2"/>
    </font>
    <font>
      <b/>
      <sz val="12"/>
      <name val="Calibri"/>
      <family val="2"/>
      <scheme val="minor"/>
    </font>
    <font>
      <sz val="10"/>
      <color theme="4" tint="0.79998168889431442"/>
      <name val="Calibri"/>
      <family val="2"/>
      <scheme val="minor"/>
    </font>
    <font>
      <b/>
      <sz val="9"/>
      <name val="Calibri"/>
      <family val="2"/>
      <scheme val="minor"/>
    </font>
    <font>
      <sz val="10"/>
      <color theme="4" tint="0.59999389629810485"/>
      <name val="Calibri"/>
      <family val="2"/>
      <scheme val="minor"/>
    </font>
    <font>
      <sz val="11"/>
      <name val="Calibri"/>
      <family val="2"/>
      <scheme val="minor"/>
    </font>
    <font>
      <sz val="10"/>
      <name val="Arial"/>
      <family val="2"/>
    </font>
    <font>
      <u/>
      <sz val="10"/>
      <color indexed="12"/>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EFDE8"/>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2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alignment vertical="top"/>
      <protection locked="0"/>
    </xf>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cellStyleXfs>
  <cellXfs count="310">
    <xf numFmtId="0" fontId="0" fillId="0" borderId="0" xfId="0"/>
    <xf numFmtId="0" fontId="3" fillId="0" borderId="0" xfId="0" applyFont="1"/>
    <xf numFmtId="0" fontId="4" fillId="0" borderId="0" xfId="0" applyFont="1"/>
    <xf numFmtId="0" fontId="5" fillId="0" borderId="0" xfId="0" applyFont="1"/>
    <xf numFmtId="0" fontId="7" fillId="0" borderId="0" xfId="0" applyFont="1" applyAlignment="1">
      <alignment vertical="top"/>
    </xf>
    <xf numFmtId="0" fontId="5" fillId="0" borderId="1" xfId="0" applyFont="1" applyBorder="1" applyAlignment="1">
      <alignment vertical="top" wrapText="1"/>
    </xf>
    <xf numFmtId="0" fontId="9" fillId="0" borderId="0" xfId="0" applyFont="1"/>
    <xf numFmtId="0" fontId="2" fillId="2" borderId="7" xfId="0" applyFont="1" applyFill="1" applyBorder="1" applyAlignment="1">
      <alignment horizontal="center" vertical="center" wrapText="1"/>
    </xf>
    <xf numFmtId="0" fontId="10" fillId="0" borderId="7" xfId="0" applyFont="1" applyBorder="1" applyAlignment="1">
      <alignment vertical="top" wrapText="1"/>
    </xf>
    <xf numFmtId="0" fontId="5" fillId="2" borderId="12" xfId="0" applyFont="1" applyFill="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11" fillId="0" borderId="11" xfId="2" applyFont="1" applyBorder="1" applyAlignment="1" applyProtection="1">
      <alignment vertical="center" wrapText="1"/>
      <protection locked="0"/>
    </xf>
    <xf numFmtId="0" fontId="11" fillId="0" borderId="26" xfId="2" applyFont="1" applyBorder="1" applyAlignment="1" applyProtection="1">
      <alignment vertical="top" wrapText="1"/>
      <protection locked="0"/>
    </xf>
    <xf numFmtId="0" fontId="10" fillId="0" borderId="17" xfId="0" applyFont="1" applyFill="1" applyBorder="1" applyAlignment="1">
      <alignment vertical="top" wrapText="1"/>
    </xf>
    <xf numFmtId="0" fontId="5" fillId="0" borderId="0" xfId="0" applyFont="1" applyFill="1"/>
    <xf numFmtId="0" fontId="10" fillId="0" borderId="15" xfId="0" applyFont="1" applyFill="1" applyBorder="1" applyAlignment="1">
      <alignment vertical="top" wrapText="1"/>
    </xf>
    <xf numFmtId="165" fontId="5" fillId="0" borderId="13" xfId="0" applyNumberFormat="1" applyFont="1" applyFill="1" applyBorder="1" applyAlignment="1" applyProtection="1">
      <alignment horizontal="center" vertical="top" wrapText="1"/>
    </xf>
    <xf numFmtId="165" fontId="5" fillId="0" borderId="14"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xf>
    <xf numFmtId="165" fontId="5" fillId="0" borderId="14" xfId="0" applyNumberFormat="1" applyFont="1" applyFill="1" applyBorder="1" applyAlignment="1" applyProtection="1">
      <alignment horizontal="center" vertical="top"/>
    </xf>
    <xf numFmtId="0" fontId="10" fillId="0" borderId="18" xfId="0" applyFont="1" applyFill="1" applyBorder="1" applyAlignment="1">
      <alignment vertical="top" wrapText="1"/>
    </xf>
    <xf numFmtId="0" fontId="5" fillId="2" borderId="19" xfId="0" applyFont="1" applyFill="1" applyBorder="1" applyAlignment="1" applyProtection="1">
      <alignment horizontal="center" vertical="top" wrapText="1"/>
      <protection locked="0"/>
    </xf>
    <xf numFmtId="0" fontId="5" fillId="2" borderId="20" xfId="0" applyFont="1" applyFill="1" applyBorder="1" applyAlignment="1" applyProtection="1">
      <alignment horizontal="center" vertical="top" wrapText="1"/>
      <protection locked="0"/>
    </xf>
    <xf numFmtId="165" fontId="5" fillId="0" borderId="13" xfId="0" applyNumberFormat="1" applyFont="1" applyFill="1" applyBorder="1" applyAlignment="1" applyProtection="1">
      <alignment horizontal="center" vertical="top"/>
    </xf>
    <xf numFmtId="165" fontId="5" fillId="0" borderId="14" xfId="0" applyNumberFormat="1" applyFont="1" applyFill="1" applyBorder="1" applyAlignment="1" applyProtection="1">
      <alignment horizontal="center" vertical="top"/>
    </xf>
    <xf numFmtId="165" fontId="5" fillId="0" borderId="20" xfId="0" applyNumberFormat="1" applyFont="1" applyFill="1" applyBorder="1" applyAlignment="1" applyProtection="1">
      <alignment horizontal="center" vertical="top"/>
    </xf>
    <xf numFmtId="0" fontId="5" fillId="0" borderId="35" xfId="0" applyFont="1" applyFill="1" applyBorder="1" applyAlignment="1" applyProtection="1">
      <alignment horizontal="left" vertical="top" wrapText="1"/>
      <protection locked="0"/>
    </xf>
    <xf numFmtId="0" fontId="5" fillId="2" borderId="8" xfId="0" applyFont="1" applyFill="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5"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20" xfId="0" applyFont="1" applyBorder="1" applyAlignment="1" applyProtection="1">
      <alignment horizontal="center" vertical="top" wrapText="1"/>
      <protection locked="0"/>
    </xf>
    <xf numFmtId="0" fontId="5" fillId="0" borderId="21" xfId="0" applyFont="1" applyBorder="1" applyAlignment="1" applyProtection="1">
      <alignment horizontal="center" vertical="top" wrapText="1"/>
      <protection locked="0"/>
    </xf>
    <xf numFmtId="0" fontId="5" fillId="0" borderId="36"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6" fillId="0" borderId="0" xfId="0" applyFont="1" applyAlignment="1">
      <alignment horizontal="left" vertical="top"/>
    </xf>
    <xf numFmtId="165" fontId="5" fillId="0" borderId="30" xfId="0" applyNumberFormat="1" applyFont="1" applyFill="1" applyBorder="1" applyAlignment="1" applyProtection="1">
      <alignment horizontal="center" vertical="top" wrapText="1"/>
    </xf>
    <xf numFmtId="165" fontId="5" fillId="0" borderId="30" xfId="0" applyNumberFormat="1" applyFont="1" applyFill="1" applyBorder="1" applyAlignment="1" applyProtection="1">
      <alignment horizontal="center" vertical="top"/>
    </xf>
    <xf numFmtId="165" fontId="5" fillId="0" borderId="32" xfId="0" applyNumberFormat="1" applyFont="1" applyFill="1" applyBorder="1" applyAlignment="1" applyProtection="1">
      <alignment horizontal="center" vertical="top" wrapText="1"/>
    </xf>
    <xf numFmtId="165" fontId="5" fillId="0" borderId="32" xfId="0" applyNumberFormat="1" applyFont="1" applyFill="1" applyBorder="1" applyAlignment="1" applyProtection="1">
      <alignment horizontal="center" vertical="top"/>
    </xf>
    <xf numFmtId="165" fontId="5" fillId="0" borderId="33" xfId="0" applyNumberFormat="1" applyFont="1" applyFill="1" applyBorder="1" applyAlignment="1" applyProtection="1">
      <alignment horizontal="center" vertical="top"/>
    </xf>
    <xf numFmtId="164" fontId="5" fillId="0" borderId="32" xfId="0" applyNumberFormat="1" applyFont="1" applyBorder="1" applyAlignment="1" applyProtection="1">
      <alignment horizontal="center" vertical="top" wrapText="1"/>
      <protection locked="0"/>
    </xf>
    <xf numFmtId="165" fontId="5" fillId="0" borderId="45" xfId="0" applyNumberFormat="1" applyFont="1" applyFill="1" applyBorder="1" applyAlignment="1" applyProtection="1">
      <alignment horizontal="center" vertical="top"/>
    </xf>
    <xf numFmtId="165" fontId="5" fillId="0" borderId="44" xfId="0" applyNumberFormat="1" applyFont="1" applyFill="1" applyBorder="1" applyAlignment="1" applyProtection="1">
      <alignment horizontal="center" vertical="top" wrapText="1"/>
    </xf>
    <xf numFmtId="165" fontId="5" fillId="0" borderId="44" xfId="0" applyNumberFormat="1" applyFont="1" applyFill="1" applyBorder="1" applyAlignment="1" applyProtection="1">
      <alignment horizontal="center" vertical="top"/>
    </xf>
    <xf numFmtId="165" fontId="5" fillId="0" borderId="46" xfId="0" applyNumberFormat="1" applyFont="1" applyFill="1" applyBorder="1" applyAlignment="1" applyProtection="1">
      <alignment horizontal="center" vertical="top"/>
    </xf>
    <xf numFmtId="0" fontId="5" fillId="0" borderId="44" xfId="0" applyFont="1" applyBorder="1" applyAlignment="1" applyProtection="1">
      <alignment horizontal="center" vertical="top" wrapText="1"/>
      <protection locked="0"/>
    </xf>
    <xf numFmtId="0" fontId="5" fillId="0" borderId="46" xfId="0" applyFont="1" applyBorder="1" applyAlignment="1" applyProtection="1">
      <alignment horizontal="center" vertical="top" wrapText="1"/>
      <protection locked="0"/>
    </xf>
    <xf numFmtId="0" fontId="5" fillId="0" borderId="11" xfId="0" applyFont="1" applyFill="1" applyBorder="1" applyAlignment="1" applyProtection="1">
      <alignment horizontal="left" vertical="top" wrapText="1"/>
      <protection locked="0"/>
    </xf>
    <xf numFmtId="0" fontId="5" fillId="0" borderId="32" xfId="0" applyFont="1" applyBorder="1" applyAlignment="1" applyProtection="1">
      <alignment horizontal="center" vertical="top" wrapText="1"/>
      <protection locked="0"/>
    </xf>
    <xf numFmtId="0" fontId="5" fillId="0" borderId="43" xfId="0" applyFont="1" applyBorder="1" applyAlignment="1" applyProtection="1">
      <alignment horizontal="center" vertical="top" wrapText="1"/>
      <protection locked="0"/>
    </xf>
    <xf numFmtId="0" fontId="10" fillId="0" borderId="37" xfId="0" applyFont="1" applyFill="1" applyBorder="1" applyAlignment="1">
      <alignment vertical="top" wrapText="1"/>
    </xf>
    <xf numFmtId="0" fontId="11" fillId="0" borderId="37" xfId="2" applyFont="1" applyBorder="1" applyAlignment="1" applyProtection="1">
      <alignment vertical="top" wrapText="1"/>
      <protection locked="0"/>
    </xf>
    <xf numFmtId="0" fontId="10" fillId="0" borderId="3" xfId="0" applyFont="1" applyFill="1" applyBorder="1" applyAlignment="1">
      <alignment vertical="top" wrapText="1"/>
    </xf>
    <xf numFmtId="0" fontId="5" fillId="0" borderId="53" xfId="0" applyFont="1" applyFill="1" applyBorder="1" applyAlignment="1" applyProtection="1">
      <alignment horizontal="center" vertical="top" wrapText="1"/>
      <protection locked="0"/>
    </xf>
    <xf numFmtId="0" fontId="5" fillId="0" borderId="41" xfId="0" applyFont="1" applyFill="1" applyBorder="1" applyAlignment="1" applyProtection="1">
      <alignment horizontal="center" vertical="top" wrapText="1"/>
      <protection locked="0"/>
    </xf>
    <xf numFmtId="164" fontId="5" fillId="0" borderId="23" xfId="0" applyNumberFormat="1" applyFont="1" applyBorder="1" applyAlignment="1" applyProtection="1">
      <alignment horizontal="center" vertical="top" wrapText="1"/>
      <protection locked="0"/>
    </xf>
    <xf numFmtId="164" fontId="5" fillId="0" borderId="24" xfId="0" applyNumberFormat="1" applyFont="1" applyBorder="1" applyAlignment="1" applyProtection="1">
      <alignment horizontal="center" vertical="top" wrapText="1"/>
      <protection locked="0"/>
    </xf>
    <xf numFmtId="164" fontId="5" fillId="0" borderId="43" xfId="0" applyNumberFormat="1" applyFont="1" applyBorder="1" applyAlignment="1" applyProtection="1">
      <alignment horizontal="center" vertical="top" wrapText="1"/>
      <protection locked="0"/>
    </xf>
    <xf numFmtId="0" fontId="5" fillId="0" borderId="50" xfId="0" applyFont="1" applyBorder="1" applyAlignment="1" applyProtection="1">
      <alignment horizontal="center" vertical="top" wrapText="1"/>
      <protection locked="0"/>
    </xf>
    <xf numFmtId="0" fontId="5" fillId="0" borderId="51" xfId="0" applyFont="1" applyBorder="1" applyAlignment="1" applyProtection="1">
      <alignment horizontal="center" vertical="top" wrapText="1"/>
      <protection locked="0"/>
    </xf>
    <xf numFmtId="0" fontId="11" fillId="0" borderId="26" xfId="2" applyFont="1" applyBorder="1" applyAlignment="1" applyProtection="1">
      <alignment vertical="center" wrapText="1"/>
      <protection locked="0"/>
    </xf>
    <xf numFmtId="164" fontId="5" fillId="0" borderId="28" xfId="0" applyNumberFormat="1" applyFont="1" applyFill="1" applyBorder="1" applyAlignment="1" applyProtection="1">
      <alignment horizontal="center" vertical="top" wrapText="1"/>
      <protection locked="0"/>
    </xf>
    <xf numFmtId="164" fontId="5" fillId="0" borderId="29" xfId="0" applyNumberFormat="1" applyFont="1" applyFill="1" applyBorder="1" applyAlignment="1" applyProtection="1">
      <alignment horizontal="center" vertical="top" wrapText="1"/>
      <protection locked="0"/>
    </xf>
    <xf numFmtId="165" fontId="5" fillId="0" borderId="23" xfId="0" applyNumberFormat="1" applyFont="1" applyFill="1" applyBorder="1" applyAlignment="1" applyProtection="1">
      <alignment horizontal="center" vertical="top"/>
    </xf>
    <xf numFmtId="165" fontId="5" fillId="0" borderId="40" xfId="0" applyNumberFormat="1" applyFont="1" applyFill="1" applyBorder="1" applyAlignment="1" applyProtection="1">
      <alignment horizontal="center" vertical="top"/>
    </xf>
    <xf numFmtId="0" fontId="4" fillId="0" borderId="0" xfId="0" applyFont="1" applyAlignment="1">
      <alignment horizontal="center"/>
    </xf>
    <xf numFmtId="0" fontId="7" fillId="0" borderId="0" xfId="0" applyFont="1" applyAlignment="1">
      <alignment horizontal="center" vertical="top"/>
    </xf>
    <xf numFmtId="0" fontId="2" fillId="2" borderId="3" xfId="0" applyFont="1" applyFill="1" applyBorder="1" applyAlignment="1">
      <alignment horizontal="center" vertical="center" wrapText="1"/>
    </xf>
    <xf numFmtId="0" fontId="10" fillId="0" borderId="7" xfId="0" applyFont="1" applyFill="1" applyBorder="1" applyAlignment="1">
      <alignment horizontal="left" vertical="top" wrapText="1"/>
    </xf>
    <xf numFmtId="0" fontId="9" fillId="0" borderId="0" xfId="0" applyFont="1" applyFill="1"/>
    <xf numFmtId="165" fontId="5" fillId="0" borderId="13" xfId="0" applyNumberFormat="1" applyFont="1" applyFill="1" applyBorder="1" applyAlignment="1" applyProtection="1">
      <alignment horizontal="center" vertical="top" wrapText="1"/>
    </xf>
    <xf numFmtId="0" fontId="10" fillId="0" borderId="15" xfId="0" applyFont="1" applyFill="1" applyBorder="1" applyAlignment="1">
      <alignment horizontal="left" vertical="top" wrapText="1"/>
    </xf>
    <xf numFmtId="0" fontId="10" fillId="0" borderId="17" xfId="0" applyFont="1" applyFill="1" applyBorder="1" applyAlignment="1">
      <alignment horizontal="left" vertical="top" wrapText="1"/>
    </xf>
    <xf numFmtId="165" fontId="12" fillId="0" borderId="13" xfId="0" applyNumberFormat="1" applyFont="1" applyFill="1" applyBorder="1" applyAlignment="1" applyProtection="1">
      <alignment horizontal="center" vertical="top" wrapText="1"/>
    </xf>
    <xf numFmtId="165" fontId="12" fillId="0" borderId="14" xfId="0" applyNumberFormat="1" applyFont="1" applyFill="1" applyBorder="1" applyAlignment="1" applyProtection="1">
      <alignment horizontal="center" vertical="top" wrapText="1"/>
    </xf>
    <xf numFmtId="165" fontId="12" fillId="0" borderId="20" xfId="0" applyNumberFormat="1" applyFont="1" applyFill="1" applyBorder="1" applyAlignment="1" applyProtection="1">
      <alignment horizontal="center" vertical="top" wrapText="1"/>
    </xf>
    <xf numFmtId="165" fontId="12" fillId="0" borderId="21" xfId="0" applyNumberFormat="1" applyFont="1" applyFill="1" applyBorder="1" applyAlignment="1" applyProtection="1">
      <alignment horizontal="center" vertical="top" wrapText="1"/>
    </xf>
    <xf numFmtId="0" fontId="10" fillId="0" borderId="7" xfId="0" applyFont="1" applyFill="1" applyBorder="1" applyAlignment="1" applyProtection="1">
      <alignment vertical="top" wrapText="1"/>
    </xf>
    <xf numFmtId="0" fontId="5" fillId="0" borderId="53" xfId="0" applyFont="1" applyBorder="1" applyAlignment="1" applyProtection="1">
      <alignment horizontal="center" vertical="top" wrapText="1"/>
      <protection locked="0"/>
    </xf>
    <xf numFmtId="0" fontId="5" fillId="0" borderId="41" xfId="0" applyFont="1" applyBorder="1" applyAlignment="1" applyProtection="1">
      <alignment horizontal="center" vertical="top" wrapText="1"/>
      <protection locked="0"/>
    </xf>
    <xf numFmtId="0" fontId="5" fillId="0" borderId="2" xfId="0" applyFont="1" applyBorder="1" applyAlignment="1" applyProtection="1">
      <alignment horizontal="left" vertical="top"/>
      <protection locked="0"/>
    </xf>
    <xf numFmtId="0" fontId="5" fillId="0" borderId="0" xfId="0" applyFont="1" applyAlignment="1">
      <alignment horizontal="center"/>
    </xf>
    <xf numFmtId="0" fontId="5" fillId="0" borderId="37" xfId="0" applyFont="1" applyBorder="1"/>
    <xf numFmtId="0" fontId="14" fillId="3" borderId="56" xfId="0" applyFont="1" applyFill="1" applyBorder="1"/>
    <xf numFmtId="0" fontId="14" fillId="3" borderId="48" xfId="0" applyFont="1" applyFill="1" applyBorder="1"/>
    <xf numFmtId="0" fontId="14" fillId="3" borderId="57" xfId="0" applyFont="1" applyFill="1" applyBorder="1"/>
    <xf numFmtId="0" fontId="5" fillId="3" borderId="7" xfId="0" applyFont="1" applyFill="1" applyBorder="1"/>
    <xf numFmtId="0" fontId="5" fillId="3" borderId="37" xfId="0" applyFont="1" applyFill="1" applyBorder="1"/>
    <xf numFmtId="0" fontId="5" fillId="3" borderId="26" xfId="0" applyFont="1" applyFill="1" applyBorder="1"/>
    <xf numFmtId="0" fontId="16" fillId="3" borderId="48" xfId="0" applyNumberFormat="1" applyFont="1" applyFill="1" applyBorder="1" applyAlignment="1" applyProtection="1">
      <alignment horizontal="right"/>
    </xf>
    <xf numFmtId="0" fontId="0" fillId="0" borderId="0" xfId="0" applyNumberFormat="1" applyAlignment="1">
      <alignment horizontal="center"/>
    </xf>
    <xf numFmtId="0" fontId="10" fillId="0" borderId="18" xfId="0" applyFont="1" applyFill="1" applyBorder="1" applyAlignment="1">
      <alignment horizontal="left" vertical="top" wrapText="1"/>
    </xf>
    <xf numFmtId="0" fontId="10" fillId="0" borderId="3" xfId="0" applyFont="1" applyBorder="1" applyAlignment="1">
      <alignment vertical="top" wrapText="1"/>
    </xf>
    <xf numFmtId="164" fontId="5" fillId="0" borderId="53" xfId="0" applyNumberFormat="1" applyFont="1" applyBorder="1" applyAlignment="1" applyProtection="1">
      <alignment horizontal="center" vertical="top" wrapText="1"/>
      <protection locked="0"/>
    </xf>
    <xf numFmtId="164" fontId="5" fillId="0" borderId="58" xfId="0" applyNumberFormat="1" applyFont="1" applyBorder="1" applyAlignment="1" applyProtection="1">
      <alignment horizontal="center" vertical="top" wrapText="1"/>
      <protection locked="0"/>
    </xf>
    <xf numFmtId="0" fontId="5" fillId="0" borderId="58" xfId="0" applyFont="1" applyBorder="1" applyAlignment="1" applyProtection="1">
      <alignment horizontal="center" vertical="top" wrapText="1"/>
      <protection locked="0"/>
    </xf>
    <xf numFmtId="0" fontId="5" fillId="0" borderId="3" xfId="0" applyFont="1" applyBorder="1" applyAlignment="1">
      <alignment vertical="top" wrapText="1"/>
    </xf>
    <xf numFmtId="0" fontId="5" fillId="0" borderId="2" xfId="0" applyFont="1" applyBorder="1" applyAlignment="1">
      <alignment vertical="top" wrapText="1"/>
    </xf>
    <xf numFmtId="164" fontId="5" fillId="0" borderId="28" xfId="0" applyNumberFormat="1" applyFont="1" applyBorder="1" applyAlignment="1" applyProtection="1">
      <alignment horizontal="center" vertical="top" wrapText="1"/>
      <protection locked="0"/>
    </xf>
    <xf numFmtId="164" fontId="5" fillId="0" borderId="29" xfId="0" applyNumberFormat="1" applyFont="1" applyBorder="1" applyAlignment="1" applyProtection="1">
      <alignment horizontal="center" vertical="top" wrapText="1"/>
      <protection locked="0"/>
    </xf>
    <xf numFmtId="0" fontId="8" fillId="0" borderId="0" xfId="2" applyAlignment="1" applyProtection="1">
      <alignment horizontal="right"/>
      <protection locked="0"/>
    </xf>
    <xf numFmtId="0" fontId="8" fillId="0" borderId="0" xfId="2" applyAlignment="1">
      <alignment horizontal="right"/>
    </xf>
    <xf numFmtId="0" fontId="0" fillId="0" borderId="42" xfId="0" applyBorder="1" applyAlignment="1" applyProtection="1">
      <alignment horizontal="left" vertical="top"/>
      <protection locked="0"/>
    </xf>
    <xf numFmtId="165" fontId="5" fillId="0" borderId="31" xfId="0" applyNumberFormat="1" applyFont="1" applyFill="1" applyBorder="1" applyAlignment="1" applyProtection="1">
      <alignment horizontal="center" vertical="top"/>
    </xf>
    <xf numFmtId="165" fontId="12" fillId="0" borderId="30" xfId="0" applyNumberFormat="1" applyFont="1" applyFill="1" applyBorder="1" applyAlignment="1" applyProtection="1">
      <alignment horizontal="center" vertical="top" wrapText="1"/>
    </xf>
    <xf numFmtId="165" fontId="12" fillId="0" borderId="31" xfId="0" applyNumberFormat="1" applyFont="1" applyFill="1" applyBorder="1" applyAlignment="1" applyProtection="1">
      <alignment horizontal="center" vertical="top" wrapText="1"/>
    </xf>
    <xf numFmtId="49" fontId="2" fillId="2" borderId="0" xfId="0" applyNumberFormat="1" applyFont="1" applyFill="1" applyAlignment="1">
      <alignment wrapText="1"/>
    </xf>
    <xf numFmtId="49" fontId="0" fillId="0" borderId="0" xfId="0" applyNumberFormat="1"/>
    <xf numFmtId="49" fontId="2" fillId="4" borderId="0" xfId="0" applyNumberFormat="1" applyFont="1" applyFill="1" applyAlignment="1">
      <alignment wrapText="1"/>
    </xf>
    <xf numFmtId="49" fontId="2" fillId="5" borderId="0" xfId="0" applyNumberFormat="1" applyFont="1" applyFill="1" applyAlignment="1">
      <alignment wrapText="1"/>
    </xf>
    <xf numFmtId="49" fontId="2" fillId="6" borderId="0" xfId="0" applyNumberFormat="1" applyFont="1" applyFill="1" applyAlignment="1">
      <alignment wrapText="1"/>
    </xf>
    <xf numFmtId="49" fontId="2" fillId="7" borderId="0" xfId="0" applyNumberFormat="1" applyFont="1" applyFill="1" applyAlignment="1">
      <alignment wrapText="1"/>
    </xf>
    <xf numFmtId="49" fontId="2" fillId="8" borderId="0" xfId="0" applyNumberFormat="1" applyFont="1" applyFill="1" applyAlignment="1">
      <alignment wrapText="1"/>
    </xf>
    <xf numFmtId="49" fontId="2" fillId="9" borderId="0" xfId="0" applyNumberFormat="1" applyFont="1" applyFill="1" applyAlignment="1">
      <alignment wrapText="1"/>
    </xf>
    <xf numFmtId="49" fontId="2" fillId="0" borderId="0" xfId="0" applyNumberFormat="1" applyFont="1" applyAlignment="1">
      <alignment wrapText="1"/>
    </xf>
    <xf numFmtId="0" fontId="5" fillId="0" borderId="50" xfId="0" applyNumberFormat="1" applyFont="1" applyFill="1" applyBorder="1" applyAlignment="1" applyProtection="1">
      <alignment horizontal="center" vertical="top" wrapText="1"/>
    </xf>
    <xf numFmtId="0" fontId="5" fillId="0" borderId="50" xfId="0" applyNumberFormat="1" applyFont="1" applyFill="1" applyBorder="1" applyAlignment="1" applyProtection="1">
      <alignment horizontal="center" vertical="top"/>
    </xf>
    <xf numFmtId="0" fontId="5" fillId="0" borderId="54" xfId="0" applyNumberFormat="1" applyFont="1" applyFill="1" applyBorder="1" applyAlignment="1" applyProtection="1">
      <alignment horizontal="center" vertical="top"/>
    </xf>
    <xf numFmtId="0" fontId="0" fillId="0" borderId="0" xfId="0" applyNumberFormat="1" applyFill="1"/>
    <xf numFmtId="0" fontId="0" fillId="0" borderId="0" xfId="0" applyNumberFormat="1"/>
    <xf numFmtId="164" fontId="5" fillId="0" borderId="32" xfId="0" applyNumberFormat="1" applyFont="1" applyFill="1" applyBorder="1" applyAlignment="1" applyProtection="1">
      <alignment horizontal="center" vertical="top" wrapText="1"/>
      <protection locked="0"/>
    </xf>
    <xf numFmtId="164" fontId="5" fillId="0" borderId="32" xfId="0" applyNumberFormat="1" applyFont="1" applyFill="1" applyBorder="1" applyAlignment="1" applyProtection="1">
      <alignment horizontal="center" vertical="top"/>
      <protection locked="0"/>
    </xf>
    <xf numFmtId="0" fontId="0" fillId="0" borderId="2" xfId="0" applyBorder="1" applyAlignment="1" applyProtection="1">
      <alignment vertical="top"/>
      <protection locked="0"/>
    </xf>
    <xf numFmtId="0" fontId="0" fillId="0" borderId="6" xfId="0" applyBorder="1" applyAlignment="1" applyProtection="1">
      <alignment vertical="top"/>
      <protection locked="0"/>
    </xf>
    <xf numFmtId="165" fontId="5" fillId="0" borderId="9"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wrapText="1"/>
    </xf>
    <xf numFmtId="165" fontId="5" fillId="0" borderId="9" xfId="0" applyNumberFormat="1" applyFont="1" applyFill="1" applyBorder="1" applyAlignment="1" applyProtection="1">
      <alignment horizontal="center" vertical="top"/>
    </xf>
    <xf numFmtId="165" fontId="5" fillId="0" borderId="13" xfId="0" applyNumberFormat="1" applyFont="1" applyFill="1" applyBorder="1" applyAlignment="1" applyProtection="1">
      <alignment horizontal="center" vertical="top"/>
    </xf>
    <xf numFmtId="165" fontId="12" fillId="0" borderId="9" xfId="0" applyNumberFormat="1" applyFont="1" applyFill="1" applyBorder="1" applyAlignment="1" applyProtection="1">
      <alignment horizontal="center" vertical="top" wrapText="1"/>
    </xf>
    <xf numFmtId="165" fontId="12" fillId="0" borderId="13" xfId="0" applyNumberFormat="1" applyFont="1" applyFill="1" applyBorder="1" applyAlignment="1" applyProtection="1">
      <alignment horizontal="center" vertical="top" wrapText="1"/>
    </xf>
    <xf numFmtId="0" fontId="5" fillId="0" borderId="6" xfId="0" applyFont="1" applyFill="1" applyBorder="1" applyAlignment="1" applyProtection="1">
      <alignment horizontal="left" vertical="top" wrapText="1"/>
      <protection locked="0"/>
    </xf>
    <xf numFmtId="164" fontId="5" fillId="10" borderId="22" xfId="0" applyNumberFormat="1" applyFont="1" applyFill="1" applyBorder="1" applyAlignment="1" applyProtection="1">
      <alignment horizontal="center" vertical="top" wrapText="1"/>
      <protection locked="0"/>
    </xf>
    <xf numFmtId="164" fontId="5" fillId="10" borderId="23" xfId="0" applyNumberFormat="1" applyFont="1" applyFill="1" applyBorder="1" applyAlignment="1" applyProtection="1">
      <alignment horizontal="center" vertical="top" wrapText="1"/>
      <protection locked="0"/>
    </xf>
    <xf numFmtId="164" fontId="5" fillId="10" borderId="27" xfId="0" applyNumberFormat="1" applyFont="1" applyFill="1" applyBorder="1" applyAlignment="1" applyProtection="1">
      <alignment horizontal="center" vertical="top" wrapText="1"/>
      <protection locked="0"/>
    </xf>
    <xf numFmtId="164" fontId="5" fillId="10" borderId="28" xfId="0" applyNumberFormat="1" applyFont="1" applyFill="1" applyBorder="1" applyAlignment="1" applyProtection="1">
      <alignment horizontal="center" vertical="top" wrapText="1"/>
      <protection locked="0"/>
    </xf>
    <xf numFmtId="164" fontId="5" fillId="10" borderId="52" xfId="0" applyNumberFormat="1" applyFont="1" applyFill="1" applyBorder="1" applyAlignment="1" applyProtection="1">
      <alignment horizontal="center" vertical="top" wrapText="1"/>
      <protection locked="0"/>
    </xf>
    <xf numFmtId="164" fontId="5" fillId="10" borderId="53" xfId="0" applyNumberFormat="1" applyFont="1" applyFill="1" applyBorder="1" applyAlignment="1" applyProtection="1">
      <alignment horizontal="center" vertical="top" wrapText="1"/>
      <protection locked="0"/>
    </xf>
    <xf numFmtId="0" fontId="5" fillId="10" borderId="52" xfId="0" applyFont="1" applyFill="1" applyBorder="1" applyAlignment="1" applyProtection="1">
      <alignment horizontal="center" vertical="top" wrapText="1"/>
      <protection locked="0"/>
    </xf>
    <xf numFmtId="0" fontId="5" fillId="10" borderId="53" xfId="0" applyFont="1" applyFill="1" applyBorder="1" applyAlignment="1" applyProtection="1">
      <alignment horizontal="center" vertical="top" wrapText="1"/>
      <protection locked="0"/>
    </xf>
    <xf numFmtId="164" fontId="5" fillId="10" borderId="39" xfId="0" applyNumberFormat="1" applyFont="1" applyFill="1" applyBorder="1" applyAlignment="1" applyProtection="1">
      <alignment horizontal="center" vertical="top" wrapText="1"/>
      <protection locked="0"/>
    </xf>
    <xf numFmtId="164" fontId="5" fillId="10" borderId="32" xfId="0" applyNumberFormat="1" applyFont="1" applyFill="1" applyBorder="1" applyAlignment="1" applyProtection="1">
      <alignment horizontal="center" vertical="top" wrapText="1"/>
      <protection locked="0"/>
    </xf>
    <xf numFmtId="1" fontId="5" fillId="10" borderId="49" xfId="0" applyNumberFormat="1" applyFont="1" applyFill="1" applyBorder="1" applyAlignment="1" applyProtection="1">
      <alignment horizontal="center" vertical="top" wrapText="1"/>
      <protection locked="0"/>
    </xf>
    <xf numFmtId="1" fontId="5" fillId="10" borderId="50" xfId="0" applyNumberFormat="1" applyFont="1" applyFill="1" applyBorder="1" applyAlignment="1" applyProtection="1">
      <alignment horizontal="center" vertical="top" wrapText="1"/>
      <protection locked="0"/>
    </xf>
    <xf numFmtId="0" fontId="5" fillId="10" borderId="49" xfId="0" applyNumberFormat="1" applyFont="1" applyFill="1" applyBorder="1" applyAlignment="1" applyProtection="1">
      <alignment horizontal="center" vertical="top" wrapText="1"/>
    </xf>
    <xf numFmtId="0" fontId="5" fillId="10" borderId="50" xfId="0" applyNumberFormat="1" applyFont="1" applyFill="1" applyBorder="1" applyAlignment="1" applyProtection="1">
      <alignment horizontal="center" vertical="top" wrapText="1"/>
    </xf>
    <xf numFmtId="165" fontId="5" fillId="10" borderId="39" xfId="0" applyNumberFormat="1" applyFont="1" applyFill="1" applyBorder="1" applyAlignment="1" applyProtection="1">
      <alignment horizontal="center" vertical="top" wrapText="1"/>
    </xf>
    <xf numFmtId="165" fontId="5" fillId="10" borderId="32" xfId="0" applyNumberFormat="1" applyFont="1" applyFill="1" applyBorder="1" applyAlignment="1" applyProtection="1">
      <alignment horizontal="center" vertical="top" wrapText="1"/>
    </xf>
    <xf numFmtId="165" fontId="5" fillId="10" borderId="12" xfId="0"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wrapText="1"/>
    </xf>
    <xf numFmtId="165" fontId="5" fillId="10" borderId="38" xfId="0" applyNumberFormat="1" applyFont="1" applyFill="1" applyBorder="1" applyAlignment="1" applyProtection="1">
      <alignment horizontal="center" vertical="top" wrapText="1"/>
    </xf>
    <xf numFmtId="165" fontId="5" fillId="10" borderId="30" xfId="0" applyNumberFormat="1" applyFont="1" applyFill="1" applyBorder="1" applyAlignment="1" applyProtection="1">
      <alignment horizontal="center" vertical="top" wrapText="1"/>
    </xf>
    <xf numFmtId="165" fontId="5" fillId="10" borderId="22" xfId="1" applyNumberFormat="1" applyFont="1" applyFill="1" applyBorder="1" applyAlignment="1" applyProtection="1">
      <alignment horizontal="center" vertical="top" wrapText="1"/>
    </xf>
    <xf numFmtId="165" fontId="5" fillId="10" borderId="23" xfId="0" applyNumberFormat="1" applyFont="1" applyFill="1" applyBorder="1" applyAlignment="1" applyProtection="1">
      <alignment horizontal="center" vertical="top"/>
    </xf>
    <xf numFmtId="165" fontId="5" fillId="10" borderId="39" xfId="1" applyNumberFormat="1" applyFont="1" applyFill="1" applyBorder="1" applyAlignment="1" applyProtection="1">
      <alignment horizontal="center" vertical="top" wrapText="1"/>
    </xf>
    <xf numFmtId="165" fontId="5" fillId="10" borderId="32" xfId="0" applyNumberFormat="1" applyFont="1" applyFill="1" applyBorder="1" applyAlignment="1" applyProtection="1">
      <alignment horizontal="center" vertical="top"/>
    </xf>
    <xf numFmtId="165" fontId="5" fillId="10" borderId="12" xfId="1"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xf>
    <xf numFmtId="165" fontId="5" fillId="10" borderId="38" xfId="1" applyNumberFormat="1" applyFont="1" applyFill="1" applyBorder="1" applyAlignment="1" applyProtection="1">
      <alignment horizontal="center" vertical="top" wrapText="1"/>
    </xf>
    <xf numFmtId="165" fontId="5" fillId="10" borderId="30" xfId="0" applyNumberFormat="1" applyFont="1" applyFill="1" applyBorder="1" applyAlignment="1" applyProtection="1">
      <alignment horizontal="center" vertical="top"/>
    </xf>
    <xf numFmtId="165" fontId="5" fillId="10" borderId="19" xfId="1" applyNumberFormat="1" applyFont="1" applyFill="1" applyBorder="1" applyAlignment="1" applyProtection="1">
      <alignment horizontal="center" vertical="top" wrapText="1"/>
    </xf>
    <xf numFmtId="165" fontId="5" fillId="10" borderId="20" xfId="0" applyNumberFormat="1" applyFont="1" applyFill="1" applyBorder="1" applyAlignment="1" applyProtection="1">
      <alignment horizontal="center" vertical="top"/>
    </xf>
    <xf numFmtId="0" fontId="5" fillId="10" borderId="39" xfId="0" applyFont="1" applyFill="1" applyBorder="1" applyAlignment="1" applyProtection="1">
      <alignment horizontal="center" vertical="top" wrapText="1"/>
      <protection locked="0"/>
    </xf>
    <xf numFmtId="0" fontId="5" fillId="10" borderId="32" xfId="0" applyFont="1" applyFill="1" applyBorder="1" applyAlignment="1" applyProtection="1">
      <alignment horizontal="center" vertical="top" wrapText="1"/>
      <protection locked="0"/>
    </xf>
    <xf numFmtId="0" fontId="5" fillId="10" borderId="12" xfId="0" applyFont="1" applyFill="1" applyBorder="1" applyAlignment="1" applyProtection="1">
      <alignment horizontal="center" vertical="top" wrapText="1"/>
      <protection locked="0"/>
    </xf>
    <xf numFmtId="0" fontId="5" fillId="10" borderId="13" xfId="0" applyFont="1" applyFill="1" applyBorder="1" applyAlignment="1" applyProtection="1">
      <alignment horizontal="center" vertical="top" wrapText="1"/>
      <protection locked="0"/>
    </xf>
    <xf numFmtId="0" fontId="5" fillId="10" borderId="19" xfId="0" applyFont="1" applyFill="1" applyBorder="1" applyAlignment="1" applyProtection="1">
      <alignment horizontal="center" vertical="top" wrapText="1"/>
      <protection locked="0"/>
    </xf>
    <xf numFmtId="0" fontId="5" fillId="10" borderId="20" xfId="0" applyFont="1" applyFill="1" applyBorder="1" applyAlignment="1" applyProtection="1">
      <alignment horizontal="center" vertical="top" wrapText="1"/>
      <protection locked="0"/>
    </xf>
    <xf numFmtId="0" fontId="0" fillId="0" borderId="34" xfId="0" applyBorder="1" applyAlignment="1" applyProtection="1">
      <alignment vertical="top"/>
      <protection locked="0"/>
    </xf>
    <xf numFmtId="0" fontId="9" fillId="0" borderId="55" xfId="0" applyFont="1" applyBorder="1"/>
    <xf numFmtId="0" fontId="11" fillId="0" borderId="35" xfId="2" applyFont="1" applyBorder="1" applyAlignment="1" applyProtection="1">
      <alignment vertical="center" wrapText="1"/>
      <protection locked="0"/>
    </xf>
    <xf numFmtId="165" fontId="5" fillId="10" borderId="8" xfId="1" applyNumberFormat="1" applyFont="1" applyFill="1" applyBorder="1" applyAlignment="1" applyProtection="1">
      <alignment horizontal="center" vertical="top" wrapText="1"/>
    </xf>
    <xf numFmtId="165" fontId="5" fillId="10" borderId="9" xfId="0" applyNumberFormat="1" applyFont="1" applyFill="1" applyBorder="1" applyAlignment="1" applyProtection="1">
      <alignment horizontal="center" vertical="top"/>
    </xf>
    <xf numFmtId="165" fontId="5" fillId="0" borderId="47" xfId="0" applyNumberFormat="1" applyFont="1" applyFill="1" applyBorder="1" applyAlignment="1" applyProtection="1">
      <alignment horizontal="center" vertical="top"/>
    </xf>
    <xf numFmtId="165" fontId="5" fillId="10" borderId="52" xfId="1" applyNumberFormat="1" applyFont="1" applyFill="1" applyBorder="1" applyAlignment="1" applyProtection="1">
      <alignment horizontal="center" vertical="top" wrapText="1"/>
    </xf>
    <xf numFmtId="165" fontId="5" fillId="10" borderId="53" xfId="0" applyNumberFormat="1" applyFont="1" applyFill="1" applyBorder="1" applyAlignment="1" applyProtection="1">
      <alignment horizontal="center" vertical="top"/>
    </xf>
    <xf numFmtId="165" fontId="5" fillId="0" borderId="53" xfId="0" applyNumberFormat="1" applyFont="1" applyFill="1" applyBorder="1" applyAlignment="1" applyProtection="1">
      <alignment horizontal="center" vertical="top"/>
    </xf>
    <xf numFmtId="165" fontId="5" fillId="0" borderId="41" xfId="0" applyNumberFormat="1" applyFont="1" applyFill="1" applyBorder="1" applyAlignment="1" applyProtection="1">
      <alignment horizontal="center" vertical="top"/>
    </xf>
    <xf numFmtId="0" fontId="0" fillId="0" borderId="42" xfId="0" applyBorder="1" applyAlignment="1" applyProtection="1">
      <alignment vertical="top"/>
      <protection locked="0"/>
    </xf>
    <xf numFmtId="164" fontId="5" fillId="0" borderId="53" xfId="0" applyNumberFormat="1" applyFont="1" applyFill="1" applyBorder="1" applyAlignment="1" applyProtection="1">
      <alignment horizontal="center" vertical="top" wrapText="1"/>
      <protection locked="0"/>
    </xf>
    <xf numFmtId="164" fontId="5" fillId="0" borderId="58" xfId="0" applyNumberFormat="1" applyFont="1" applyFill="1" applyBorder="1" applyAlignment="1" applyProtection="1">
      <alignment horizontal="center" vertical="top" wrapText="1"/>
      <protection locked="0"/>
    </xf>
    <xf numFmtId="1" fontId="5" fillId="10" borderId="52" xfId="0" applyNumberFormat="1" applyFont="1" applyFill="1" applyBorder="1" applyAlignment="1" applyProtection="1">
      <alignment horizontal="center" vertical="top" wrapText="1"/>
      <protection locked="0"/>
    </xf>
    <xf numFmtId="1" fontId="5" fillId="10" borderId="53" xfId="0" applyNumberFormat="1" applyFont="1" applyFill="1" applyBorder="1" applyAlignment="1" applyProtection="1">
      <alignment horizontal="center" vertical="top" wrapText="1"/>
      <protection locked="0"/>
    </xf>
    <xf numFmtId="0" fontId="0" fillId="0" borderId="42" xfId="0" applyBorder="1" applyAlignment="1" applyProtection="1">
      <alignment horizontal="left" vertical="top" wrapText="1"/>
      <protection locked="0"/>
    </xf>
    <xf numFmtId="165" fontId="12" fillId="10" borderId="13" xfId="0" applyNumberFormat="1" applyFont="1" applyFill="1" applyBorder="1" applyAlignment="1" applyProtection="1">
      <alignment horizontal="center" vertical="top" wrapText="1"/>
    </xf>
    <xf numFmtId="165" fontId="12" fillId="10" borderId="30" xfId="0" applyNumberFormat="1" applyFont="1" applyFill="1" applyBorder="1" applyAlignment="1" applyProtection="1">
      <alignment horizontal="center" vertical="top" wrapText="1"/>
    </xf>
    <xf numFmtId="165" fontId="5" fillId="10" borderId="19" xfId="0" applyNumberFormat="1" applyFont="1" applyFill="1" applyBorder="1" applyAlignment="1" applyProtection="1">
      <alignment horizontal="center" vertical="top" wrapText="1"/>
    </xf>
    <xf numFmtId="165" fontId="12" fillId="10" borderId="20" xfId="0" applyNumberFormat="1" applyFont="1" applyFill="1" applyBorder="1" applyAlignment="1" applyProtection="1">
      <alignment horizontal="center" vertical="top" wrapText="1"/>
    </xf>
    <xf numFmtId="165" fontId="5" fillId="10" borderId="20" xfId="0" applyNumberFormat="1" applyFont="1" applyFill="1" applyBorder="1" applyAlignment="1" applyProtection="1">
      <alignment horizontal="center" vertical="top" wrapText="1"/>
    </xf>
    <xf numFmtId="0" fontId="5" fillId="0" borderId="34" xfId="0" applyFont="1" applyFill="1" applyBorder="1" applyAlignment="1" applyProtection="1">
      <alignment vertical="top" wrapText="1"/>
      <protection locked="0"/>
    </xf>
    <xf numFmtId="0" fontId="5" fillId="0" borderId="6" xfId="0" applyFont="1" applyFill="1" applyBorder="1" applyAlignment="1" applyProtection="1">
      <alignment vertical="top" wrapText="1"/>
      <protection locked="0"/>
    </xf>
    <xf numFmtId="0" fontId="10" fillId="0" borderId="11" xfId="0" applyFont="1" applyFill="1" applyBorder="1" applyAlignment="1">
      <alignment horizontal="left" vertical="top" wrapText="1"/>
    </xf>
    <xf numFmtId="165" fontId="12" fillId="10" borderId="32" xfId="0" applyNumberFormat="1" applyFont="1" applyFill="1" applyBorder="1" applyAlignment="1" applyProtection="1">
      <alignment horizontal="center" vertical="top" wrapText="1"/>
    </xf>
    <xf numFmtId="165" fontId="12" fillId="0" borderId="32" xfId="0" applyNumberFormat="1" applyFont="1" applyFill="1" applyBorder="1" applyAlignment="1" applyProtection="1">
      <alignment horizontal="center" vertical="top" wrapText="1"/>
    </xf>
    <xf numFmtId="165" fontId="12" fillId="0" borderId="33" xfId="0" applyNumberFormat="1" applyFont="1" applyFill="1" applyBorder="1" applyAlignment="1" applyProtection="1">
      <alignment horizontal="center" vertical="top" wrapText="1"/>
    </xf>
    <xf numFmtId="165" fontId="5" fillId="10" borderId="27" xfId="0" applyNumberFormat="1" applyFont="1" applyFill="1" applyBorder="1" applyAlignment="1" applyProtection="1">
      <alignment horizontal="center" vertical="top" wrapText="1"/>
    </xf>
    <xf numFmtId="165" fontId="12" fillId="10" borderId="28" xfId="0" applyNumberFormat="1" applyFont="1" applyFill="1" applyBorder="1" applyAlignment="1" applyProtection="1">
      <alignment vertical="top" wrapText="1"/>
    </xf>
    <xf numFmtId="165" fontId="5" fillId="10" borderId="28" xfId="0" applyNumberFormat="1" applyFont="1" applyFill="1" applyBorder="1" applyAlignment="1" applyProtection="1">
      <alignment vertical="top" wrapText="1"/>
    </xf>
    <xf numFmtId="165" fontId="12" fillId="0" borderId="28" xfId="0" applyNumberFormat="1" applyFont="1" applyFill="1" applyBorder="1" applyAlignment="1" applyProtection="1">
      <alignment vertical="top" wrapText="1"/>
    </xf>
    <xf numFmtId="165" fontId="12" fillId="0" borderId="59" xfId="0" applyNumberFormat="1" applyFont="1" applyFill="1" applyBorder="1" applyAlignment="1" applyProtection="1">
      <alignment vertical="top" wrapText="1"/>
    </xf>
    <xf numFmtId="165" fontId="5" fillId="10" borderId="52" xfId="0" applyNumberFormat="1" applyFont="1" applyFill="1" applyBorder="1" applyAlignment="1" applyProtection="1">
      <alignment horizontal="center" vertical="top" wrapText="1"/>
    </xf>
    <xf numFmtId="165" fontId="12" fillId="10" borderId="53" xfId="0" applyNumberFormat="1" applyFont="1" applyFill="1" applyBorder="1" applyAlignment="1" applyProtection="1">
      <alignment horizontal="center" vertical="top" wrapText="1"/>
    </xf>
    <xf numFmtId="165" fontId="5" fillId="10" borderId="53" xfId="0" applyNumberFormat="1" applyFont="1" applyFill="1" applyBorder="1" applyAlignment="1" applyProtection="1">
      <alignment horizontal="center" vertical="top" wrapText="1"/>
    </xf>
    <xf numFmtId="165" fontId="12" fillId="0" borderId="53" xfId="0" applyNumberFormat="1" applyFont="1" applyFill="1" applyBorder="1" applyAlignment="1" applyProtection="1">
      <alignment horizontal="center" vertical="top" wrapText="1"/>
    </xf>
    <xf numFmtId="165" fontId="12" fillId="0" borderId="41" xfId="0" applyNumberFormat="1" applyFont="1" applyFill="1" applyBorder="1" applyAlignment="1" applyProtection="1">
      <alignment horizontal="center" vertical="top" wrapText="1"/>
    </xf>
    <xf numFmtId="0" fontId="5" fillId="0" borderId="42" xfId="0" applyFont="1" applyFill="1" applyBorder="1" applyAlignment="1" applyProtection="1">
      <alignment vertical="top" wrapText="1"/>
      <protection locked="0"/>
    </xf>
    <xf numFmtId="0" fontId="2" fillId="2" borderId="42" xfId="0" applyFont="1" applyFill="1" applyBorder="1" applyAlignment="1">
      <alignment horizontal="center" vertical="center" wrapText="1"/>
    </xf>
    <xf numFmtId="0" fontId="10" fillId="3" borderId="5" xfId="0" applyFont="1" applyFill="1" applyBorder="1" applyAlignment="1">
      <alignment vertical="center" wrapText="1"/>
    </xf>
    <xf numFmtId="0" fontId="5" fillId="0" borderId="60" xfId="0" applyFont="1" applyFill="1" applyBorder="1" applyAlignment="1" applyProtection="1">
      <alignment horizontal="left" vertical="top" wrapText="1"/>
      <protection locked="0"/>
    </xf>
    <xf numFmtId="0" fontId="5" fillId="0" borderId="42" xfId="0" applyFont="1" applyFill="1" applyBorder="1" applyAlignment="1" applyProtection="1">
      <alignment horizontal="left" vertical="top" wrapText="1"/>
      <protection locked="0"/>
    </xf>
    <xf numFmtId="0" fontId="9" fillId="0" borderId="53" xfId="0" applyFont="1" applyFill="1" applyBorder="1"/>
    <xf numFmtId="164" fontId="5" fillId="0" borderId="53" xfId="0" applyNumberFormat="1" applyFont="1" applyFill="1" applyBorder="1" applyAlignment="1" applyProtection="1">
      <alignment horizontal="center" vertical="top"/>
      <protection locked="0"/>
    </xf>
    <xf numFmtId="164" fontId="5" fillId="0" borderId="41" xfId="0" applyNumberFormat="1" applyFont="1" applyFill="1" applyBorder="1" applyAlignment="1" applyProtection="1">
      <alignment horizontal="center" vertical="top"/>
      <protection locked="0"/>
    </xf>
    <xf numFmtId="0" fontId="9" fillId="0" borderId="28" xfId="0" applyFont="1" applyFill="1" applyBorder="1"/>
    <xf numFmtId="164" fontId="5" fillId="0" borderId="28" xfId="0" applyNumberFormat="1" applyFont="1" applyFill="1" applyBorder="1" applyAlignment="1" applyProtection="1">
      <alignment horizontal="center" vertical="top"/>
      <protection locked="0"/>
    </xf>
    <xf numFmtId="164" fontId="5" fillId="0" borderId="59" xfId="0" applyNumberFormat="1" applyFont="1" applyFill="1" applyBorder="1" applyAlignment="1" applyProtection="1">
      <alignment horizontal="center" vertical="top"/>
      <protection locked="0"/>
    </xf>
    <xf numFmtId="0" fontId="5" fillId="0" borderId="3" xfId="0" applyNumberFormat="1" applyFont="1" applyFill="1" applyBorder="1" applyAlignment="1">
      <alignment horizontal="left" vertical="top" wrapText="1"/>
    </xf>
    <xf numFmtId="0" fontId="9" fillId="0" borderId="53" xfId="0" applyFont="1" applyBorder="1"/>
    <xf numFmtId="164" fontId="5" fillId="0" borderId="58" xfId="0" applyNumberFormat="1" applyFont="1" applyFill="1" applyBorder="1" applyAlignment="1" applyProtection="1">
      <alignment horizontal="center" vertical="top"/>
      <protection locked="0"/>
    </xf>
    <xf numFmtId="0" fontId="5" fillId="0" borderId="26" xfId="0" applyFont="1" applyFill="1" applyBorder="1" applyAlignment="1">
      <alignment horizontal="left" vertical="top" wrapText="1"/>
    </xf>
    <xf numFmtId="164" fontId="5" fillId="0" borderId="29" xfId="0" applyNumberFormat="1" applyFont="1" applyFill="1" applyBorder="1" applyAlignment="1" applyProtection="1">
      <alignment horizontal="center" vertical="top"/>
      <protection locked="0"/>
    </xf>
    <xf numFmtId="165" fontId="5" fillId="10" borderId="39" xfId="0" applyNumberFormat="1" applyFont="1" applyFill="1" applyBorder="1" applyAlignment="1" applyProtection="1">
      <alignment horizontal="center" vertical="top" wrapText="1"/>
      <protection locked="0"/>
    </xf>
    <xf numFmtId="165" fontId="5" fillId="10" borderId="32" xfId="0" applyNumberFormat="1" applyFont="1" applyFill="1" applyBorder="1" applyAlignment="1" applyProtection="1">
      <alignment horizontal="center" vertical="top" wrapText="1"/>
      <protection locked="0"/>
    </xf>
    <xf numFmtId="0" fontId="5" fillId="0" borderId="3" xfId="0" applyFont="1" applyFill="1" applyBorder="1" applyAlignment="1" applyProtection="1">
      <alignment horizontal="left" vertical="top" wrapText="1"/>
      <protection locked="0"/>
    </xf>
    <xf numFmtId="165" fontId="5" fillId="10" borderId="52" xfId="0" applyNumberFormat="1" applyFont="1" applyFill="1" applyBorder="1" applyAlignment="1" applyProtection="1">
      <alignment horizontal="center" vertical="top" wrapText="1"/>
      <protection locked="0"/>
    </xf>
    <xf numFmtId="165" fontId="5" fillId="10" borderId="53" xfId="0" applyNumberFormat="1" applyFont="1" applyFill="1" applyBorder="1" applyAlignment="1" applyProtection="1">
      <alignment horizontal="center" vertical="top" wrapText="1"/>
      <protection locked="0"/>
    </xf>
    <xf numFmtId="165" fontId="5" fillId="10" borderId="27" xfId="0" applyNumberFormat="1" applyFont="1" applyFill="1" applyBorder="1" applyAlignment="1" applyProtection="1">
      <alignment horizontal="center" vertical="top" wrapText="1"/>
      <protection locked="0"/>
    </xf>
    <xf numFmtId="165" fontId="5" fillId="10" borderId="28" xfId="0" applyNumberFormat="1" applyFont="1" applyFill="1" applyBorder="1" applyAlignment="1" applyProtection="1">
      <alignment horizontal="center" vertical="top" wrapText="1"/>
      <protection locked="0"/>
    </xf>
    <xf numFmtId="0" fontId="5" fillId="0" borderId="37" xfId="0" applyFont="1" applyFill="1" applyBorder="1" applyAlignment="1">
      <alignment horizontal="left" vertical="top" wrapText="1"/>
    </xf>
    <xf numFmtId="0" fontId="5" fillId="0" borderId="48" xfId="0" applyFont="1" applyFill="1" applyBorder="1" applyAlignment="1" applyProtection="1">
      <alignment vertical="top" wrapText="1"/>
      <protection locked="0"/>
    </xf>
    <xf numFmtId="0" fontId="5" fillId="0" borderId="3" xfId="0" applyFont="1" applyFill="1" applyBorder="1" applyAlignment="1">
      <alignment horizontal="left" vertical="top" wrapText="1"/>
    </xf>
    <xf numFmtId="0" fontId="5" fillId="0" borderId="5" xfId="0" applyFont="1" applyFill="1" applyBorder="1" applyAlignment="1" applyProtection="1">
      <alignment vertical="top" wrapText="1"/>
      <protection locked="0"/>
    </xf>
    <xf numFmtId="0" fontId="5" fillId="0" borderId="26" xfId="0" applyFont="1" applyFill="1" applyBorder="1" applyAlignment="1" applyProtection="1">
      <alignment horizontal="left" vertical="top" wrapText="1"/>
      <protection locked="0"/>
    </xf>
    <xf numFmtId="0" fontId="9" fillId="0" borderId="28" xfId="0" applyFont="1" applyBorder="1"/>
    <xf numFmtId="0" fontId="5" fillId="0" borderId="57" xfId="0" applyFont="1" applyFill="1" applyBorder="1" applyAlignment="1" applyProtection="1">
      <alignment vertical="top" wrapText="1"/>
      <protection locked="0"/>
    </xf>
    <xf numFmtId="0" fontId="5" fillId="0" borderId="28" xfId="0" applyFont="1" applyBorder="1"/>
    <xf numFmtId="0" fontId="5" fillId="0" borderId="53" xfId="0" applyFont="1" applyBorder="1"/>
    <xf numFmtId="0" fontId="3" fillId="0" borderId="7" xfId="0" applyFont="1" applyFill="1" applyBorder="1" applyAlignment="1">
      <alignment horizontal="left" vertical="top" wrapText="1"/>
    </xf>
    <xf numFmtId="0" fontId="0" fillId="0" borderId="0" xfId="0" applyNumberFormat="1" applyFill="1"/>
    <xf numFmtId="0" fontId="0" fillId="0" borderId="0" xfId="0" applyNumberFormat="1" applyFill="1"/>
    <xf numFmtId="165" fontId="0" fillId="0" borderId="0" xfId="0" applyNumberFormat="1" applyFill="1"/>
    <xf numFmtId="0" fontId="10" fillId="0" borderId="25" xfId="0" applyFont="1" applyFill="1" applyBorder="1" applyAlignment="1">
      <alignment horizontal="left" vertical="top" wrapText="1"/>
    </xf>
    <xf numFmtId="0" fontId="7" fillId="0" borderId="0" xfId="0" applyFont="1"/>
    <xf numFmtId="0" fontId="17" fillId="0" borderId="0" xfId="0" applyFont="1"/>
    <xf numFmtId="0" fontId="0" fillId="0" borderId="0" xfId="0" applyFont="1"/>
    <xf numFmtId="0" fontId="3" fillId="0" borderId="0" xfId="0" applyFont="1" applyAlignment="1">
      <alignment horizontal="right"/>
    </xf>
    <xf numFmtId="0" fontId="17" fillId="0" borderId="0" xfId="0" applyFont="1"/>
    <xf numFmtId="0" fontId="7" fillId="0" borderId="0" xfId="0" applyFont="1" applyAlignment="1">
      <alignment horizontal="right"/>
    </xf>
    <xf numFmtId="0" fontId="3" fillId="0" borderId="0" xfId="0" applyFont="1" applyAlignment="1">
      <alignment horizontal="left" vertical="top"/>
    </xf>
    <xf numFmtId="0" fontId="3" fillId="0" borderId="0" xfId="0" applyFont="1" applyAlignment="1">
      <alignment vertical="top"/>
    </xf>
    <xf numFmtId="0" fontId="4" fillId="0" borderId="0" xfId="0" applyFont="1"/>
    <xf numFmtId="0" fontId="3" fillId="0" borderId="0" xfId="0" applyFont="1" applyAlignment="1">
      <alignment vertical="top"/>
    </xf>
    <xf numFmtId="0" fontId="4" fillId="0" borderId="0" xfId="0" applyFont="1" applyAlignment="1">
      <alignment horizontal="center"/>
    </xf>
    <xf numFmtId="0" fontId="13" fillId="3" borderId="55" xfId="0" applyFont="1" applyFill="1" applyBorder="1" applyAlignment="1">
      <alignment horizontal="center"/>
    </xf>
    <xf numFmtId="0" fontId="5" fillId="0" borderId="0" xfId="0" applyFont="1" applyAlignment="1">
      <alignment horizontal="left" vertical="top" wrapText="1"/>
    </xf>
    <xf numFmtId="0" fontId="3" fillId="3"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0" borderId="0" xfId="0" applyFont="1" applyAlignment="1">
      <alignment horizontal="left"/>
    </xf>
    <xf numFmtId="0" fontId="15" fillId="0" borderId="0" xfId="0" applyFont="1" applyAlignment="1">
      <alignment horizontal="right"/>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4" fillId="0" borderId="0" xfId="0" applyFont="1" applyAlignment="1">
      <alignment horizontal="left" vertical="top" wrapText="1"/>
    </xf>
    <xf numFmtId="0" fontId="0" fillId="0" borderId="2" xfId="0" applyBorder="1" applyAlignment="1" applyProtection="1">
      <alignment vertical="top"/>
      <protection locked="0"/>
    </xf>
    <xf numFmtId="0" fontId="0" fillId="0" borderId="6" xfId="0" applyBorder="1" applyAlignment="1" applyProtection="1">
      <alignment vertical="top"/>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165" fontId="12" fillId="0" borderId="9" xfId="0" applyNumberFormat="1" applyFont="1" applyFill="1" applyBorder="1" applyAlignment="1" applyProtection="1">
      <alignment horizontal="center" vertical="top" wrapText="1"/>
    </xf>
    <xf numFmtId="165" fontId="12" fillId="0" borderId="13" xfId="0" applyNumberFormat="1" applyFont="1" applyFill="1" applyBorder="1" applyAlignment="1" applyProtection="1">
      <alignment horizontal="center" vertical="top" wrapText="1"/>
    </xf>
    <xf numFmtId="165" fontId="12" fillId="0" borderId="10" xfId="0" applyNumberFormat="1" applyFont="1" applyFill="1" applyBorder="1" applyAlignment="1" applyProtection="1">
      <alignment horizontal="center" vertical="top" wrapText="1"/>
    </xf>
    <xf numFmtId="165" fontId="12" fillId="0" borderId="14" xfId="0" applyNumberFormat="1" applyFont="1" applyFill="1" applyBorder="1" applyAlignment="1" applyProtection="1">
      <alignment horizontal="center" vertical="top" wrapText="1"/>
    </xf>
    <xf numFmtId="0" fontId="5" fillId="0" borderId="34"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165" fontId="5" fillId="10" borderId="8" xfId="0" applyNumberFormat="1" applyFont="1" applyFill="1" applyBorder="1" applyAlignment="1" applyProtection="1">
      <alignment horizontal="center" vertical="top" wrapText="1"/>
    </xf>
    <xf numFmtId="165" fontId="5" fillId="10" borderId="12" xfId="0" applyNumberFormat="1" applyFont="1" applyFill="1" applyBorder="1" applyAlignment="1" applyProtection="1">
      <alignment horizontal="center" vertical="top" wrapText="1"/>
    </xf>
    <xf numFmtId="165" fontId="12" fillId="10" borderId="9" xfId="0" applyNumberFormat="1" applyFont="1" applyFill="1" applyBorder="1" applyAlignment="1" applyProtection="1">
      <alignment horizontal="center" vertical="top" wrapText="1"/>
    </xf>
    <xf numFmtId="165" fontId="12" fillId="10" borderId="13" xfId="0" applyNumberFormat="1" applyFont="1" applyFill="1" applyBorder="1" applyAlignment="1" applyProtection="1">
      <alignment horizontal="center" vertical="top" wrapText="1"/>
    </xf>
    <xf numFmtId="165" fontId="5" fillId="10" borderId="9" xfId="0" applyNumberFormat="1" applyFont="1" applyFill="1" applyBorder="1" applyAlignment="1" applyProtection="1">
      <alignment horizontal="center" vertical="top" wrapText="1"/>
    </xf>
    <xf numFmtId="165" fontId="5" fillId="10" borderId="13" xfId="0" applyNumberFormat="1" applyFont="1" applyFill="1" applyBorder="1" applyAlignment="1" applyProtection="1">
      <alignment horizontal="center" vertical="top" wrapText="1"/>
    </xf>
    <xf numFmtId="0" fontId="5" fillId="0" borderId="2" xfId="0" applyFont="1" applyFill="1" applyBorder="1" applyAlignment="1" applyProtection="1">
      <alignment horizontal="left" vertical="top" wrapText="1"/>
      <protection locked="0"/>
    </xf>
    <xf numFmtId="0" fontId="6" fillId="0" borderId="0" xfId="0" applyFont="1" applyAlignment="1">
      <alignment horizontal="left" vertical="top"/>
    </xf>
    <xf numFmtId="0" fontId="2" fillId="2" borderId="7"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165" fontId="5" fillId="0" borderId="9" xfId="0" applyNumberFormat="1" applyFont="1" applyFill="1" applyBorder="1" applyAlignment="1" applyProtection="1">
      <alignment horizontal="center" vertical="top"/>
    </xf>
    <xf numFmtId="165" fontId="5" fillId="0" borderId="13" xfId="0" applyNumberFormat="1" applyFont="1" applyFill="1" applyBorder="1" applyAlignment="1" applyProtection="1">
      <alignment horizontal="center" vertical="top"/>
    </xf>
    <xf numFmtId="165" fontId="5" fillId="0" borderId="10" xfId="0" applyNumberFormat="1" applyFont="1" applyFill="1" applyBorder="1" applyAlignment="1" applyProtection="1">
      <alignment horizontal="center" vertical="top"/>
    </xf>
    <xf numFmtId="165" fontId="5" fillId="0" borderId="14" xfId="0" applyNumberFormat="1" applyFont="1" applyFill="1" applyBorder="1" applyAlignment="1" applyProtection="1">
      <alignment horizontal="center" vertical="top"/>
    </xf>
    <xf numFmtId="0" fontId="5" fillId="0" borderId="2" xfId="0" applyFont="1" applyFill="1" applyBorder="1" applyAlignment="1" applyProtection="1">
      <alignment horizontal="left" vertical="top"/>
      <protection locked="0"/>
    </xf>
    <xf numFmtId="0" fontId="5" fillId="0" borderId="34" xfId="0" applyFont="1" applyFill="1" applyBorder="1" applyAlignment="1" applyProtection="1">
      <alignment horizontal="left" vertical="top"/>
      <protection locked="0"/>
    </xf>
    <xf numFmtId="165" fontId="5" fillId="0" borderId="9" xfId="0" applyNumberFormat="1" applyFont="1" applyFill="1" applyBorder="1" applyAlignment="1" applyProtection="1">
      <alignment horizontal="center" vertical="top" wrapText="1"/>
    </xf>
    <xf numFmtId="165" fontId="5" fillId="0" borderId="13" xfId="0" applyNumberFormat="1" applyFont="1" applyFill="1" applyBorder="1" applyAlignment="1" applyProtection="1">
      <alignment horizontal="center" vertical="top" wrapText="1"/>
    </xf>
    <xf numFmtId="0" fontId="10" fillId="3" borderId="3"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5" xfId="0" applyFont="1" applyFill="1" applyBorder="1" applyAlignment="1" applyProtection="1">
      <alignment horizontal="left" vertical="center" wrapText="1"/>
    </xf>
    <xf numFmtId="0" fontId="2" fillId="2" borderId="5" xfId="0" applyFont="1" applyFill="1" applyBorder="1" applyAlignment="1">
      <alignment horizontal="center" vertical="center"/>
    </xf>
  </cellXfs>
  <cellStyles count="21">
    <cellStyle name="Comma 2" xfId="8"/>
    <cellStyle name="Hyperlink" xfId="2" builtinId="8"/>
    <cellStyle name="Hyperlink 2" xfId="3"/>
    <cellStyle name="Normal" xfId="0" builtinId="0"/>
    <cellStyle name="Normal 2" xfId="4"/>
    <cellStyle name="Normal 2 2" xfId="9"/>
    <cellStyle name="Normal 3" xfId="7"/>
    <cellStyle name="Normal 3 2" xfId="10"/>
    <cellStyle name="Normal 4" xfId="11"/>
    <cellStyle name="Normal 4 2" xfId="12"/>
    <cellStyle name="Normal 4 3" xfId="13"/>
    <cellStyle name="Normal 5" xfId="14"/>
    <cellStyle name="Normal 6" xfId="15"/>
    <cellStyle name="Normal 7" xfId="16"/>
    <cellStyle name="Percent" xfId="1" builtinId="5"/>
    <cellStyle name="Percent 2" xfId="5"/>
    <cellStyle name="Percent 3" xfId="6"/>
    <cellStyle name="Percent 3 2" xfId="17"/>
    <cellStyle name="Percent 4" xfId="18"/>
    <cellStyle name="Percent 4 2" xfId="19"/>
    <cellStyle name="Percent 4 3" xfId="20"/>
  </cellStyles>
  <dxfs count="0"/>
  <tableStyles count="0" defaultTableStyle="TableStyleMedium9" defaultPivotStyle="PivotStyleLight16"/>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calcChain" Target="calcChain.xml"/>
  <Relationship Id="rId11" Type="http://schemas.openxmlformats.org/officeDocument/2006/relationships/customXml" Target="../customXml/item1.xml"/>
  <Relationship Id="rId12" Type="http://schemas.openxmlformats.org/officeDocument/2006/relationships/customXml" Target="../customXml/item2.xml"/>
  <Relationship Id="rId13" Type="http://schemas.openxmlformats.org/officeDocument/2006/relationships/customXml" Target="../customXml/item3.xml"/>
  <Relationship Id="rId14" Type="http://schemas.openxmlformats.org/officeDocument/2006/relationships/customXml" Target="../customXml/item4.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tyles" Target="styles.xml"/>
  <Relationship Id="rId9"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Accountability%20Data/Accountability%20Data/2013/MAG%20for%202013%20new%20level%204%20schools/MAG%20Workbook_FINAL.xlsx"/>
</Relationships>

</file>

<file path=xl/externalLinks/externalLink1.xml><?xml version="1.0" encoding="utf-8"?>
<externalLink xmlns="http://schemas.openxmlformats.org/spreadsheetml/2006/main">
  <externalBook xmlns:r="http://schemas.openxmlformats.org/officeDocument/2006/relationships" r:id="rId1">
    <sheetNames>
      <sheetName val="Table of contents"/>
      <sheetName val="Student rates"/>
      <sheetName val="Student achievement"/>
      <sheetName val="College readiness"/>
      <sheetName val="District-defined measures"/>
      <sheetName val="Data"/>
    </sheetNames>
    <sheetDataSet>
      <sheetData sheetId="0" refreshError="1"/>
      <sheetData sheetId="1" refreshError="1"/>
      <sheetData sheetId="2" refreshError="1"/>
      <sheetData sheetId="3" refreshError="1"/>
      <sheetData sheetId="4" refreshError="1"/>
      <sheetData sheetId="5">
        <row r="425">
          <cell r="A425" t="str">
            <v>Select School</v>
          </cell>
        </row>
        <row r="426">
          <cell r="A426" t="str">
            <v>Boston - Dearborn (00350074)</v>
          </cell>
        </row>
        <row r="427">
          <cell r="A427" t="str">
            <v>Boston - Elihu Greenwood Leadership Academy (00350094)</v>
          </cell>
        </row>
        <row r="428">
          <cell r="A428" t="str">
            <v>Boston - John P Holland (00350167)</v>
          </cell>
        </row>
        <row r="429">
          <cell r="A429" t="str">
            <v>Boston - John Winthrop (00350180)</v>
          </cell>
        </row>
        <row r="430">
          <cell r="A430" t="str">
            <v>Boston - Mattahunt (00350226)</v>
          </cell>
        </row>
        <row r="431">
          <cell r="A431" t="str">
            <v>Boston - Paul A Dever (00350268)</v>
          </cell>
        </row>
        <row r="432">
          <cell r="A432" t="str">
            <v>Boston - William Ellery Channing (00350360)</v>
          </cell>
        </row>
        <row r="433">
          <cell r="A433" t="str">
            <v>Boston - Jeremiah E Burke High (00350525)</v>
          </cell>
        </row>
        <row r="434">
          <cell r="A434" t="str">
            <v>Boston - The English High (00350535)</v>
          </cell>
        </row>
        <row r="435">
          <cell r="A435" t="str">
            <v>Fall River - Samuel Watson (00950145)</v>
          </cell>
        </row>
        <row r="436">
          <cell r="A436" t="str">
            <v>Holyoke - Morgan Elementary (01370025)</v>
          </cell>
        </row>
        <row r="437">
          <cell r="A437" t="str">
            <v>Holyoke - Wm J Dean Vocational Technical High (01370605)</v>
          </cell>
        </row>
        <row r="438">
          <cell r="A438" t="str">
            <v>Lawrence - Community Day Arlington (01490009)</v>
          </cell>
        </row>
        <row r="439">
          <cell r="A439" t="str">
            <v>Lawrence - James F Leonard (01490045)</v>
          </cell>
        </row>
        <row r="440">
          <cell r="A440" t="str">
            <v>Lawrence - Oliver Partnership School (01490048)</v>
          </cell>
        </row>
        <row r="441">
          <cell r="A441" t="str">
            <v>Lawrence - UP Academy Leonard Middle School (01490090)</v>
          </cell>
        </row>
        <row r="442">
          <cell r="A442" t="str">
            <v>Lawrence - Business Management &amp; Finance High School (01490530)</v>
          </cell>
        </row>
        <row r="443">
          <cell r="A443" t="str">
            <v>Lawrence - International High School (01490534)</v>
          </cell>
        </row>
        <row r="444">
          <cell r="A444" t="str">
            <v>New Bedford - Hayden/McFadden (02010078)</v>
          </cell>
        </row>
        <row r="445">
          <cell r="A445" t="str">
            <v>New Bedford - John Avery Parker (02010115)</v>
          </cell>
        </row>
        <row r="446">
          <cell r="A446" t="str">
            <v>New Bedford - New Bedford High (02010505)</v>
          </cell>
        </row>
        <row r="447">
          <cell r="A447" t="str">
            <v>Salem - Bentley (02580005)</v>
          </cell>
        </row>
        <row r="448">
          <cell r="A448" t="str">
            <v>Springfield - Milton Bradley School (02810023)</v>
          </cell>
        </row>
        <row r="449">
          <cell r="A449" t="str">
            <v>Springfield - Brightwood (02810025)</v>
          </cell>
        </row>
        <row r="450">
          <cell r="A450" t="str">
            <v>Springfield - Elias Brookings (02810030)</v>
          </cell>
        </row>
        <row r="451">
          <cell r="A451" t="str">
            <v>Springfield - William N. DeBerry (02810045)</v>
          </cell>
        </row>
        <row r="452">
          <cell r="A452" t="str">
            <v>Springfield - White Street (02810190)</v>
          </cell>
        </row>
        <row r="453">
          <cell r="A453" t="str">
            <v>Springfield - Chestnut Street Middle (02810310)</v>
          </cell>
        </row>
        <row r="454">
          <cell r="A454" t="str">
            <v>Springfield - John F Kennedy Middle (02810328)</v>
          </cell>
        </row>
        <row r="455">
          <cell r="A455" t="str">
            <v>Springfield - M Marcus Kiley Middle (02810330)</v>
          </cell>
        </row>
        <row r="456">
          <cell r="A456" t="str">
            <v>Springfield - High School Of Commerce (02810510)</v>
          </cell>
        </row>
        <row r="457">
          <cell r="A457" t="str">
            <v>Springfield - High School/Science-Tech (02810530)</v>
          </cell>
        </row>
        <row r="458">
          <cell r="A458" t="str">
            <v>Worcester - Burncoat Street (03480035)</v>
          </cell>
        </row>
        <row r="459">
          <cell r="A459" t="str">
            <v>Worcester - Chandler Elementary Community (03480050)</v>
          </cell>
        </row>
        <row r="460">
          <cell r="A460" t="str">
            <v>Athol-Royalston - Riverbend-Sanders Street School (06150020)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www.doe.mass.edu/apa/dart/default.html"/>
  <Relationship Id="rId2" Type="http://schemas.openxmlformats.org/officeDocument/2006/relationships/hyperlink" TargetMode="External" Target="http://www.doe.mass.edu/apa/dart/default.html"/>
  <Relationship Id="rId3" Type="http://schemas.openxmlformats.org/officeDocument/2006/relationships/hyperlink" TargetMode="External" Target="https://gateway.edu.state.ma.us/ResourceList"/>
  <Relationship Id="rId4" Type="http://schemas.openxmlformats.org/officeDocument/2006/relationships/hyperlink" TargetMode="External" Target="https://gateway.edu.state.ma.us/ResourceList"/>
  <Relationship Id="rId5" Type="http://schemas.openxmlformats.org/officeDocument/2006/relationships/hyperlink" TargetMode="External" Target="https://gateway.edu.state.ma.us/ResourceList"/>
  <Relationship Id="rId6" Type="http://schemas.openxmlformats.org/officeDocument/2006/relationships/hyperlink" TargetMode="External" Target="http://profiles.doe.mass.edu/state_report/indicators.aspx"/>
  <Relationship Id="rId7" Type="http://schemas.openxmlformats.org/officeDocument/2006/relationships/hyperlink" TargetMode="External" Target="http://profiles.doe.mass.edu/state_report/indicators.aspx"/>
  <Relationship Id="rId8"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gateway.edu.state.ma.us/ResourceList"/>
  <Relationship Id="rId10" Type="http://schemas.openxmlformats.org/officeDocument/2006/relationships/hyperlink" TargetMode="External" Target="https://gateway.edu.state.ma.us/ResourceList"/>
  <Relationship Id="rId11" Type="http://schemas.openxmlformats.org/officeDocument/2006/relationships/hyperlink" TargetMode="External" Target="https://gateway.edu.state.ma.us/ResourceList"/>
  <Relationship Id="rId12" Type="http://schemas.openxmlformats.org/officeDocument/2006/relationships/printerSettings" Target="../printerSettings/printerSettings3.bin"/>
  <Relationship Id="rId2" Type="http://schemas.openxmlformats.org/officeDocument/2006/relationships/hyperlink" TargetMode="External" Target="https://gateway.edu.state.ma.us/ResourceList"/>
  <Relationship Id="rId3" Type="http://schemas.openxmlformats.org/officeDocument/2006/relationships/hyperlink" TargetMode="External" Target="https://gateway.edu.state.ma.us/ResourceList"/>
  <Relationship Id="rId4" Type="http://schemas.openxmlformats.org/officeDocument/2006/relationships/hyperlink" TargetMode="External" Target="https://gateway.edu.state.ma.us/ResourceList"/>
  <Relationship Id="rId5" Type="http://schemas.openxmlformats.org/officeDocument/2006/relationships/hyperlink" TargetMode="External" Target="https://gateway.edu.state.ma.us/ResourceList"/>
  <Relationship Id="rId6" Type="http://schemas.openxmlformats.org/officeDocument/2006/relationships/hyperlink" TargetMode="External" Target="https://gateway.edu.state.ma.us/ResourceList"/>
  <Relationship Id="rId7" Type="http://schemas.openxmlformats.org/officeDocument/2006/relationships/hyperlink" TargetMode="External" Target="https://gateway.edu.state.ma.us/ResourceList"/>
  <Relationship Id="rId8" Type="http://schemas.openxmlformats.org/officeDocument/2006/relationships/hyperlink" TargetMode="External" Target="https://gateway.edu.state.ma.us/ResourceList"/>
  <Relationship Id="rId9" Type="http://schemas.openxmlformats.org/officeDocument/2006/relationships/hyperlink" TargetMode="External" Target="https://gateway.edu.state.ma.us/ResourceList"/>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sheetPr>
    <pageSetUpPr fitToPage="1"/>
  </sheetPr>
  <dimension ref="B1:F7"/>
  <sheetViews>
    <sheetView showGridLines="0" zoomScaleNormal="100" workbookViewId="0">
      <selection activeCell="C26" sqref="C26"/>
    </sheetView>
  </sheetViews>
  <sheetFormatPr defaultColWidth="9.140625" defaultRowHeight="12.75"/>
  <cols>
    <col min="1" max="1" width="1.7109375" style="3" customWidth="1"/>
    <col min="2" max="2" width="2.28515625" style="3" customWidth="1"/>
    <col min="3" max="3" width="52.7109375" style="3" customWidth="1"/>
    <col min="4" max="4" width="50.7109375" style="3" customWidth="1"/>
    <col min="5" max="5" width="2.28515625" style="3" customWidth="1"/>
    <col min="6" max="6" width="1.7109375" style="3" customWidth="1"/>
    <col min="7" max="16384" width="9.140625" style="3"/>
  </cols>
  <sheetData>
    <row r="1" spans="2:6" ht="15.75">
      <c r="B1" s="92"/>
      <c r="C1" s="258" t="s">
        <v>53</v>
      </c>
      <c r="D1" s="258"/>
      <c r="E1" s="89"/>
    </row>
    <row r="2" spans="2:6" ht="8.4499999999999993" customHeight="1">
      <c r="B2" s="93"/>
      <c r="C2" s="260" t="s">
        <v>204</v>
      </c>
      <c r="D2" s="260"/>
      <c r="E2" s="90"/>
    </row>
    <row r="3" spans="2:6" ht="8.4499999999999993" customHeight="1">
      <c r="B3" s="93"/>
      <c r="C3" s="260"/>
      <c r="D3" s="260"/>
      <c r="E3" s="95" t="str">
        <f>LEFT(RIGHT(C2,9),8)</f>
        <v>01370025</v>
      </c>
      <c r="F3" s="88"/>
    </row>
    <row r="4" spans="2:6" ht="8.4499999999999993" customHeight="1">
      <c r="B4" s="94"/>
      <c r="C4" s="261"/>
      <c r="D4" s="261"/>
      <c r="E4" s="91"/>
    </row>
    <row r="5" spans="2:6">
      <c r="C5" s="259"/>
      <c r="D5" s="259"/>
    </row>
    <row r="6" spans="2:6" ht="5.0999999999999996" customHeight="1">
      <c r="C6" s="2"/>
      <c r="D6" s="2"/>
    </row>
    <row r="7" spans="2:6" ht="14.45" customHeight="1">
      <c r="B7" s="262" t="s">
        <v>52</v>
      </c>
      <c r="C7" s="262"/>
      <c r="D7" s="263"/>
      <c r="E7" s="263"/>
    </row>
  </sheetData>
  <sheetProtection password="CC18" sheet="1" objects="1" scenarios="1"/>
  <mergeCells count="5">
    <mergeCell ref="C1:D1"/>
    <mergeCell ref="C5:D5"/>
    <mergeCell ref="C2:D4"/>
    <mergeCell ref="B7:C7"/>
    <mergeCell ref="D7:E7"/>
  </mergeCells>
  <printOptions horizontalCentered="1"/>
  <pageMargins left="0.2" right="0.2" top="0.5" bottom="0.5" header="0.05" footer="0.05"/>
  <pageSetup scale="91"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88"/>
  <sheetViews>
    <sheetView tabSelected="1" zoomScaleNormal="100" workbookViewId="0">
      <pane ySplit="8" topLeftCell="A9" activePane="bottomLeft" state="frozen"/>
      <selection pane="bottomLeft" activeCell="B3" sqref="B3"/>
    </sheetView>
  </sheetViews>
  <sheetFormatPr defaultColWidth="9.140625" defaultRowHeight="12.75"/>
  <cols>
    <col min="1" max="1" width="2.7109375" style="3" customWidth="1"/>
    <col min="2" max="2" width="57.7109375" style="3" bestFit="1" customWidth="1"/>
    <col min="3" max="3" width="9.140625" style="3" customWidth="1"/>
    <col min="4" max="4" width="9.140625" style="3" hidden="1" customWidth="1"/>
    <col min="5" max="5" width="9.140625" style="3" customWidth="1"/>
    <col min="6" max="6" width="9.140625" style="3" hidden="1" customWidth="1"/>
    <col min="7" max="7" width="9.140625" style="3" customWidth="1"/>
    <col min="8" max="8" width="9.140625" style="3" hidden="1" customWidth="1"/>
    <col min="9" max="12" width="9.140625" style="3" customWidth="1"/>
    <col min="13" max="13" width="50.28515625" style="3" bestFit="1" customWidth="1"/>
    <col min="14" max="16384" width="9.140625" style="3"/>
  </cols>
  <sheetData>
    <row r="1" spans="2:13" s="249" customFormat="1" ht="15">
      <c r="B1" s="247" t="s">
        <v>267</v>
      </c>
      <c r="C1" s="248"/>
      <c r="D1" s="248"/>
      <c r="E1" s="248"/>
      <c r="F1" s="248"/>
      <c r="G1" s="248"/>
      <c r="H1" s="248"/>
      <c r="I1" s="248"/>
      <c r="J1" s="248"/>
      <c r="K1" s="248"/>
      <c r="L1" s="248"/>
      <c r="M1" s="252" t="s">
        <v>268</v>
      </c>
    </row>
    <row r="2" spans="2:13" ht="20.45" customHeight="1">
      <c r="B2" s="40" t="s">
        <v>0</v>
      </c>
      <c r="C2" s="2"/>
      <c r="D2" s="2"/>
      <c r="E2" s="2"/>
      <c r="F2" s="4"/>
      <c r="G2" s="4"/>
      <c r="H2" s="4"/>
      <c r="I2" s="4"/>
      <c r="J2" s="4"/>
      <c r="K2" s="2"/>
      <c r="L2" s="2"/>
      <c r="M2" s="106"/>
    </row>
    <row r="3" spans="2:13" ht="14.45" customHeight="1">
      <c r="B3" s="40"/>
      <c r="C3" s="4"/>
      <c r="D3" s="2"/>
      <c r="E3" s="2"/>
      <c r="F3" s="4"/>
      <c r="G3" s="4"/>
      <c r="H3" s="4"/>
      <c r="I3" s="4"/>
      <c r="J3" s="4"/>
      <c r="K3" s="4"/>
      <c r="L3" s="4"/>
      <c r="M3" s="4"/>
    </row>
    <row r="4" spans="2:13">
      <c r="B4" s="253" t="s">
        <v>269</v>
      </c>
      <c r="C4" s="253"/>
      <c r="D4" s="253"/>
      <c r="E4" s="253"/>
      <c r="F4" s="253"/>
      <c r="G4" s="253"/>
      <c r="H4" s="253"/>
      <c r="I4" s="253"/>
      <c r="J4" s="253"/>
      <c r="K4" s="253"/>
      <c r="L4" s="253"/>
      <c r="M4" s="254"/>
    </row>
    <row r="5" spans="2:13" ht="55.5" customHeight="1">
      <c r="B5" s="272" t="s">
        <v>270</v>
      </c>
      <c r="C5" s="272"/>
      <c r="D5" s="272"/>
      <c r="E5" s="272"/>
      <c r="F5" s="272"/>
      <c r="G5" s="272"/>
      <c r="H5" s="272"/>
      <c r="I5" s="272"/>
      <c r="J5" s="272"/>
      <c r="K5" s="272"/>
      <c r="L5" s="272"/>
      <c r="M5" s="272"/>
    </row>
    <row r="6" spans="2:13">
      <c r="C6" s="5"/>
      <c r="D6" s="5"/>
      <c r="E6" s="5"/>
      <c r="F6" s="5"/>
      <c r="G6" s="5"/>
      <c r="H6" s="5"/>
      <c r="I6" s="5"/>
      <c r="J6" s="5"/>
      <c r="K6" s="5"/>
      <c r="L6" s="5"/>
      <c r="M6" s="5"/>
    </row>
    <row r="7" spans="2:13" s="6" customFormat="1" ht="15">
      <c r="B7" s="275" t="s">
        <v>1</v>
      </c>
      <c r="C7" s="277" t="s">
        <v>2</v>
      </c>
      <c r="D7" s="278"/>
      <c r="E7" s="278"/>
      <c r="F7" s="278"/>
      <c r="G7" s="278"/>
      <c r="H7" s="278"/>
      <c r="I7" s="278"/>
      <c r="J7" s="278"/>
      <c r="K7" s="278"/>
      <c r="L7" s="278"/>
      <c r="M7" s="279" t="s">
        <v>203</v>
      </c>
    </row>
    <row r="8" spans="2:13" s="6" customFormat="1" ht="30">
      <c r="B8" s="276"/>
      <c r="C8" s="7" t="s">
        <v>3</v>
      </c>
      <c r="D8" s="7" t="s">
        <v>4</v>
      </c>
      <c r="E8" s="7" t="s">
        <v>5</v>
      </c>
      <c r="F8" s="7" t="s">
        <v>6</v>
      </c>
      <c r="G8" s="7" t="s">
        <v>7</v>
      </c>
      <c r="H8" s="7" t="s">
        <v>8</v>
      </c>
      <c r="I8" s="7" t="s">
        <v>257</v>
      </c>
      <c r="J8" s="7" t="s">
        <v>9</v>
      </c>
      <c r="K8" s="7" t="s">
        <v>10</v>
      </c>
      <c r="L8" s="7" t="s">
        <v>11</v>
      </c>
      <c r="M8" s="280"/>
    </row>
    <row r="9" spans="2:13" s="6" customFormat="1" ht="13.9" customHeight="1">
      <c r="B9" s="269" t="s">
        <v>12</v>
      </c>
      <c r="C9" s="270"/>
      <c r="D9" s="270"/>
      <c r="E9" s="270"/>
      <c r="F9" s="270"/>
      <c r="G9" s="270"/>
      <c r="H9" s="270"/>
      <c r="I9" s="270"/>
      <c r="J9" s="270"/>
      <c r="K9" s="270"/>
      <c r="L9" s="270"/>
      <c r="M9" s="271"/>
    </row>
    <row r="10" spans="2:13" s="6" customFormat="1" ht="63.75">
      <c r="B10" s="8" t="s">
        <v>13</v>
      </c>
      <c r="C10" s="137">
        <v>0.93300000000000005</v>
      </c>
      <c r="D10" s="138"/>
      <c r="E10" s="138">
        <v>0.91600000000000004</v>
      </c>
      <c r="F10" s="138"/>
      <c r="G10" s="138">
        <v>0.91200000000000003</v>
      </c>
      <c r="H10" s="61">
        <v>0.92500000000000004</v>
      </c>
      <c r="I10" s="61"/>
      <c r="J10" s="61">
        <v>0.93700000000000006</v>
      </c>
      <c r="K10" s="61">
        <v>0.95</v>
      </c>
      <c r="L10" s="62">
        <v>0.96299999999999997</v>
      </c>
      <c r="M10" s="273"/>
    </row>
    <row r="11" spans="2:13" s="6" customFormat="1" ht="14.45" hidden="1" customHeight="1">
      <c r="B11" s="14" t="s">
        <v>14</v>
      </c>
      <c r="C11" s="139"/>
      <c r="D11" s="140"/>
      <c r="E11" s="140"/>
      <c r="F11" s="140"/>
      <c r="G11" s="140"/>
      <c r="H11" s="104"/>
      <c r="I11" s="104"/>
      <c r="J11" s="104"/>
      <c r="K11" s="104"/>
      <c r="L11" s="105"/>
      <c r="M11" s="274"/>
    </row>
    <row r="12" spans="2:13" s="6" customFormat="1" ht="38.25">
      <c r="B12" s="98" t="s">
        <v>15</v>
      </c>
      <c r="C12" s="141">
        <v>0.20499999999999999</v>
      </c>
      <c r="D12" s="142"/>
      <c r="E12" s="142">
        <v>0.32800000000000001</v>
      </c>
      <c r="F12" s="142"/>
      <c r="G12" s="142">
        <v>0.30499999999999999</v>
      </c>
      <c r="H12" s="99">
        <v>0.24</v>
      </c>
      <c r="I12" s="99"/>
      <c r="J12" s="99">
        <v>0.17499999999999999</v>
      </c>
      <c r="K12" s="99">
        <v>0.111</v>
      </c>
      <c r="L12" s="100">
        <v>4.2999999999999997E-2</v>
      </c>
      <c r="M12" s="188" t="s">
        <v>258</v>
      </c>
    </row>
    <row r="13" spans="2:13" s="6" customFormat="1" ht="46.15" customHeight="1">
      <c r="B13" s="98" t="s">
        <v>16</v>
      </c>
      <c r="C13" s="143" t="s">
        <v>264</v>
      </c>
      <c r="D13" s="144"/>
      <c r="E13" s="144" t="s">
        <v>264</v>
      </c>
      <c r="F13" s="144"/>
      <c r="G13" s="144" t="s">
        <v>264</v>
      </c>
      <c r="H13" s="84"/>
      <c r="I13" s="84"/>
      <c r="J13" s="84"/>
      <c r="K13" s="84"/>
      <c r="L13" s="101"/>
      <c r="M13" s="108" t="s">
        <v>259</v>
      </c>
    </row>
    <row r="14" spans="2:13" s="6" customFormat="1" ht="41.45" customHeight="1">
      <c r="B14" s="102" t="s">
        <v>17</v>
      </c>
      <c r="C14" s="141">
        <v>0.24</v>
      </c>
      <c r="D14" s="142"/>
      <c r="E14" s="142">
        <v>0.218</v>
      </c>
      <c r="F14" s="142"/>
      <c r="G14" s="142">
        <v>0.18</v>
      </c>
      <c r="H14" s="99">
        <v>0.157</v>
      </c>
      <c r="I14" s="99"/>
      <c r="J14" s="99">
        <v>0.13400000000000001</v>
      </c>
      <c r="K14" s="99">
        <v>0.111</v>
      </c>
      <c r="L14" s="100">
        <v>0.09</v>
      </c>
      <c r="M14" s="108"/>
    </row>
    <row r="15" spans="2:13" s="6" customFormat="1" ht="38.25">
      <c r="B15" s="103" t="s">
        <v>41</v>
      </c>
      <c r="C15" s="137">
        <v>0.34599999999999997</v>
      </c>
      <c r="D15" s="138"/>
      <c r="E15" s="138">
        <v>0.23200000000000001</v>
      </c>
      <c r="F15" s="138"/>
      <c r="G15" s="138">
        <v>5.2999999999999999E-2</v>
      </c>
      <c r="H15" s="61">
        <v>4.5999999999999999E-2</v>
      </c>
      <c r="I15" s="61"/>
      <c r="J15" s="61">
        <v>3.9E-2</v>
      </c>
      <c r="K15" s="61">
        <v>3.2000000000000001E-2</v>
      </c>
      <c r="L15" s="62">
        <v>2.5999999999999999E-2</v>
      </c>
      <c r="M15" s="128"/>
    </row>
    <row r="16" spans="2:13" s="6" customFormat="1" ht="14.45" hidden="1" customHeight="1">
      <c r="B16" s="13" t="s">
        <v>18</v>
      </c>
      <c r="C16" s="145"/>
      <c r="D16" s="146"/>
      <c r="E16" s="146"/>
      <c r="F16" s="146"/>
      <c r="G16" s="146"/>
      <c r="H16" s="46"/>
      <c r="I16" s="46"/>
      <c r="J16" s="46"/>
      <c r="K16" s="46"/>
      <c r="L16" s="63"/>
      <c r="M16" s="129"/>
    </row>
    <row r="17" spans="2:13" s="6" customFormat="1" ht="14.45" customHeight="1">
      <c r="B17" s="269" t="s">
        <v>19</v>
      </c>
      <c r="C17" s="270"/>
      <c r="D17" s="270"/>
      <c r="E17" s="270"/>
      <c r="F17" s="270"/>
      <c r="G17" s="270"/>
      <c r="H17" s="270"/>
      <c r="I17" s="270"/>
      <c r="J17" s="270"/>
      <c r="K17" s="270"/>
      <c r="L17" s="270"/>
      <c r="M17" s="271"/>
    </row>
    <row r="18" spans="2:13" s="6" customFormat="1" ht="38.25">
      <c r="B18" s="102" t="s">
        <v>20</v>
      </c>
      <c r="C18" s="186">
        <v>4</v>
      </c>
      <c r="D18" s="187"/>
      <c r="E18" s="187">
        <v>93</v>
      </c>
      <c r="F18" s="187"/>
      <c r="G18" s="187">
        <v>107</v>
      </c>
      <c r="H18" s="84">
        <v>93</v>
      </c>
      <c r="I18" s="84"/>
      <c r="J18" s="84">
        <v>79</v>
      </c>
      <c r="K18" s="101">
        <v>66</v>
      </c>
      <c r="L18" s="101">
        <v>53</v>
      </c>
      <c r="M18" s="183"/>
    </row>
    <row r="19" spans="2:13" s="6" customFormat="1" ht="14.45" hidden="1" customHeight="1">
      <c r="B19" s="57" t="s">
        <v>14</v>
      </c>
      <c r="C19" s="147"/>
      <c r="D19" s="148"/>
      <c r="E19" s="148"/>
      <c r="F19" s="148"/>
      <c r="G19" s="148"/>
      <c r="H19" s="64"/>
      <c r="I19" s="64"/>
      <c r="J19" s="64"/>
      <c r="K19" s="65"/>
      <c r="L19" s="65"/>
      <c r="M19" s="129"/>
    </row>
    <row r="20" spans="2:13">
      <c r="B20" s="269" t="s">
        <v>21</v>
      </c>
      <c r="C20" s="270"/>
      <c r="D20" s="270"/>
      <c r="E20" s="270"/>
      <c r="F20" s="270"/>
      <c r="G20" s="270"/>
      <c r="H20" s="270"/>
      <c r="I20" s="270"/>
      <c r="J20" s="270"/>
      <c r="K20" s="270"/>
      <c r="L20" s="270"/>
      <c r="M20" s="271"/>
    </row>
    <row r="21" spans="2:13" s="6" customFormat="1" ht="46.9" customHeight="1">
      <c r="B21" s="58" t="s">
        <v>22</v>
      </c>
      <c r="C21" s="141">
        <v>2.5999999999999999E-2</v>
      </c>
      <c r="D21" s="142"/>
      <c r="E21" s="142">
        <v>1.2E-2</v>
      </c>
      <c r="F21" s="142"/>
      <c r="G21" s="142">
        <v>2.5999999999999999E-2</v>
      </c>
      <c r="H21" s="184">
        <v>0.01</v>
      </c>
      <c r="I21" s="184"/>
      <c r="J21" s="184">
        <v>0.01</v>
      </c>
      <c r="K21" s="184">
        <v>0.01</v>
      </c>
      <c r="L21" s="185">
        <v>0.01</v>
      </c>
      <c r="M21" s="264" t="s">
        <v>260</v>
      </c>
    </row>
    <row r="22" spans="2:13" ht="14.45" hidden="1" customHeight="1">
      <c r="B22" s="66" t="s">
        <v>18</v>
      </c>
      <c r="C22" s="139"/>
      <c r="D22" s="140"/>
      <c r="E22" s="140"/>
      <c r="F22" s="140"/>
      <c r="G22" s="140"/>
      <c r="H22" s="67"/>
      <c r="I22" s="67"/>
      <c r="J22" s="67"/>
      <c r="K22" s="67"/>
      <c r="L22" s="68"/>
      <c r="M22" s="265"/>
    </row>
    <row r="23" spans="2:13" s="16" customFormat="1" ht="115.15" customHeight="1">
      <c r="B23" s="56" t="s">
        <v>23</v>
      </c>
      <c r="C23" s="149" t="str">
        <f>IF(ISERROR(VLOOKUP(School_Code&amp;"All students",School_Data,57,FALSE)), "", (VLOOKUP(School_Code&amp;"All students",School_Data,57,FALSE)))</f>
        <v>--</v>
      </c>
      <c r="D23" s="150" t="str">
        <f>IF(ISERROR(VLOOKUP(School_Code&amp;"All students",School_Data,58,FALSE)), "", (VLOOKUP(School_Code&amp;"All students",School_Data,58,FALSE)))</f>
        <v>--</v>
      </c>
      <c r="E23" s="150" t="str">
        <f>IF(ISERROR(VLOOKUP(School_Code&amp;"All students",School_Data,59,FALSE)), "", (VLOOKUP(School_Code&amp;"All students",School_Data,59,FALSE)))</f>
        <v>--</v>
      </c>
      <c r="F23" s="150" t="str">
        <f>IF(ISERROR(VLOOKUP(School_Code&amp;"All students",School_Data,60,FALSE)), "", (VLOOKUP(School_Code&amp;"All students",School_Data,60,FALSE)))</f>
        <v>--</v>
      </c>
      <c r="G23" s="150" t="str">
        <f>IF(ISERROR(VLOOKUP(School_Code&amp;"All students",School_Data,61,FALSE)), "", (VLOOKUP(School_Code&amp;"All students",School_Data,61,FALSE)))</f>
        <v>--</v>
      </c>
      <c r="H23" s="121" t="str">
        <f>IF(ISERROR(VLOOKUP(School_Code&amp;"All students",School_Data,62,FALSE)), "", (VLOOKUP(School_Code&amp;"All students",School_Data,62,FALSE)))</f>
        <v>--</v>
      </c>
      <c r="I23" s="121"/>
      <c r="J23" s="122" t="str">
        <f>IF(ISERROR(VLOOKUP(School_Code&amp;"All students",School_Data,63,FALSE)), "", (VLOOKUP(School_Code&amp;"All students",School_Data,63,FALSE)))</f>
        <v>--</v>
      </c>
      <c r="K23" s="122" t="str">
        <f>IF(ISERROR(VLOOKUP(School_Code&amp;"All students",School_Data,64,FALSE)), "", (VLOOKUP(School_Code&amp;"All students",School_Data,64,FALSE)))</f>
        <v>--</v>
      </c>
      <c r="L23" s="123" t="str">
        <f>IF(ISERROR(VLOOKUP(School_Code&amp;"All students",School_Data,65,FALSE)), "", (VLOOKUP(School_Code&amp;"All students",School_Data,65,FALSE)))</f>
        <v>--</v>
      </c>
      <c r="M23" s="266" t="s">
        <v>261</v>
      </c>
    </row>
    <row r="24" spans="2:13" s="16" customFormat="1" ht="25.5" hidden="1">
      <c r="B24" s="13" t="s">
        <v>24</v>
      </c>
      <c r="C24" s="151"/>
      <c r="D24" s="152"/>
      <c r="E24" s="152"/>
      <c r="F24" s="152"/>
      <c r="G24" s="152"/>
      <c r="H24" s="43"/>
      <c r="I24" s="43"/>
      <c r="J24" s="44"/>
      <c r="K24" s="44"/>
      <c r="L24" s="45"/>
      <c r="M24" s="267"/>
    </row>
    <row r="25" spans="2:13" s="16" customFormat="1" ht="14.45" hidden="1" customHeight="1">
      <c r="B25" s="17" t="s">
        <v>25</v>
      </c>
      <c r="C25" s="153" t="str">
        <f>IF(ISERROR(VLOOKUP(School_Code&amp;"High needs",School_Data,57,FALSE)),"",(VLOOKUP(School_Code&amp;"High needs",School_Data,57,FALSE)))</f>
        <v>--</v>
      </c>
      <c r="D25" s="154" t="str">
        <f>IF(ISERROR(VLOOKUP(School_Code&amp;"High needs",School_Data,58,FALSE)),"",(VLOOKUP(School_Code&amp;"High needs",School_Data,58,FALSE)))</f>
        <v>--</v>
      </c>
      <c r="E25" s="154" t="str">
        <f>IF(ISERROR(VLOOKUP(School_Code&amp;"High needs",School_Data,59,FALSE)),"",(VLOOKUP(School_Code&amp;"High needs",School_Data,59,FALSE)))</f>
        <v>--</v>
      </c>
      <c r="F25" s="154" t="str">
        <f>IF(ISERROR(VLOOKUP(School_Code&amp;"High needs",School_Data,60,FALSE)),"",(VLOOKUP(School_Code&amp;"High needs",School_Data,60,FALSE)))</f>
        <v>--</v>
      </c>
      <c r="G25" s="154" t="str">
        <f>IF(ISERROR(VLOOKUP(School_Code&amp;"High needs",School_Data,61,FALSE)),"",(VLOOKUP(School_Code&amp;"High needs",School_Data,61,FALSE)))</f>
        <v>--</v>
      </c>
      <c r="H25" s="18" t="str">
        <f>IF(ISERROR(VLOOKUP(School_Code&amp;"High needs",School_Data,62,FALSE)),"",(VLOOKUP(School_Code&amp;"High needs",School_Data,62,FALSE)))</f>
        <v>--</v>
      </c>
      <c r="I25" s="131"/>
      <c r="J25" s="18" t="str">
        <f>IF(ISERROR(VLOOKUP(School_Code&amp;"High needs",School_Data,63,FALSE)),"",(VLOOKUP(School_Code&amp;"High needs",School_Data,63,FALSE)))</f>
        <v>--</v>
      </c>
      <c r="K25" s="18" t="str">
        <f>IF(ISERROR(VLOOKUP(School_Code&amp;"High needs",School_Data,64,FALSE)),"",(VLOOKUP(School_Code&amp;"High needs",School_Data,64,FALSE)))</f>
        <v>--</v>
      </c>
      <c r="L25" s="48" t="str">
        <f>IF(ISERROR(VLOOKUP(School_Code&amp;"High needs",School_Data,65,FALSE)),"",(VLOOKUP(School_Code&amp;"High needs",School_Data,65,FALSE)))</f>
        <v>--</v>
      </c>
      <c r="M25" s="267"/>
    </row>
    <row r="26" spans="2:13" s="16" customFormat="1" ht="14.45" hidden="1" customHeight="1">
      <c r="B26" s="17" t="s">
        <v>26</v>
      </c>
      <c r="C26" s="153" t="str">
        <f>IF(ISERROR(VLOOKUP(School_Code&amp;"Low income",School_Data,57,FALSE)),"",(VLOOKUP(School_Code&amp;"Low income",School_Data,57,FALSE)))</f>
        <v>--</v>
      </c>
      <c r="D26" s="154" t="str">
        <f>IF(ISERROR(VLOOKUP(School_Code&amp;"Low income",School_Data,58,FALSE)),"",(VLOOKUP(School_Code&amp;"Low income",School_Data,58,FALSE)))</f>
        <v>--</v>
      </c>
      <c r="E26" s="154" t="str">
        <f>IF(ISERROR(VLOOKUP(School_Code&amp;"Low income",School_Data,59,FALSE)),"",(VLOOKUP(School_Code&amp;"Low income",School_Data,59,FALSE)))</f>
        <v>--</v>
      </c>
      <c r="F26" s="154" t="str">
        <f>IF(ISERROR(VLOOKUP(School_Code&amp;"Low income",School_Data,60,FALSE)),"",(VLOOKUP(School_Code&amp;"Low income",School_Data,60,FALSE)))</f>
        <v>--</v>
      </c>
      <c r="G26" s="154" t="str">
        <f>IF(ISERROR(VLOOKUP(School_Code&amp;"Low income",School_Data,61,FALSE)),"",(VLOOKUP(School_Code&amp;"Low income",School_Data,61,FALSE)))</f>
        <v>--</v>
      </c>
      <c r="H26" s="18" t="str">
        <f>IF(ISERROR(VLOOKUP(School_Code&amp;"Low income",School_Data,62,FALSE)),"",(VLOOKUP(School_Code&amp;"Low income",School_Data,62,FALSE)))</f>
        <v>--</v>
      </c>
      <c r="I26" s="131"/>
      <c r="J26" s="18" t="str">
        <f>IF(ISERROR(VLOOKUP(School_Code&amp;"Low income",School_Data,63,FALSE)),"",(VLOOKUP(School_Code&amp;"Low income",School_Data,63,FALSE)))</f>
        <v>--</v>
      </c>
      <c r="K26" s="18" t="str">
        <f>IF(ISERROR(VLOOKUP(School_Code&amp;"Low income",School_Data,64,FALSE)),"",(VLOOKUP(School_Code&amp;"Low income",School_Data,64,FALSE)))</f>
        <v>--</v>
      </c>
      <c r="L26" s="48" t="str">
        <f>IF(ISERROR(VLOOKUP(School_Code&amp;"Low income",School_Data,65,FALSE)),"",(VLOOKUP(School_Code&amp;"Low income",School_Data,65,FALSE)))</f>
        <v>--</v>
      </c>
      <c r="M26" s="267"/>
    </row>
    <row r="27" spans="2:13" s="16" customFormat="1" ht="14.45" hidden="1" customHeight="1">
      <c r="B27" s="17" t="s">
        <v>27</v>
      </c>
      <c r="C27" s="153" t="str">
        <f>IF(ISERROR(VLOOKUP(School_Code&amp;"ELL and Former ELL",School_Data,57,FALSE)),"",(VLOOKUP(School_Code&amp;"ELL and Former ELL",School_Data,57,FALSE)))</f>
        <v>--</v>
      </c>
      <c r="D27" s="154" t="str">
        <f>IF(ISERROR(VLOOKUP(School_Code&amp;"ELL and Former ELL",School_Data,58,FALSE)),"",(VLOOKUP(School_Code&amp;"ELL and Former ELL",School_Data,58,FALSE)))</f>
        <v>--</v>
      </c>
      <c r="E27" s="154" t="str">
        <f>IF(ISERROR(VLOOKUP(School_Code&amp;"ELL and Former ELL",School_Data,59,FALSE)),"",(VLOOKUP(School_Code&amp;"ELL and Former ELL",School_Data,59,FALSE)))</f>
        <v>--</v>
      </c>
      <c r="F27" s="154" t="str">
        <f>IF(ISERROR(VLOOKUP(School_Code&amp;"ELL and Former ELL",School_Data,60,FALSE)),"",(VLOOKUP(School_Code&amp;"ELL and Former ELL",School_Data,60,FALSE)))</f>
        <v>--</v>
      </c>
      <c r="G27" s="154" t="str">
        <f>IF(ISERROR(VLOOKUP(School_Code&amp;"ELL and Former ELL",School_Data,61,FALSE)),"",(VLOOKUP(School_Code&amp;"ELL and Former ELL",School_Data,61,FALSE)))</f>
        <v>--</v>
      </c>
      <c r="H27" s="18" t="str">
        <f>IF(ISERROR(VLOOKUP(School_Code&amp;"ELL and Former ELL",School_Data,62,FALSE)),"",(VLOOKUP(School_Code&amp;"ELL and Former ELL",School_Data,62,FALSE)))</f>
        <v>--</v>
      </c>
      <c r="I27" s="131"/>
      <c r="J27" s="20" t="str">
        <f>IF(ISERROR(VLOOKUP(School_Code&amp;"ELL and Former ELL",School_Data,63,FALSE)),"",(VLOOKUP(School_Code&amp;"ELL and Former ELL",School_Data,63,FALSE)))</f>
        <v>--</v>
      </c>
      <c r="K27" s="20" t="str">
        <f>IF(ISERROR(VLOOKUP(School_Code&amp;"ELL and Former ELL",School_Data,64,FALSE)),"",(VLOOKUP(School_Code&amp;"ELL and Former ELL",School_Data,64,FALSE)))</f>
        <v>--</v>
      </c>
      <c r="L27" s="49" t="str">
        <f>IF(ISERROR(VLOOKUP(School_Code&amp;"ELL and Former ELL",School_Data,65,FALSE)),"",(VLOOKUP(School_Code&amp;"ELL and Former ELL",School_Data,65,FALSE)))</f>
        <v>--</v>
      </c>
      <c r="M27" s="267"/>
    </row>
    <row r="28" spans="2:13" s="16" customFormat="1" ht="14.45" hidden="1" customHeight="1">
      <c r="B28" s="17" t="s">
        <v>28</v>
      </c>
      <c r="C28" s="153" t="str">
        <f>IF(ISERROR(VLOOKUP(School_Code&amp;"Students w/disabilities",School_Data,57,FALSE)),"",(VLOOKUP(School_Code&amp;"Students w/disabilities",School_Data,57,FALSE)))</f>
        <v>--</v>
      </c>
      <c r="D28" s="154" t="str">
        <f>IF(ISERROR(VLOOKUP(School_Code&amp;"Students w/disabilities",School_Data,58,FALSE)),"",(VLOOKUP(School_Code&amp;"Students w/disabilities",School_Data,58,FALSE)))</f>
        <v>--</v>
      </c>
      <c r="E28" s="154" t="str">
        <f>IF(ISERROR(VLOOKUP(School_Code&amp;"Students w/disabilities",School_Data,59,FALSE)),"",(VLOOKUP(School_Code&amp;"Students w/disabilities",School_Data,59,FALSE)))</f>
        <v>--</v>
      </c>
      <c r="F28" s="154" t="str">
        <f>IF(ISERROR(VLOOKUP(School_Code&amp;"Students w/disabilities",School_Data,60,FALSE)),"",(VLOOKUP(School_Code&amp;"Students w/disabilities",School_Data,60,FALSE)))</f>
        <v>--</v>
      </c>
      <c r="G28" s="154" t="str">
        <f>IF(ISERROR(VLOOKUP(School_Code&amp;"Students w/disabilities",School_Data,61,FALSE)),"",(VLOOKUP(School_Code&amp;"Students w/disabilities",School_Data,61,FALSE)))</f>
        <v>--</v>
      </c>
      <c r="H28" s="18" t="str">
        <f>IF(ISERROR(VLOOKUP(School_Code&amp;"Students w/disabilities",School_Data,62,FALSE)),"",(VLOOKUP(School_Code&amp;"Students w/disabilities",School_Data,62,FALSE)))</f>
        <v>--</v>
      </c>
      <c r="I28" s="131"/>
      <c r="J28" s="20" t="str">
        <f>IF(ISERROR(VLOOKUP(School_Code&amp;"Students w/disabilities",School_Data,63,FALSE)),"",(VLOOKUP(School_Code&amp;"Students w/disabilities",School_Data,63,FALSE)))</f>
        <v>--</v>
      </c>
      <c r="K28" s="20" t="str">
        <f>IF(ISERROR(VLOOKUP(School_Code&amp;"Students w/disabilities",School_Data,64,FALSE)),"",(VLOOKUP(School_Code&amp;"Students w/disabilities",School_Data,64,FALSE)))</f>
        <v>--</v>
      </c>
      <c r="L28" s="49" t="str">
        <f>IF(ISERROR(VLOOKUP(School_Code&amp;"Students w/disabilities",School_Data,65,FALSE)),"",(VLOOKUP(School_Code&amp;"Students w/disabilities",School_Data,65,FALSE)))</f>
        <v>--</v>
      </c>
      <c r="M28" s="267"/>
    </row>
    <row r="29" spans="2:13" s="16" customFormat="1" ht="14.45" hidden="1" customHeight="1">
      <c r="B29" s="17" t="s">
        <v>29</v>
      </c>
      <c r="C29" s="153" t="str">
        <f>IF(ISERROR(VLOOKUP(School_Code&amp;"Amer. Ind. or Alaska Nat.",School_Data,57,FALSE)),"",(VLOOKUP(School_Code&amp;"Amer. Ind. or Alaska Nat.",School_Data,57,FALSE)))</f>
        <v>--</v>
      </c>
      <c r="D29" s="154" t="str">
        <f>IF(ISERROR(VLOOKUP(School_Code&amp;"Amer. Ind. or Alaska Nat.",School_Data,58,FALSE)),"",(VLOOKUP(School_Code&amp;"Amer. Ind. or Alaska Nat.",School_Data,58,FALSE)))</f>
        <v>--</v>
      </c>
      <c r="E29" s="154" t="str">
        <f>IF(ISERROR(VLOOKUP(School_Code&amp;"Amer. Ind. or Alaska Nat.",School_Data,59,FALSE)),"",(VLOOKUP(School_Code&amp;"Amer. Ind. or Alaska Nat.",School_Data,59,FALSE)))</f>
        <v>--</v>
      </c>
      <c r="F29" s="154" t="str">
        <f>IF(ISERROR(VLOOKUP(School_Code&amp;"Amer. Ind. or Alaska Nat.",School_Data,60,FALSE)),"",(VLOOKUP(School_Code&amp;"Amer. Ind. or Alaska Nat.",School_Data,60,FALSE)))</f>
        <v>--</v>
      </c>
      <c r="G29" s="154" t="str">
        <f>IF(ISERROR(VLOOKUP(School_Code&amp;"Amer. Ind. or Alaska Nat.",School_Data,61,FALSE)),"",(VLOOKUP(School_Code&amp;"Amer. Ind. or Alaska Nat.",School_Data,61,FALSE)))</f>
        <v>--</v>
      </c>
      <c r="H29" s="18" t="str">
        <f>IF(ISERROR(VLOOKUP(School_Code&amp;"Amer. Ind. or Alaska Nat.",School_Data,62,FALSE)),"",(VLOOKUP(School_Code&amp;"Amer. Ind. or Alaska Nat.",School_Data,62,FALSE)))</f>
        <v>--</v>
      </c>
      <c r="I29" s="131"/>
      <c r="J29" s="20" t="str">
        <f>IF(ISERROR(VLOOKUP(School_Code&amp;"Amer. Ind. or Alaska Nat.",School_Data,63,FALSE)),"",(VLOOKUP(School_Code&amp;"Amer. Ind. or Alaska Nat.",School_Data,63,FALSE)))</f>
        <v>--</v>
      </c>
      <c r="K29" s="20" t="str">
        <f>IF(ISERROR(VLOOKUP(School_Code&amp;"Amer. Ind. or Alaska Nat.",School_Data,64,FALSE)),"",(VLOOKUP(School_Code&amp;"Amer. Ind. or Alaska Nat.",School_Data,64,FALSE)))</f>
        <v>--</v>
      </c>
      <c r="L29" s="49" t="str">
        <f>IF(ISERROR(VLOOKUP(School_Code&amp;"Amer. Ind. or Alaska Nat.",School_Data,65,FALSE)),"",(VLOOKUP(School_Code&amp;"Amer. Ind. or Alaska Nat.",School_Data,65,FALSE)))</f>
        <v>--</v>
      </c>
      <c r="M29" s="267"/>
    </row>
    <row r="30" spans="2:13" s="16" customFormat="1" ht="14.45" hidden="1" customHeight="1">
      <c r="B30" s="17" t="s">
        <v>30</v>
      </c>
      <c r="C30" s="153" t="str">
        <f>IF(ISERROR(VLOOKUP(School_Code&amp;"Asian",School_Data,57,FALSE)),"",(VLOOKUP(School_Code&amp;"Asian",School_Data,57,FALSE)))</f>
        <v>--</v>
      </c>
      <c r="D30" s="154" t="str">
        <f>IF(ISERROR(VLOOKUP(School_Code&amp;"Asian",School_Data,58,FALSE)),"",(VLOOKUP(School_Code&amp;"Asian",School_Data,58,FALSE)))</f>
        <v>--</v>
      </c>
      <c r="E30" s="154" t="str">
        <f>IF(ISERROR(VLOOKUP(School_Code&amp;"Asian",School_Data,59,FALSE)),"",(VLOOKUP(School_Code&amp;"Asian",School_Data,59,FALSE)))</f>
        <v>--</v>
      </c>
      <c r="F30" s="154" t="str">
        <f>IF(ISERROR(VLOOKUP(School_Code&amp;"Asian",School_Data,60,FALSE)),"",(VLOOKUP(School_Code&amp;"Asian",School_Data,60,FALSE)))</f>
        <v>--</v>
      </c>
      <c r="G30" s="154" t="str">
        <f>IF(ISERROR(VLOOKUP(School_Code&amp;"Asian",School_Data,61,FALSE)),"",(VLOOKUP(School_Code&amp;"Asian",School_Data,61,FALSE)))</f>
        <v>--</v>
      </c>
      <c r="H30" s="18" t="str">
        <f>IF(ISERROR(VLOOKUP(School_Code&amp;"Asian",School_Data,62,FALSE)),"",(VLOOKUP(School_Code&amp;"Asian",School_Data,62,FALSE)))</f>
        <v>--</v>
      </c>
      <c r="I30" s="131"/>
      <c r="J30" s="20" t="str">
        <f>IF(ISERROR(VLOOKUP(School_Code&amp;"Asian",School_Data,63,FALSE)),"",(VLOOKUP(School_Code&amp;"Asian",School_Data,63,FALSE)))</f>
        <v>--</v>
      </c>
      <c r="K30" s="20" t="str">
        <f>IF(ISERROR(VLOOKUP(School_Code&amp;"Asian",School_Data,64,FALSE)),"",(VLOOKUP(School_Code&amp;"Asian",School_Data,64,FALSE)))</f>
        <v>--</v>
      </c>
      <c r="L30" s="49" t="str">
        <f>IF(ISERROR(VLOOKUP(School_Code&amp;"Asian",School_Data,65,FALSE)),"",(VLOOKUP(School_Code&amp;"Asian",School_Data,65,FALSE)))</f>
        <v>--</v>
      </c>
      <c r="M30" s="267"/>
    </row>
    <row r="31" spans="2:13" s="16" customFormat="1" ht="14.45" hidden="1" customHeight="1">
      <c r="B31" s="17" t="s">
        <v>31</v>
      </c>
      <c r="C31" s="153" t="str">
        <f>IF(ISERROR(VLOOKUP(School_Code&amp;"Afr. Amer/Black",School_Data,57,FALSE)),"",(VLOOKUP(School_Code&amp;"Afr. Amer/Black",School_Data,57,FALSE)))</f>
        <v>--</v>
      </c>
      <c r="D31" s="154" t="str">
        <f>IF(ISERROR(VLOOKUP(School_Code&amp;"Afr. Amer/Black",School_Data,58,FALSE)),"",(VLOOKUP(School_Code&amp;"Afr. Amer/Black",School_Data,58,FALSE)))</f>
        <v>--</v>
      </c>
      <c r="E31" s="154" t="str">
        <f>IF(ISERROR(VLOOKUP(School_Code&amp;"Afr. Amer/Black",School_Data,59,FALSE)),"",(VLOOKUP(School_Code&amp;"Afr. Amer/Black",School_Data,59,FALSE)))</f>
        <v>--</v>
      </c>
      <c r="F31" s="154" t="str">
        <f>IF(ISERROR(VLOOKUP(School_Code&amp;"Afr. Amer/Black",School_Data,60,FALSE)),"",(VLOOKUP(School_Code&amp;"Afr. Amer/Black",School_Data,60,FALSE)))</f>
        <v>--</v>
      </c>
      <c r="G31" s="154" t="str">
        <f>IF(ISERROR(VLOOKUP(School_Code&amp;"Afr. Amer/Black",School_Data,61,FALSE)),"",(VLOOKUP(School_Code&amp;"Afr. Amer/Black",School_Data,61,FALSE)))</f>
        <v>--</v>
      </c>
      <c r="H31" s="18" t="str">
        <f>IF(ISERROR(VLOOKUP(School_Code&amp;"Afr. Amer/Black",School_Data,62,FALSE)),"",(VLOOKUP(School_Code&amp;"Afr. Amer/Black",School_Data,62,FALSE)))</f>
        <v>--</v>
      </c>
      <c r="I31" s="131"/>
      <c r="J31" s="20" t="str">
        <f>IF(ISERROR(VLOOKUP(School_Code&amp;"Afr. Amer/Black",School_Data,63,FALSE)),"",(VLOOKUP(School_Code&amp;"Afr. Amer/Black",School_Data,63,FALSE)))</f>
        <v>--</v>
      </c>
      <c r="K31" s="20" t="str">
        <f>IF(ISERROR(VLOOKUP(School_Code&amp;"Afr. Amer/Black",School_Data,64,FALSE)),"",(VLOOKUP(School_Code&amp;"Afr. Amer/Black",School_Data,64,FALSE)))</f>
        <v>--</v>
      </c>
      <c r="L31" s="49" t="str">
        <f>IF(ISERROR(VLOOKUP(School_Code&amp;"Afr. Amer/Black",School_Data,65,FALSE)),"",(VLOOKUP(School_Code&amp;"Afr. Amer/Black",School_Data,65,FALSE)))</f>
        <v>--</v>
      </c>
      <c r="M31" s="267"/>
    </row>
    <row r="32" spans="2:13" s="16" customFormat="1" ht="14.45" hidden="1" customHeight="1">
      <c r="B32" s="17" t="s">
        <v>32</v>
      </c>
      <c r="C32" s="153" t="str">
        <f>IF(ISERROR(VLOOKUP(School_Code&amp;"Hispanic/Latino",School_Data,57,FALSE)),"",(VLOOKUP(School_Code&amp;"Hispanic/Latino",School_Data,57,FALSE)))</f>
        <v>--</v>
      </c>
      <c r="D32" s="154" t="str">
        <f>IF(ISERROR(VLOOKUP(School_Code&amp;"Hispanic/Latino",School_Data,58,FALSE)),"",(VLOOKUP(School_Code&amp;"Hispanic/Latino",School_Data,58,FALSE)))</f>
        <v>--</v>
      </c>
      <c r="E32" s="154" t="str">
        <f>IF(ISERROR(VLOOKUP(School_Code&amp;"Hispanic/Latino",School_Data,59,FALSE)),"",(VLOOKUP(School_Code&amp;"Hispanic/Latino",School_Data,59,FALSE)))</f>
        <v>--</v>
      </c>
      <c r="F32" s="154" t="str">
        <f>IF(ISERROR(VLOOKUP(School_Code&amp;"Hispanic/Latino",School_Data,60,FALSE)),"",(VLOOKUP(School_Code&amp;"Hispanic/Latino",School_Data,60,FALSE)))</f>
        <v>--</v>
      </c>
      <c r="G32" s="154" t="str">
        <f>IF(ISERROR(VLOOKUP(School_Code&amp;"Hispanic/Latino",School_Data,61,FALSE)),"",(VLOOKUP(School_Code&amp;"Hispanic/Latino",School_Data,61,FALSE)))</f>
        <v>--</v>
      </c>
      <c r="H32" s="18" t="str">
        <f>IF(ISERROR(VLOOKUP(School_Code&amp;"Hispanic/Latino",School_Data,62,FALSE)),"",(VLOOKUP(School_Code&amp;"Hispanic/Latino",School_Data,62,FALSE)))</f>
        <v>--</v>
      </c>
      <c r="I32" s="131"/>
      <c r="J32" s="20" t="str">
        <f>IF(ISERROR(VLOOKUP(School_Code&amp;"Hispanic/Latino",School_Data,63,FALSE)),"",(VLOOKUP(School_Code&amp;"Hispanic/Latino",School_Data,63,FALSE)))</f>
        <v>--</v>
      </c>
      <c r="K32" s="20" t="str">
        <f>IF(ISERROR(VLOOKUP(School_Code&amp;"Hispanic/Latino",School_Data,64,FALSE)),"",(VLOOKUP(School_Code&amp;"Hispanic/Latino",School_Data,64,FALSE)))</f>
        <v>--</v>
      </c>
      <c r="L32" s="49" t="str">
        <f>IF(ISERROR(VLOOKUP(School_Code&amp;"Hispanic/Latino",School_Data,65,FALSE)),"",(VLOOKUP(School_Code&amp;"Hispanic/Latino",School_Data,65,FALSE)))</f>
        <v>--</v>
      </c>
      <c r="M32" s="267"/>
    </row>
    <row r="33" spans="2:13" s="16" customFormat="1" ht="14.45" hidden="1" customHeight="1">
      <c r="B33" s="17" t="s">
        <v>33</v>
      </c>
      <c r="C33" s="153" t="str">
        <f>IF(ISERROR(VLOOKUP(School_Code&amp;"Multi-race, Non-Hisp./Lat.",School_Data,57,FALSE)),"",(VLOOKUP(School_Code&amp;"Multi-race, Non-Hisp./Lat.",School_Data,57,FALSE)))</f>
        <v>--</v>
      </c>
      <c r="D33" s="154" t="str">
        <f>IF(ISERROR(VLOOKUP(School_Code&amp;"Multi-race, Non-Hisp./Lat.",School_Data,58,FALSE)),"",(VLOOKUP(School_Code&amp;"Multi-race, Non-Hisp./Lat.",School_Data,58,FALSE)))</f>
        <v>--</v>
      </c>
      <c r="E33" s="154" t="str">
        <f>IF(ISERROR(VLOOKUP(School_Code&amp;"Multi-race, Non-Hisp./Lat.",School_Data,59,FALSE)),"",(VLOOKUP(School_Code&amp;"Multi-race, Non-Hisp./Lat.",School_Data,59,FALSE)))</f>
        <v>--</v>
      </c>
      <c r="F33" s="154" t="str">
        <f>IF(ISERROR(VLOOKUP(School_Code&amp;"Multi-race, Non-Hisp./Lat.",School_Data,60,FALSE)),"",(VLOOKUP(School_Code&amp;"Multi-race, Non-Hisp./Lat.",School_Data,60,FALSE)))</f>
        <v>--</v>
      </c>
      <c r="G33" s="154" t="str">
        <f>IF(ISERROR(VLOOKUP(School_Code&amp;"Multi-race, Non-Hisp./Lat.",School_Data,61,FALSE)),"",(VLOOKUP(School_Code&amp;"Multi-race, Non-Hisp./Lat.",School_Data,61,FALSE)))</f>
        <v>--</v>
      </c>
      <c r="H33" s="18" t="str">
        <f>IF(ISERROR(VLOOKUP(School_Code&amp;"Multi-race, Non-Hisp./Lat.",School_Data,62,FALSE)),"",(VLOOKUP(School_Code&amp;"Multi-race, Non-Hisp./Lat.",School_Data,62,FALSE)))</f>
        <v>--</v>
      </c>
      <c r="I33" s="131"/>
      <c r="J33" s="20" t="str">
        <f>IF(ISERROR(VLOOKUP(School_Code&amp;"Multi-race, Non-Hisp./Lat.",School_Data,63,FALSE)),"",(VLOOKUP(School_Code&amp;"Multi-race, Non-Hisp./Lat.",School_Data,63,FALSE)))</f>
        <v>--</v>
      </c>
      <c r="K33" s="20" t="str">
        <f>IF(ISERROR(VLOOKUP(School_Code&amp;"Multi-race, Non-Hisp./Lat.",School_Data,64,FALSE)),"",(VLOOKUP(School_Code&amp;"Multi-race, Non-Hisp./Lat.",School_Data,64,FALSE)))</f>
        <v>--</v>
      </c>
      <c r="L33" s="49" t="str">
        <f>IF(ISERROR(VLOOKUP(School_Code&amp;"Multi-race, Non-Hisp./Lat.",School_Data,65,FALSE)),"",(VLOOKUP(School_Code&amp;"Multi-race, Non-Hisp./Lat.",School_Data,65,FALSE)))</f>
        <v>--</v>
      </c>
      <c r="M33" s="267"/>
    </row>
    <row r="34" spans="2:13" s="16" customFormat="1" ht="14.45" hidden="1" customHeight="1">
      <c r="B34" s="17" t="s">
        <v>34</v>
      </c>
      <c r="C34" s="153" t="str">
        <f>IF(ISERROR(VLOOKUP(School_Code&amp;"Nat. Haw. or Pacif. Isl.",School_Data,57,FALSE)),"",(VLOOKUP(School_Code&amp;"Nat. Haw. or Pacif. Isl.",School_Data,57,FALSE)))</f>
        <v>--</v>
      </c>
      <c r="D34" s="154" t="str">
        <f>IF(ISERROR(VLOOKUP(School_Code&amp;"Nat. Haw. or Pacif. Isl.",School_Data,58,FALSE)),"",(VLOOKUP(School_Code&amp;"Nat. Haw. or Pacif. Isl.",School_Data,58,FALSE)))</f>
        <v>--</v>
      </c>
      <c r="E34" s="154" t="str">
        <f>IF(ISERROR(VLOOKUP(School_Code&amp;"Nat. Haw. or Pacif. Isl.",School_Data,59,FALSE)),"",(VLOOKUP(School_Code&amp;"Nat. Haw. or Pacif. Isl.",School_Data,59,FALSE)))</f>
        <v>--</v>
      </c>
      <c r="F34" s="154" t="str">
        <f>IF(ISERROR(VLOOKUP(School_Code&amp;"Nat. Haw. or Pacif. Isl.",School_Data,60,FALSE)),"",(VLOOKUP(School_Code&amp;"Nat. Haw. or Pacif. Isl.",School_Data,60,FALSE)))</f>
        <v>--</v>
      </c>
      <c r="G34" s="154" t="str">
        <f>IF(ISERROR(VLOOKUP(School_Code&amp;"Nat. Haw. or Pacif. Isl.",School_Data,61,FALSE)),"",(VLOOKUP(School_Code&amp;"Nat. Haw. or Pacif. Isl.",School_Data,61,FALSE)))</f>
        <v>--</v>
      </c>
      <c r="H34" s="18" t="str">
        <f>IF(ISERROR(VLOOKUP(School_Code&amp;"Nat. Haw. or Pacif. Isl.",School_Data,62,FALSE)),"",(VLOOKUP(School_Code&amp;"Nat. Haw. or Pacif. Isl.",School_Data,62,FALSE)))</f>
        <v>--</v>
      </c>
      <c r="I34" s="131"/>
      <c r="J34" s="20" t="str">
        <f>IF(ISERROR(VLOOKUP(School_Code&amp;"Nat. Haw. or Pacif. Isl.",School_Data,63,FALSE)),"",(VLOOKUP(School_Code&amp;"Nat. Haw. or Pacif. Isl.",School_Data,63,FALSE)))</f>
        <v>--</v>
      </c>
      <c r="K34" s="20" t="str">
        <f>IF(ISERROR(VLOOKUP(School_Code&amp;"Nat. Haw. or Pacif. Isl.",School_Data,64,FALSE)),"",(VLOOKUP(School_Code&amp;"Nat. Haw. or Pacif. Isl.",School_Data,64,FALSE)))</f>
        <v>--</v>
      </c>
      <c r="L34" s="49" t="str">
        <f>IF(ISERROR(VLOOKUP(School_Code&amp;"Nat. Haw. or Pacif. Isl.",School_Data,65,FALSE)),"",(VLOOKUP(School_Code&amp;"Nat. Haw. or Pacif. Isl.",School_Data,65,FALSE)))</f>
        <v>--</v>
      </c>
      <c r="M34" s="267"/>
    </row>
    <row r="35" spans="2:13" s="16" customFormat="1" ht="14.45" hidden="1" customHeight="1">
      <c r="B35" s="15" t="s">
        <v>35</v>
      </c>
      <c r="C35" s="155" t="str">
        <f>IF(ISERROR(VLOOKUP(School_Code&amp;"White",School_Data,57,FALSE)),"",(VLOOKUP(School_Code&amp;"White",School_Data,57,FALSE)))</f>
        <v>--</v>
      </c>
      <c r="D35" s="156" t="str">
        <f>IF(ISERROR(VLOOKUP(School_Code&amp;"White",School_Data,58,FALSE)),"",(VLOOKUP(School_Code&amp;"White",School_Data,58,FALSE)))</f>
        <v>--</v>
      </c>
      <c r="E35" s="156" t="str">
        <f>IF(ISERROR(VLOOKUP(School_Code&amp;"White",School_Data,59,FALSE)),"",(VLOOKUP(School_Code&amp;"White",School_Data,59,FALSE)))</f>
        <v>--</v>
      </c>
      <c r="F35" s="156" t="str">
        <f>IF(ISERROR(VLOOKUP(School_Code&amp;"White",School_Data,60,FALSE)),"",(VLOOKUP(School_Code&amp;"White",School_Data,60,FALSE)))</f>
        <v>--</v>
      </c>
      <c r="G35" s="156" t="str">
        <f>IF(ISERROR(VLOOKUP(School_Code&amp;"White",School_Data,61,FALSE)),"",(VLOOKUP(School_Code&amp;"White",School_Data,61,FALSE)))</f>
        <v>--</v>
      </c>
      <c r="H35" s="41" t="str">
        <f>IF(ISERROR(VLOOKUP(School_Code&amp;"White",School_Data,62,FALSE)),"",(VLOOKUP(School_Code&amp;"White",School_Data,62,FALSE)))</f>
        <v>--</v>
      </c>
      <c r="I35" s="41"/>
      <c r="J35" s="42" t="str">
        <f>IF(ISERROR(VLOOKUP(School_Code&amp;"White",School_Data,63,FALSE)),"",(VLOOKUP(School_Code&amp;"White",School_Data,63,FALSE)))</f>
        <v>--</v>
      </c>
      <c r="K35" s="42" t="str">
        <f>IF(ISERROR(VLOOKUP(School_Code&amp;"White",School_Data,64,FALSE)),"",(VLOOKUP(School_Code&amp;"White",School_Data,64,FALSE)))</f>
        <v>--</v>
      </c>
      <c r="L35" s="47" t="str">
        <f>IF(ISERROR(VLOOKUP(School_Code&amp;"White",School_Data,65,FALSE)),"",(VLOOKUP(School_Code&amp;"White",School_Data,65,FALSE)))</f>
        <v>--</v>
      </c>
      <c r="M35" s="268"/>
    </row>
    <row r="36" spans="2:13" s="16" customFormat="1" ht="25.5">
      <c r="B36" s="58" t="s">
        <v>36</v>
      </c>
      <c r="C36" s="143"/>
      <c r="D36" s="144"/>
      <c r="E36" s="144"/>
      <c r="F36" s="144"/>
      <c r="G36" s="144"/>
      <c r="H36" s="59"/>
      <c r="I36" s="59"/>
      <c r="J36" s="59"/>
      <c r="K36" s="59"/>
      <c r="L36" s="60"/>
      <c r="M36" s="108" t="s">
        <v>261</v>
      </c>
    </row>
    <row r="37" spans="2:13" s="16" customFormat="1" ht="14.45" customHeight="1">
      <c r="B37" s="269" t="s">
        <v>37</v>
      </c>
      <c r="C37" s="270"/>
      <c r="D37" s="270"/>
      <c r="E37" s="270"/>
      <c r="F37" s="270"/>
      <c r="G37" s="270"/>
      <c r="H37" s="270"/>
      <c r="I37" s="270"/>
      <c r="J37" s="270"/>
      <c r="K37" s="270"/>
      <c r="L37" s="270"/>
      <c r="M37" s="271"/>
    </row>
    <row r="38" spans="2:13" s="16" customFormat="1" ht="76.5">
      <c r="B38" s="56" t="s">
        <v>38</v>
      </c>
      <c r="C38" s="157" t="str">
        <f>IF(ISERROR(VLOOKUP(School_Code&amp;"All students",School_Data,39,FALSE)),"",(VLOOKUP(School_Code&amp;"All students",School_Data,39,FALSE)))</f>
        <v>--</v>
      </c>
      <c r="D38" s="158" t="str">
        <f>IF(ISERROR(VLOOKUP(School_Code&amp;"All students",School_Data,40,FALSE)),"",(VLOOKUP(School_Code&amp;"All students",School_Data,40,FALSE)))</f>
        <v>--</v>
      </c>
      <c r="E38" s="158" t="str">
        <f>IF(ISERROR(VLOOKUP(School_Code&amp;"All students",School_Data,41,FALSE)),"",(VLOOKUP(School_Code&amp;"All students",School_Data,41,FALSE)))</f>
        <v>--</v>
      </c>
      <c r="F38" s="69" t="str">
        <f>IF(ISERROR(VLOOKUP(School_Code&amp;"All students",School_Data,42,FALSE)),"",(VLOOKUP(School_Code&amp;"All students",School_Data,42,FALSE)))</f>
        <v>--</v>
      </c>
      <c r="G38" s="158" t="str">
        <f>IF(ISERROR(VLOOKUP(School_Code&amp;"All students",School_Data,43,FALSE)),"",(VLOOKUP(School_Code&amp;"All students",School_Data,43,FALSE)))</f>
        <v>--</v>
      </c>
      <c r="H38" s="69" t="str">
        <f>IF(ISERROR(VLOOKUP(School_Code&amp;"All students",School_Data,44,FALSE)),"",(VLOOKUP(School_Code&amp;"All students",School_Data,44,FALSE)))</f>
        <v>--</v>
      </c>
      <c r="I38" s="69"/>
      <c r="J38" s="69" t="str">
        <f>IF(ISERROR(VLOOKUP(School_Code&amp;"All students",School_Data,45,FALSE)),"",(VLOOKUP(School_Code&amp;"All students",School_Data,45,FALSE)))</f>
        <v>--</v>
      </c>
      <c r="K38" s="69" t="str">
        <f>IF(ISERROR(VLOOKUP(School_Code&amp;"All students",School_Data,46,FALSE)),"",(VLOOKUP(School_Code&amp;"All students",School_Data,46,FALSE)))</f>
        <v>--</v>
      </c>
      <c r="L38" s="70" t="str">
        <f>IF(ISERROR(VLOOKUP(School_Code&amp;"All students",School_Data,47,FALSE)),"",(VLOOKUP(School_Code&amp;"All students",School_Data,47,FALSE)))</f>
        <v>--</v>
      </c>
      <c r="M38" s="266" t="s">
        <v>261</v>
      </c>
    </row>
    <row r="39" spans="2:13" s="16" customFormat="1" ht="25.5" hidden="1">
      <c r="B39" s="13" t="s">
        <v>24</v>
      </c>
      <c r="C39" s="159"/>
      <c r="D39" s="160"/>
      <c r="E39" s="160"/>
      <c r="F39" s="44"/>
      <c r="G39" s="160"/>
      <c r="H39" s="44"/>
      <c r="I39" s="44"/>
      <c r="J39" s="44"/>
      <c r="K39" s="44"/>
      <c r="L39" s="45"/>
      <c r="M39" s="267"/>
    </row>
    <row r="40" spans="2:13" s="6" customFormat="1" ht="14.45" hidden="1" customHeight="1">
      <c r="B40" s="17" t="s">
        <v>25</v>
      </c>
      <c r="C40" s="161" t="str">
        <f>IF(ISERROR(VLOOKUP(School_Code&amp;"High needs",School_Data,39,FALSE)),"",(VLOOKUP(School_Code&amp;"High needs",School_Data,39,FALSE)))</f>
        <v>--</v>
      </c>
      <c r="D40" s="162" t="str">
        <f>IF(ISERROR(VLOOKUP(School_Code&amp;"High needs",School_Data,40,FALSE)),"",(VLOOKUP(School_Code&amp;"High needs",School_Data,40,FALSE)))</f>
        <v>--</v>
      </c>
      <c r="E40" s="162" t="str">
        <f>IF(ISERROR(VLOOKUP(School_Code&amp;"High needs",School_Data,41,FALSE)),"",(VLOOKUP(School_Code&amp;"High needs",School_Data,41,FALSE)))</f>
        <v>--</v>
      </c>
      <c r="F40" s="20" t="str">
        <f>IF(ISERROR(VLOOKUP(School_Code&amp;"High needs",School_Data,42,FALSE)),"",(VLOOKUP(School_Code&amp;"High needs",School_Data,42,FALSE)))</f>
        <v>--</v>
      </c>
      <c r="G40" s="162" t="str">
        <f>IF(ISERROR(VLOOKUP(School_Code&amp;"High needs",School_Data,43,FALSE)),"",(VLOOKUP(School_Code&amp;"High needs",School_Data,43,FALSE)))</f>
        <v>--</v>
      </c>
      <c r="H40" s="20" t="str">
        <f>IF(ISERROR(VLOOKUP(School_Code&amp;"High needs",School_Data,44,FALSE)),"",(VLOOKUP(School_Code&amp;"High needs",School_Data,44,FALSE)))</f>
        <v>--</v>
      </c>
      <c r="I40" s="133"/>
      <c r="J40" s="20" t="str">
        <f>IF(ISERROR(VLOOKUP(School_Code&amp;"High needs",School_Data,45,FALSE)),"",(VLOOKUP(School_Code&amp;"High needs",School_Data,45,FALSE)))</f>
        <v>--</v>
      </c>
      <c r="K40" s="20" t="str">
        <f>IF(ISERROR(VLOOKUP(School_Code&amp;"High needs",School_Data,46,FALSE)),"",(VLOOKUP(School_Code&amp;"High needs",School_Data,46,FALSE)))</f>
        <v>--</v>
      </c>
      <c r="L40" s="49" t="str">
        <f>IF(ISERROR(VLOOKUP(School_Code&amp;"High needs",School_Data,47,FALSE)),"",(VLOOKUP(School_Code&amp;"High needs",School_Data,47,FALSE)))</f>
        <v>--</v>
      </c>
      <c r="M40" s="267"/>
    </row>
    <row r="41" spans="2:13" s="6" customFormat="1" ht="14.45" hidden="1" customHeight="1">
      <c r="B41" s="17" t="s">
        <v>26</v>
      </c>
      <c r="C41" s="161" t="str">
        <f>IF(ISERROR(VLOOKUP(School_Code&amp;"Low income",School_Data,39,FALSE)),"",(VLOOKUP(School_Code&amp;"Low income",School_Data,39,FALSE)))</f>
        <v>--</v>
      </c>
      <c r="D41" s="162" t="str">
        <f>IF(ISERROR(VLOOKUP(School_Code&amp;"Low income",School_Data,40,FALSE)),"",(VLOOKUP(School_Code&amp;"Low income",School_Data,40,FALSE)))</f>
        <v>--</v>
      </c>
      <c r="E41" s="162" t="str">
        <f>IF(ISERROR(VLOOKUP(School_Code&amp;"Low income",School_Data,41,FALSE)),"",(VLOOKUP(School_Code&amp;"Low income",School_Data,41,FALSE)))</f>
        <v>--</v>
      </c>
      <c r="F41" s="20" t="str">
        <f>IF(ISERROR(VLOOKUP(School_Code&amp;"Low income",School_Data,42,FALSE)),"",(VLOOKUP(School_Code&amp;"Low income",School_Data,42,FALSE)))</f>
        <v>--</v>
      </c>
      <c r="G41" s="162" t="str">
        <f>IF(ISERROR(VLOOKUP(School_Code&amp;"Low income",School_Data,43,FALSE)),"",(VLOOKUP(School_Code&amp;"Low income",School_Data,43,FALSE)))</f>
        <v>--</v>
      </c>
      <c r="H41" s="20" t="str">
        <f>IF(ISERROR(VLOOKUP(School_Code&amp;"Low income",School_Data,44,FALSE)),"",(VLOOKUP(School_Code&amp;"Low income",School_Data,44,FALSE)))</f>
        <v>--</v>
      </c>
      <c r="I41" s="133"/>
      <c r="J41" s="20" t="str">
        <f>IF(ISERROR(VLOOKUP(School_Code&amp;"Low income",School_Data,45,FALSE)),"",(VLOOKUP(School_Code&amp;"Low income",School_Data,45,FALSE)))</f>
        <v>--</v>
      </c>
      <c r="K41" s="20" t="str">
        <f>IF(ISERROR(VLOOKUP(School_Code&amp;"Low income",School_Data,46,FALSE)),"",(VLOOKUP(School_Code&amp;"Low income",School_Data,46,FALSE)))</f>
        <v>--</v>
      </c>
      <c r="L41" s="49" t="str">
        <f>IF(ISERROR(VLOOKUP(School_Code&amp;"Low income",School_Data,47,FALSE)),"",(VLOOKUP(School_Code&amp;"Low income",School_Data,47,FALSE)))</f>
        <v>--</v>
      </c>
      <c r="M41" s="267"/>
    </row>
    <row r="42" spans="2:13" s="6" customFormat="1" ht="14.45" hidden="1" customHeight="1">
      <c r="B42" s="17" t="s">
        <v>27</v>
      </c>
      <c r="C42" s="161" t="str">
        <f>IF(ISERROR(VLOOKUP(School_Code&amp;"ELL and Former ELL",School_Data,39,FALSE)),"",(VLOOKUP(School_Code&amp;"ELL and Former ELL",School_Data,39,FALSE)))</f>
        <v>--</v>
      </c>
      <c r="D42" s="162" t="str">
        <f>IF(ISERROR(VLOOKUP(School_Code&amp;"ELL and Former ELL",School_Data,40,FALSE)),"",(VLOOKUP(School_Code&amp;"ELL and Former ELL",School_Data,40,FALSE)))</f>
        <v>--</v>
      </c>
      <c r="E42" s="162" t="str">
        <f>IF(ISERROR(VLOOKUP(School_Code&amp;"ELL and Former ELL",School_Data,41,FALSE)),"",(VLOOKUP(School_Code&amp;"ELL and Former ELL",School_Data,41,FALSE)))</f>
        <v>--</v>
      </c>
      <c r="F42" s="20" t="str">
        <f>IF(ISERROR(VLOOKUP(School_Code&amp;"ELL and Former ELL",School_Data,42,FALSE)),"",(VLOOKUP(School_Code&amp;"ELL and Former ELL",School_Data,42,FALSE)))</f>
        <v>--</v>
      </c>
      <c r="G42" s="162" t="str">
        <f>IF(ISERROR(VLOOKUP(School_Code&amp;"ELL and Former ELL",School_Data,43,FALSE)),"",(VLOOKUP(School_Code&amp;"ELL and Former ELL",School_Data,43,FALSE)))</f>
        <v>--</v>
      </c>
      <c r="H42" s="20" t="str">
        <f>IF(ISERROR(VLOOKUP(School_Code&amp;"ELL and Former ELL",School_Data,44,FALSE)),"",(VLOOKUP(School_Code&amp;"ELL and Former ELL",School_Data,44,FALSE)))</f>
        <v>--</v>
      </c>
      <c r="I42" s="133"/>
      <c r="J42" s="20" t="str">
        <f>IF(ISERROR(VLOOKUP(School_Code&amp;"ELL and Former ELL",School_Data,45,FALSE)),"",(VLOOKUP(School_Code&amp;"ELL and Former ELL",School_Data,45,FALSE)))</f>
        <v>--</v>
      </c>
      <c r="K42" s="20" t="str">
        <f>IF(ISERROR(VLOOKUP(School_Code&amp;"ELL and Former ELL",School_Data,46,FALSE)),"",(VLOOKUP(School_Code&amp;"ELL and Former ELL",School_Data,46,FALSE)))</f>
        <v>--</v>
      </c>
      <c r="L42" s="49" t="str">
        <f>IF(ISERROR(VLOOKUP(School_Code&amp;"ELL and Former ELL",School_Data,47,FALSE)),"",(VLOOKUP(School_Code&amp;"ELL and Former ELL",School_Data,47,FALSE)))</f>
        <v>--</v>
      </c>
      <c r="M42" s="267"/>
    </row>
    <row r="43" spans="2:13" s="6" customFormat="1" ht="14.45" hidden="1" customHeight="1">
      <c r="B43" s="17" t="s">
        <v>28</v>
      </c>
      <c r="C43" s="161" t="str">
        <f>IF(ISERROR(VLOOKUP(School_Code&amp;"Students w/disabilities",School_Data,39,FALSE)),"",(VLOOKUP(School_Code&amp;"Students w/disabilities",School_Data,39,FALSE)))</f>
        <v>--</v>
      </c>
      <c r="D43" s="162" t="str">
        <f>IF(ISERROR(VLOOKUP(School_Code&amp;"Students w/disabilities",School_Data,40,FALSE)),"",(VLOOKUP(School_Code&amp;"Students w/disabilities",School_Data,40,FALSE)))</f>
        <v>--</v>
      </c>
      <c r="E43" s="162" t="str">
        <f>IF(ISERROR(VLOOKUP(School_Code&amp;"Students w/disabilities",School_Data,41,FALSE)),"",(VLOOKUP(School_Code&amp;"Students w/disabilities",School_Data,41,FALSE)))</f>
        <v>--</v>
      </c>
      <c r="F43" s="20" t="str">
        <f>IF(ISERROR(VLOOKUP(School_Code&amp;"Students w/disabilities",School_Data,42,FALSE)),"",(VLOOKUP(School_Code&amp;"Students w/disabilities",School_Data,42,FALSE)))</f>
        <v>--</v>
      </c>
      <c r="G43" s="162" t="str">
        <f>IF(ISERROR(VLOOKUP(School_Code&amp;"Students w/disabilities",School_Data,43,FALSE)),"",(VLOOKUP(School_Code&amp;"Students w/disabilities",School_Data,43,FALSE)))</f>
        <v>--</v>
      </c>
      <c r="H43" s="20" t="str">
        <f>IF(ISERROR(VLOOKUP(School_Code&amp;"Students w/disabilities",School_Data,44,FALSE)),"",(VLOOKUP(School_Code&amp;"Students w/disabilities",School_Data,44,FALSE)))</f>
        <v>--</v>
      </c>
      <c r="I43" s="133"/>
      <c r="J43" s="20" t="str">
        <f>IF(ISERROR(VLOOKUP(School_Code&amp;"Students w/disabilities",School_Data,45,FALSE)),"",(VLOOKUP(School_Code&amp;"Students w/disabilities",School_Data,45,FALSE)))</f>
        <v>--</v>
      </c>
      <c r="K43" s="20" t="str">
        <f>IF(ISERROR(VLOOKUP(School_Code&amp;"Students w/disabilities",School_Data,46,FALSE)),"",(VLOOKUP(School_Code&amp;"Students w/disabilities",School_Data,46,FALSE)))</f>
        <v>--</v>
      </c>
      <c r="L43" s="49" t="str">
        <f>IF(ISERROR(VLOOKUP(School_Code&amp;"Students w/disabilities",School_Data,47,FALSE)),"",(VLOOKUP(School_Code&amp;"Students w/disabilities",School_Data,47,FALSE)))</f>
        <v>--</v>
      </c>
      <c r="M43" s="267"/>
    </row>
    <row r="44" spans="2:13" s="6" customFormat="1" ht="14.45" hidden="1" customHeight="1">
      <c r="B44" s="17" t="s">
        <v>29</v>
      </c>
      <c r="C44" s="161" t="str">
        <f>IF(ISERROR(VLOOKUP(School_Code&amp;"Amer. Ind. or Alaska Nat.",School_Data,39,FALSE)),"",(VLOOKUP(School_Code&amp;"Amer. Ind. or Alaska Nat.",School_Data,39,FALSE)))</f>
        <v>--</v>
      </c>
      <c r="D44" s="162" t="str">
        <f>IF(ISERROR(VLOOKUP(School_Code&amp;"Amer. Ind. or Alaska Nat.",School_Data,40,FALSE)),"",(VLOOKUP(School_Code&amp;"Amer. Ind. or Alaska Nat.",School_Data,40,FALSE)))</f>
        <v>--</v>
      </c>
      <c r="E44" s="162" t="str">
        <f>IF(ISERROR(VLOOKUP(School_Code&amp;"Amer. Ind. or Alaska Nat.",School_Data,41,FALSE)),"",(VLOOKUP(School_Code&amp;"Amer. Ind. or Alaska Nat.",School_Data,41,FALSE)))</f>
        <v>--</v>
      </c>
      <c r="F44" s="20" t="str">
        <f>IF(ISERROR(VLOOKUP(School_Code&amp;"Amer. Ind. or Alaska Nat.",School_Data,42,FALSE)),"",(VLOOKUP(School_Code&amp;"Amer. Ind. or Alaska Nat.",School_Data,42,FALSE)))</f>
        <v>--</v>
      </c>
      <c r="G44" s="162" t="str">
        <f>IF(ISERROR(VLOOKUP(School_Code&amp;"Amer. Ind. or Alaska Nat.",School_Data,43,FALSE)),"",(VLOOKUP(School_Code&amp;"Amer. Ind. or Alaska Nat.",School_Data,43,FALSE)))</f>
        <v>--</v>
      </c>
      <c r="H44" s="20" t="str">
        <f>IF(ISERROR(VLOOKUP(School_Code&amp;"Amer. Ind. or Alaska Nat.",School_Data,44,FALSE)),"",(VLOOKUP(School_Code&amp;"Amer. Ind. or Alaska Nat.",School_Data,44,FALSE)))</f>
        <v>--</v>
      </c>
      <c r="I44" s="133"/>
      <c r="J44" s="20" t="str">
        <f>IF(ISERROR(VLOOKUP(School_Code&amp;"Amer. Ind. or Alaska Nat.",School_Data,45,FALSE)),"",(VLOOKUP(School_Code&amp;"Amer. Ind. or Alaska Nat.",School_Data,45,FALSE)))</f>
        <v>--</v>
      </c>
      <c r="K44" s="20" t="str">
        <f>IF(ISERROR(VLOOKUP(School_Code&amp;"Amer. Ind. or Alaska Nat.",School_Data,46,FALSE)),"",(VLOOKUP(School_Code&amp;"Amer. Ind. or Alaska Nat.",School_Data,46,FALSE)))</f>
        <v>--</v>
      </c>
      <c r="L44" s="49" t="str">
        <f>IF(ISERROR(VLOOKUP(School_Code&amp;"Amer. Ind. or Alaska Nat.",School_Data,47,FALSE)),"",(VLOOKUP(School_Code&amp;"Amer. Ind. or Alaska Nat.",School_Data,47,FALSE)))</f>
        <v>--</v>
      </c>
      <c r="M44" s="267"/>
    </row>
    <row r="45" spans="2:13" s="6" customFormat="1" ht="14.45" hidden="1" customHeight="1">
      <c r="B45" s="17" t="s">
        <v>30</v>
      </c>
      <c r="C45" s="161" t="str">
        <f>IF(ISERROR(VLOOKUP(School_Code&amp;"Asian",School_Data,39,FALSE)),"",(VLOOKUP(School_Code&amp;"Asian",School_Data,39,FALSE)))</f>
        <v>--</v>
      </c>
      <c r="D45" s="162" t="str">
        <f>IF(ISERROR(VLOOKUP(School_Code&amp;"Asian",School_Data,40,FALSE)),"",(VLOOKUP(School_Code&amp;"Asian",School_Data,40,FALSE)))</f>
        <v>--</v>
      </c>
      <c r="E45" s="162" t="str">
        <f>IF(ISERROR(VLOOKUP(School_Code&amp;"Asian",School_Data,41,FALSE)),"",(VLOOKUP(School_Code&amp;"Asian",School_Data,41,FALSE)))</f>
        <v>--</v>
      </c>
      <c r="F45" s="20" t="str">
        <f>IF(ISERROR(VLOOKUP(School_Code&amp;"Asian",School_Data,42,FALSE)),"",(VLOOKUP(School_Code&amp;"Asian",School_Data,42,FALSE)))</f>
        <v>--</v>
      </c>
      <c r="G45" s="162" t="str">
        <f>IF(ISERROR(VLOOKUP(School_Code&amp;"Asian",School_Data,43,FALSE)),"",(VLOOKUP(School_Code&amp;"Asian",School_Data,43,FALSE)))</f>
        <v>--</v>
      </c>
      <c r="H45" s="20" t="str">
        <f>IF(ISERROR(VLOOKUP(School_Code&amp;"Asian",School_Data,44,FALSE)),"",(VLOOKUP(School_Code&amp;"Asian",School_Data,44,FALSE)))</f>
        <v>--</v>
      </c>
      <c r="I45" s="133"/>
      <c r="J45" s="20" t="str">
        <f>IF(ISERROR(VLOOKUP(School_Code&amp;"Asian",School_Data,45,FALSE)),"",(VLOOKUP(School_Code&amp;"Asian",School_Data,45,FALSE)))</f>
        <v>--</v>
      </c>
      <c r="K45" s="20" t="str">
        <f>IF(ISERROR(VLOOKUP(School_Code&amp;"Asian",School_Data,46,FALSE)),"",(VLOOKUP(School_Code&amp;"Asian",School_Data,46,FALSE)))</f>
        <v>--</v>
      </c>
      <c r="L45" s="49" t="str">
        <f>IF(ISERROR(VLOOKUP(School_Code&amp;"Asian",School_Data,47,FALSE)),"",(VLOOKUP(School_Code&amp;"Asian",School_Data,47,FALSE)))</f>
        <v>--</v>
      </c>
      <c r="M45" s="267"/>
    </row>
    <row r="46" spans="2:13" s="6" customFormat="1" ht="14.45" hidden="1" customHeight="1">
      <c r="B46" s="17" t="s">
        <v>31</v>
      </c>
      <c r="C46" s="161" t="str">
        <f>IF(ISERROR(VLOOKUP(School_Code&amp;"Afr. Amer/Black",School_Data,39,FALSE)),"",(VLOOKUP(School_Code&amp;"Afr. Amer/Black",School_Data,39,FALSE)))</f>
        <v>--</v>
      </c>
      <c r="D46" s="162" t="str">
        <f>IF(ISERROR(VLOOKUP(School_Code&amp;"Afr. Amer/Black",School_Data,40,FALSE)),"",(VLOOKUP(School_Code&amp;"Afr. Amer/Black",School_Data,40,FALSE)))</f>
        <v>--</v>
      </c>
      <c r="E46" s="162" t="str">
        <f>IF(ISERROR(VLOOKUP(School_Code&amp;"Afr. Amer/Black",School_Data,41,FALSE)),"",(VLOOKUP(School_Code&amp;"Afr. Amer/Black",School_Data,41,FALSE)))</f>
        <v>--</v>
      </c>
      <c r="F46" s="20" t="str">
        <f>IF(ISERROR(VLOOKUP(School_Code&amp;"Afr. Amer/Black",School_Data,42,FALSE)),"",(VLOOKUP(School_Code&amp;"Afr. Amer/Black",School_Data,42,FALSE)))</f>
        <v>--</v>
      </c>
      <c r="G46" s="162" t="str">
        <f>IF(ISERROR(VLOOKUP(School_Code&amp;"Afr. Amer/Black",School_Data,43,FALSE)),"",(VLOOKUP(School_Code&amp;"Afr. Amer/Black",School_Data,43,FALSE)))</f>
        <v>--</v>
      </c>
      <c r="H46" s="20" t="str">
        <f>IF(ISERROR(VLOOKUP(School_Code&amp;"Afr. Amer/Black",School_Data,44,FALSE)),"",(VLOOKUP(School_Code&amp;"Afr. Amer/Black",School_Data,44,FALSE)))</f>
        <v>--</v>
      </c>
      <c r="I46" s="133"/>
      <c r="J46" s="20" t="str">
        <f>IF(ISERROR(VLOOKUP(School_Code&amp;"Afr. Amer/Black",School_Data,45,FALSE)),"",(VLOOKUP(School_Code&amp;"Afr. Amer/Black",School_Data,45,FALSE)))</f>
        <v>--</v>
      </c>
      <c r="K46" s="20" t="str">
        <f>IF(ISERROR(VLOOKUP(School_Code&amp;"Afr. Amer/Black",School_Data,46,FALSE)),"",(VLOOKUP(School_Code&amp;"Afr. Amer/Black",School_Data,46,FALSE)))</f>
        <v>--</v>
      </c>
      <c r="L46" s="49" t="str">
        <f>IF(ISERROR(VLOOKUP(School_Code&amp;"Afr. Amer/Black",School_Data,47,FALSE)),"",(VLOOKUP(School_Code&amp;"Afr. Amer/Black",School_Data,47,FALSE)))</f>
        <v>--</v>
      </c>
      <c r="M46" s="267"/>
    </row>
    <row r="47" spans="2:13" s="6" customFormat="1" ht="14.45" hidden="1" customHeight="1">
      <c r="B47" s="17" t="s">
        <v>32</v>
      </c>
      <c r="C47" s="161" t="str">
        <f>IF(ISERROR(VLOOKUP(School_Code&amp;"Hispanic/Latino",School_Data,39,FALSE)),"",(VLOOKUP(School_Code&amp;"Hispanic/Latino",School_Data,39,FALSE)))</f>
        <v>--</v>
      </c>
      <c r="D47" s="162" t="str">
        <f>IF(ISERROR(VLOOKUP(School_Code&amp;"Hispanic/Latino",School_Data,40,FALSE)),"",(VLOOKUP(School_Code&amp;"Hispanic/Latino",School_Data,40,FALSE)))</f>
        <v>--</v>
      </c>
      <c r="E47" s="162" t="str">
        <f>IF(ISERROR(VLOOKUP(School_Code&amp;"Hispanic/Latino",School_Data,41,FALSE)),"",(VLOOKUP(School_Code&amp;"Hispanic/Latino",School_Data,41,FALSE)))</f>
        <v>--</v>
      </c>
      <c r="F47" s="20" t="str">
        <f>IF(ISERROR(VLOOKUP(School_Code&amp;"Hispanic/Latino",School_Data,42,FALSE)),"",(VLOOKUP(School_Code&amp;"Hispanic/Latino",School_Data,42,FALSE)))</f>
        <v>--</v>
      </c>
      <c r="G47" s="162" t="str">
        <f>IF(ISERROR(VLOOKUP(School_Code&amp;"Hispanic/Latino",School_Data,43,FALSE)),"",(VLOOKUP(School_Code&amp;"Hispanic/Latino",School_Data,43,FALSE)))</f>
        <v>--</v>
      </c>
      <c r="H47" s="20" t="str">
        <f>IF(ISERROR(VLOOKUP(School_Code&amp;"Hispanic/Latino",School_Data,44,FALSE)),"",(VLOOKUP(School_Code&amp;"Hispanic/Latino",School_Data,44,FALSE)))</f>
        <v>--</v>
      </c>
      <c r="I47" s="133"/>
      <c r="J47" s="20" t="str">
        <f>IF(ISERROR(VLOOKUP(School_Code&amp;"Hispanic/Latino",School_Data,45,FALSE)),"",(VLOOKUP(School_Code&amp;"Hispanic/Latino",School_Data,45,FALSE)))</f>
        <v>--</v>
      </c>
      <c r="K47" s="20" t="str">
        <f>IF(ISERROR(VLOOKUP(School_Code&amp;"Hispanic/Latino",School_Data,46,FALSE)),"",(VLOOKUP(School_Code&amp;"Hispanic/Latino",School_Data,46,FALSE)))</f>
        <v>--</v>
      </c>
      <c r="L47" s="49" t="str">
        <f>IF(ISERROR(VLOOKUP(School_Code&amp;"Hispanic/Latino",School_Data,47,FALSE)),"",(VLOOKUP(School_Code&amp;"Hispanic/Latino",School_Data,47,FALSE)))</f>
        <v>--</v>
      </c>
      <c r="M47" s="267"/>
    </row>
    <row r="48" spans="2:13" s="6" customFormat="1" ht="14.45" hidden="1" customHeight="1">
      <c r="B48" s="17" t="s">
        <v>33</v>
      </c>
      <c r="C48" s="161" t="str">
        <f>IF(ISERROR(VLOOKUP(School_Code&amp;"Multi-race, Non-Hisp./Lat.",School_Data,39,FALSE)),"",(VLOOKUP(School_Code&amp;"Multi-race, Non-Hisp./Lat.",School_Data,39,FALSE)))</f>
        <v>--</v>
      </c>
      <c r="D48" s="162" t="str">
        <f>IF(ISERROR(VLOOKUP(School_Code&amp;"Multi-race, Non-Hisp./Lat.",School_Data,40,FALSE)),"",(VLOOKUP(School_Code&amp;"Multi-race, Non-Hisp./Lat.",School_Data,40,FALSE)))</f>
        <v>--</v>
      </c>
      <c r="E48" s="162" t="str">
        <f>IF(ISERROR(VLOOKUP(School_Code&amp;"Multi-race, Non-Hisp./Lat.",School_Data,41,FALSE)),"",(VLOOKUP(School_Code&amp;"Multi-race, Non-Hisp./Lat.",School_Data,41,FALSE)))</f>
        <v>--</v>
      </c>
      <c r="F48" s="20" t="str">
        <f>IF(ISERROR(VLOOKUP(School_Code&amp;"Multi-race, Non-Hisp./Lat.",School_Data,42,FALSE)),"",(VLOOKUP(School_Code&amp;"Multi-race, Non-Hisp./Lat.",School_Data,42,FALSE)))</f>
        <v>--</v>
      </c>
      <c r="G48" s="162" t="str">
        <f>IF(ISERROR(VLOOKUP(School_Code&amp;"Multi-race, Non-Hisp./Lat.",School_Data,43,FALSE)),"",(VLOOKUP(School_Code&amp;"Multi-race, Non-Hisp./Lat.",School_Data,43,FALSE)))</f>
        <v>--</v>
      </c>
      <c r="H48" s="20" t="str">
        <f>IF(ISERROR(VLOOKUP(School_Code&amp;"Multi-race, Non-Hisp./Lat.",School_Data,44,FALSE)),"",(VLOOKUP(School_Code&amp;"Multi-race, Non-Hisp./Lat.",School_Data,44,FALSE)))</f>
        <v>--</v>
      </c>
      <c r="I48" s="133"/>
      <c r="J48" s="20" t="str">
        <f>IF(ISERROR(VLOOKUP(School_Code&amp;"Multi-race, Non-Hisp./Lat.",School_Data,45,FALSE)),"",(VLOOKUP(School_Code&amp;"Multi-race, Non-Hisp./Lat.",School_Data,45,FALSE)))</f>
        <v>--</v>
      </c>
      <c r="K48" s="20" t="str">
        <f>IF(ISERROR(VLOOKUP(School_Code&amp;"Multi-race, Non-Hisp./Lat.",School_Data,46,FALSE)),"",(VLOOKUP(School_Code&amp;"Multi-race, Non-Hisp./Lat.",School_Data,46,FALSE)))</f>
        <v>--</v>
      </c>
      <c r="L48" s="49" t="str">
        <f>IF(ISERROR(VLOOKUP(School_Code&amp;"Multi-race, Non-Hisp./Lat.",School_Data,47,FALSE)),"",(VLOOKUP(School_Code&amp;"Multi-race, Non-Hisp./Lat.",School_Data,47,FALSE)))</f>
        <v>--</v>
      </c>
      <c r="M48" s="267"/>
    </row>
    <row r="49" spans="1:13" s="6" customFormat="1" ht="14.45" hidden="1" customHeight="1">
      <c r="B49" s="17" t="s">
        <v>34</v>
      </c>
      <c r="C49" s="161" t="str">
        <f>IF(ISERROR(VLOOKUP(School_Code&amp;"Nat. Haw. or Pacif. Isl.",School_Data,39,FALSE)),"",(VLOOKUP(School_Code&amp;"Nat. Haw. or Pacif. Isl.",School_Data,39,FALSE)))</f>
        <v>--</v>
      </c>
      <c r="D49" s="162" t="str">
        <f>IF(ISERROR(VLOOKUP(School_Code&amp;"Nat. Haw. or Pacif. Isl.",School_Data,40,FALSE)),"",(VLOOKUP(School_Code&amp;"Nat. Haw. or Pacif. Isl.",School_Data,40,FALSE)))</f>
        <v>--</v>
      </c>
      <c r="E49" s="162" t="str">
        <f>IF(ISERROR(VLOOKUP(School_Code&amp;"Nat. Haw. or Pacif. Isl.",School_Data,41,FALSE)),"",(VLOOKUP(School_Code&amp;"Nat. Haw. or Pacif. Isl.",School_Data,41,FALSE)))</f>
        <v>--</v>
      </c>
      <c r="F49" s="20" t="str">
        <f>IF(ISERROR(VLOOKUP(School_Code&amp;"Nat. Haw. or Pacif. Isl.",School_Data,42,FALSE)),"",(VLOOKUP(School_Code&amp;"Nat. Haw. or Pacif. Isl.",School_Data,42,FALSE)))</f>
        <v>--</v>
      </c>
      <c r="G49" s="162" t="str">
        <f>IF(ISERROR(VLOOKUP(School_Code&amp;"Nat. Haw. or Pacif. Isl.",School_Data,43,FALSE)),"",(VLOOKUP(School_Code&amp;"Nat. Haw. or Pacif. Isl.",School_Data,43,FALSE)))</f>
        <v>--</v>
      </c>
      <c r="H49" s="20" t="str">
        <f>IF(ISERROR(VLOOKUP(School_Code&amp;"Nat. Haw. or Pacif. Isl.",School_Data,44,FALSE)),"",(VLOOKUP(School_Code&amp;"Nat. Haw. or Pacif. Isl.",School_Data,44,FALSE)))</f>
        <v>--</v>
      </c>
      <c r="I49" s="133"/>
      <c r="J49" s="20" t="str">
        <f>IF(ISERROR(VLOOKUP(School_Code&amp;"Nat. Haw. or Pacif. Isl.",School_Data,45,FALSE)),"",(VLOOKUP(School_Code&amp;"Nat. Haw. or Pacif. Isl.",School_Data,45,FALSE)))</f>
        <v>--</v>
      </c>
      <c r="K49" s="20" t="str">
        <f>IF(ISERROR(VLOOKUP(School_Code&amp;"Nat. Haw. or Pacif. Isl.",School_Data,46,FALSE)),"",(VLOOKUP(School_Code&amp;"Nat. Haw. or Pacif. Isl.",School_Data,46,FALSE)))</f>
        <v>--</v>
      </c>
      <c r="L49" s="49" t="str">
        <f>IF(ISERROR(VLOOKUP(School_Code&amp;"Nat. Haw. or Pacif. Isl.",School_Data,47,FALSE)),"",(VLOOKUP(School_Code&amp;"Nat. Haw. or Pacif. Isl.",School_Data,47,FALSE)))</f>
        <v>--</v>
      </c>
      <c r="M49" s="267"/>
    </row>
    <row r="50" spans="1:13" s="6" customFormat="1" ht="14.45" hidden="1" customHeight="1">
      <c r="B50" s="15" t="s">
        <v>35</v>
      </c>
      <c r="C50" s="163" t="str">
        <f>IF(ISERROR(VLOOKUP(School_Code&amp;"White",School_Data,39,FALSE)),"",(VLOOKUP(School_Code&amp;"White",School_Data,39,FALSE)))</f>
        <v>--</v>
      </c>
      <c r="D50" s="164" t="str">
        <f>IF(ISERROR(VLOOKUP(School_Code&amp;"White",School_Data,40,FALSE)),"",(VLOOKUP(School_Code&amp;"White",School_Data,40,FALSE)))</f>
        <v>--</v>
      </c>
      <c r="E50" s="164" t="str">
        <f>IF(ISERROR(VLOOKUP(School_Code&amp;"White",School_Data,41,FALSE)),"",(VLOOKUP(School_Code&amp;"White",School_Data,41,FALSE)))</f>
        <v>--</v>
      </c>
      <c r="F50" s="42" t="str">
        <f>IF(ISERROR(VLOOKUP(School_Code&amp;"White",School_Data,42,FALSE)),"",(VLOOKUP(School_Code&amp;"White",School_Data,42,FALSE)))</f>
        <v>--</v>
      </c>
      <c r="G50" s="164" t="str">
        <f>IF(ISERROR(VLOOKUP(School_Code&amp;"White",School_Data,43,FALSE)),"",(VLOOKUP(School_Code&amp;"White",School_Data,43,FALSE)))</f>
        <v>--</v>
      </c>
      <c r="H50" s="42" t="str">
        <f>IF(ISERROR(VLOOKUP(School_Code&amp;"White",School_Data,44,FALSE)),"",(VLOOKUP(School_Code&amp;"White",School_Data,44,FALSE)))</f>
        <v>--</v>
      </c>
      <c r="I50" s="42"/>
      <c r="J50" s="42" t="str">
        <f>IF(ISERROR(VLOOKUP(School_Code&amp;"White",School_Data,45,FALSE)),"",(VLOOKUP(School_Code&amp;"White",School_Data,45,FALSE)))</f>
        <v>--</v>
      </c>
      <c r="K50" s="42" t="str">
        <f>IF(ISERROR(VLOOKUP(School_Code&amp;"White",School_Data,46,FALSE)),"",(VLOOKUP(School_Code&amp;"White",School_Data,46,FALSE)))</f>
        <v>--</v>
      </c>
      <c r="L50" s="47" t="str">
        <f>IF(ISERROR(VLOOKUP(School_Code&amp;"White",School_Data,47,FALSE)),"",(VLOOKUP(School_Code&amp;"White",School_Data,47,FALSE)))</f>
        <v>--</v>
      </c>
      <c r="M50" s="268"/>
    </row>
    <row r="51" spans="1:13" s="6" customFormat="1" ht="76.5">
      <c r="B51" s="58" t="s">
        <v>39</v>
      </c>
      <c r="C51" s="179" t="str">
        <f>IF(ISERROR(VLOOKUP(School_Code&amp;"All students",School_Data,48,FALSE)),"",(VLOOKUP(School_Code&amp;"All students",School_Data,48,FALSE)))</f>
        <v>--</v>
      </c>
      <c r="D51" s="180" t="str">
        <f>IF(ISERROR(VLOOKUP(School_Code&amp;"All students",School_Data,49,FALSE)),"",(VLOOKUP(School_Code&amp;"All students",School_Data,49,FALSE)))</f>
        <v>--</v>
      </c>
      <c r="E51" s="180" t="str">
        <f>IF(ISERROR(VLOOKUP(School_Code&amp;"All students",School_Data,50,FALSE)),"",(VLOOKUP(School_Code&amp;"All students",School_Data,50,FALSE)))</f>
        <v>--</v>
      </c>
      <c r="F51" s="181" t="str">
        <f>IF(ISERROR(VLOOKUP(School_Code&amp;"All students",School_Data,51,FALSE)),"",(VLOOKUP(School_Code&amp;"All students",School_Data,51,FALSE)))</f>
        <v>--</v>
      </c>
      <c r="G51" s="180" t="str">
        <f>IF(ISERROR(VLOOKUP(School_Code&amp;"All students",School_Data,52,FALSE)),"",(VLOOKUP(School_Code&amp;"All students",School_Data,52,FALSE)))</f>
        <v>--</v>
      </c>
      <c r="H51" s="181" t="str">
        <f>IF(ISERROR(VLOOKUP(School_Code&amp;"All students",School_Data,53,FALSE)),"",(VLOOKUP(School_Code&amp;"All students",School_Data,53,FALSE)))</f>
        <v>--</v>
      </c>
      <c r="I51" s="181"/>
      <c r="J51" s="181" t="str">
        <f>IF(ISERROR(VLOOKUP(School_Code&amp;"All students",School_Data,54,FALSE)),"",(VLOOKUP(School_Code&amp;"All students",School_Data,54,FALSE)))</f>
        <v>--</v>
      </c>
      <c r="K51" s="181" t="str">
        <f>IF(ISERROR(VLOOKUP(School_Code&amp;"All students",School_Data,55,FALSE)),"",(VLOOKUP(School_Code&amp;"All students",School_Data,55,FALSE)))</f>
        <v>--</v>
      </c>
      <c r="L51" s="182" t="str">
        <f>IF(ISERROR(VLOOKUP(School_Code&amp;"All students",School_Data,56,FALSE)),"",(VLOOKUP(School_Code&amp;"All students",School_Data,56,FALSE)))</f>
        <v>--</v>
      </c>
      <c r="M51" s="183" t="s">
        <v>261</v>
      </c>
    </row>
    <row r="52" spans="1:13" s="6" customFormat="1" ht="25.5" hidden="1">
      <c r="A52" s="174"/>
      <c r="B52" s="175" t="s">
        <v>24</v>
      </c>
      <c r="C52" s="176"/>
      <c r="D52" s="177"/>
      <c r="E52" s="177"/>
      <c r="F52" s="132"/>
      <c r="G52" s="177"/>
      <c r="H52" s="132"/>
      <c r="I52" s="132"/>
      <c r="J52" s="132"/>
      <c r="K52" s="132"/>
      <c r="L52" s="178"/>
      <c r="M52" s="128"/>
    </row>
    <row r="53" spans="1:13" s="6" customFormat="1" ht="14.45" hidden="1" customHeight="1">
      <c r="B53" s="17" t="s">
        <v>25</v>
      </c>
      <c r="C53" s="161" t="str">
        <f>IF(ISERROR(VLOOKUP(School_Code&amp;"High needs",School_Data,48,FALSE)),"",(VLOOKUP(School_Code&amp;"High needs",School_Data,48,FALSE)))</f>
        <v>--</v>
      </c>
      <c r="D53" s="162" t="str">
        <f>IF(ISERROR(VLOOKUP(School_Code&amp;"High needs",School_Data,49,FALSE)),"",(VLOOKUP(School_Code&amp;"High needs",School_Data,49,FALSE)))</f>
        <v>--</v>
      </c>
      <c r="E53" s="162" t="str">
        <f>IF(ISERROR(VLOOKUP(School_Code&amp;"High needs",School_Data,50,FALSE)),"",(VLOOKUP(School_Code&amp;"High needs",School_Data,50,FALSE)))</f>
        <v>--</v>
      </c>
      <c r="F53" s="133" t="str">
        <f>IF(ISERROR(VLOOKUP(School_Code&amp;"High needs",School_Data,51,FALSE)),"",(VLOOKUP(School_Code&amp;"High needs",School_Data,51,FALSE)))</f>
        <v>--</v>
      </c>
      <c r="G53" s="162" t="str">
        <f>IF(ISERROR(VLOOKUP(School_Code&amp;"High needs",School_Data,52,FALSE)),"",(VLOOKUP(School_Code&amp;"High needs",School_Data,52,FALSE)))</f>
        <v>--</v>
      </c>
      <c r="H53" s="133" t="str">
        <f>IF(ISERROR(VLOOKUP(School_Code&amp;"High needs",School_Data,53,FALSE)),"",(VLOOKUP(School_Code&amp;"High needs",School_Data,53,FALSE)))</f>
        <v>--</v>
      </c>
      <c r="I53" s="133"/>
      <c r="J53" s="133" t="str">
        <f>IF(ISERROR(VLOOKUP(School_Code&amp;"High needs",School_Data,54,FALSE)),"",(VLOOKUP(School_Code&amp;"High needs",School_Data,54,FALSE)))</f>
        <v>--</v>
      </c>
      <c r="K53" s="133" t="str">
        <f>IF(ISERROR(VLOOKUP(School_Code&amp;"High needs",School_Data,55,FALSE)),"",(VLOOKUP(School_Code&amp;"High needs",School_Data,55,FALSE)))</f>
        <v>--</v>
      </c>
      <c r="L53" s="49" t="str">
        <f>IF(ISERROR(VLOOKUP(School_Code&amp;"High needs",School_Data,56,FALSE)),"",(VLOOKUP(School_Code&amp;"High needs",School_Data,56,FALSE)))</f>
        <v>--</v>
      </c>
      <c r="M53" s="173"/>
    </row>
    <row r="54" spans="1:13" s="6" customFormat="1" ht="14.45" hidden="1" customHeight="1">
      <c r="B54" s="17" t="s">
        <v>26</v>
      </c>
      <c r="C54" s="161" t="str">
        <f>IF(ISERROR(VLOOKUP(School_Code&amp;"Low income",School_Data,48,FALSE)),"",(VLOOKUP(School_Code&amp;"Low income",School_Data,48,FALSE)))</f>
        <v>--</v>
      </c>
      <c r="D54" s="162" t="str">
        <f>IF(ISERROR(VLOOKUP(School_Code&amp;"Low income",School_Data,49,FALSE)),"",(VLOOKUP(School_Code&amp;"Low income",School_Data,49,FALSE)))</f>
        <v>--</v>
      </c>
      <c r="E54" s="162" t="str">
        <f>IF(ISERROR(VLOOKUP(School_Code&amp;"Low income",School_Data,50,FALSE)),"",(VLOOKUP(School_Code&amp;"Low income",School_Data,50,FALSE)))</f>
        <v>--</v>
      </c>
      <c r="F54" s="133" t="str">
        <f>IF(ISERROR(VLOOKUP(School_Code&amp;"Low income",School_Data,51,FALSE)),"",(VLOOKUP(School_Code&amp;"Low income",School_Data,51,FALSE)))</f>
        <v>--</v>
      </c>
      <c r="G54" s="162" t="str">
        <f>IF(ISERROR(VLOOKUP(School_Code&amp;"Low income",School_Data,52,FALSE)),"",(VLOOKUP(School_Code&amp;"Low income",School_Data,52,FALSE)))</f>
        <v>--</v>
      </c>
      <c r="H54" s="133" t="str">
        <f>IF(ISERROR(VLOOKUP(School_Code&amp;"Low income",School_Data,53,FALSE)),"",(VLOOKUP(School_Code&amp;"Low income",School_Data,53,FALSE)))</f>
        <v>--</v>
      </c>
      <c r="I54" s="133"/>
      <c r="J54" s="133" t="str">
        <f>IF(ISERROR(VLOOKUP(School_Code&amp;"Low income",School_Data,54,FALSE)),"",(VLOOKUP(School_Code&amp;"Low income",School_Data,54,FALSE)))</f>
        <v>--</v>
      </c>
      <c r="K54" s="133" t="str">
        <f>IF(ISERROR(VLOOKUP(School_Code&amp;"Low income",School_Data,55,FALSE)),"",(VLOOKUP(School_Code&amp;"Low income",School_Data,55,FALSE)))</f>
        <v>--</v>
      </c>
      <c r="L54" s="49" t="str">
        <f>IF(ISERROR(VLOOKUP(School_Code&amp;"Low income",School_Data,56,FALSE)),"",(VLOOKUP(School_Code&amp;"Low income",School_Data,56,FALSE)))</f>
        <v>--</v>
      </c>
      <c r="M54" s="173"/>
    </row>
    <row r="55" spans="1:13" s="6" customFormat="1" ht="14.45" hidden="1" customHeight="1">
      <c r="B55" s="17" t="s">
        <v>27</v>
      </c>
      <c r="C55" s="161" t="str">
        <f>IF(ISERROR(VLOOKUP(School_Code&amp;"ELL and Former ELL",School_Data,48,FALSE)),"",(VLOOKUP(School_Code&amp;"ELL and Former ELL",School_Data,48,FALSE)))</f>
        <v>--</v>
      </c>
      <c r="D55" s="162" t="str">
        <f>IF(ISERROR(VLOOKUP(School_Code&amp;"ELL and Former ELL",School_Data,49,FALSE)),"",(VLOOKUP(School_Code&amp;"ELL and Former ELL",School_Data,49,FALSE)))</f>
        <v>--</v>
      </c>
      <c r="E55" s="162" t="str">
        <f>IF(ISERROR(VLOOKUP(School_Code&amp;"ELL and Former ELL",School_Data,50,FALSE)),"",(VLOOKUP(School_Code&amp;"ELL and Former ELL",School_Data,50,FALSE)))</f>
        <v>--</v>
      </c>
      <c r="F55" s="133" t="str">
        <f>IF(ISERROR(VLOOKUP(School_Code&amp;"ELL and Former ELL",School_Data,51,FALSE)),"",(VLOOKUP(School_Code&amp;"ELL and Former ELL",School_Data,51,FALSE)))</f>
        <v>--</v>
      </c>
      <c r="G55" s="162" t="str">
        <f>IF(ISERROR(VLOOKUP(School_Code&amp;"ELL and Former ELL",School_Data,52,FALSE)),"",(VLOOKUP(School_Code&amp;"ELL and Former ELL",School_Data,52,FALSE)))</f>
        <v>--</v>
      </c>
      <c r="H55" s="133" t="str">
        <f>IF(ISERROR(VLOOKUP(School_Code&amp;"ELL and Former ELL",School_Data,53,FALSE)),"",(VLOOKUP(School_Code&amp;"ELL and Former ELL",School_Data,53,FALSE)))</f>
        <v>--</v>
      </c>
      <c r="I55" s="133"/>
      <c r="J55" s="133" t="str">
        <f>IF(ISERROR(VLOOKUP(School_Code&amp;"ELL and Former ELL",School_Data,54,FALSE)),"",(VLOOKUP(School_Code&amp;"ELL and Former ELL",School_Data,54,FALSE)))</f>
        <v>--</v>
      </c>
      <c r="K55" s="133" t="str">
        <f>IF(ISERROR(VLOOKUP(School_Code&amp;"ELL and Former ELL",School_Data,55,FALSE)),"",(VLOOKUP(School_Code&amp;"ELL and Former ELL",School_Data,55,FALSE)))</f>
        <v>--</v>
      </c>
      <c r="L55" s="49" t="str">
        <f>IF(ISERROR(VLOOKUP(School_Code&amp;"ELL and Former ELL",School_Data,56,FALSE)),"",(VLOOKUP(School_Code&amp;"ELL and Former ELL",School_Data,56,FALSE)))</f>
        <v>--</v>
      </c>
      <c r="M55" s="173"/>
    </row>
    <row r="56" spans="1:13" s="6" customFormat="1" ht="14.45" hidden="1" customHeight="1">
      <c r="B56" s="17" t="s">
        <v>28</v>
      </c>
      <c r="C56" s="161" t="str">
        <f>IF(ISERROR(VLOOKUP(School_Code&amp;"Students w/disabilities",School_Data,48,FALSE)),"",(VLOOKUP(School_Code&amp;"Students w/disabilities",School_Data,48,FALSE)))</f>
        <v>--</v>
      </c>
      <c r="D56" s="162" t="str">
        <f>IF(ISERROR(VLOOKUP(School_Code&amp;"Students w/disabilities",School_Data,49,FALSE)),"",(VLOOKUP(School_Code&amp;"Students w/disabilities",School_Data,49,FALSE)))</f>
        <v>--</v>
      </c>
      <c r="E56" s="162" t="str">
        <f>IF(ISERROR(VLOOKUP(School_Code&amp;"Students w/disabilities",School_Data,50,FALSE)),"",(VLOOKUP(School_Code&amp;"Students w/disabilities",School_Data,50,FALSE)))</f>
        <v>--</v>
      </c>
      <c r="F56" s="133" t="str">
        <f>IF(ISERROR(VLOOKUP(School_Code&amp;"Students w/disabilities",School_Data,51,FALSE)),"",(VLOOKUP(School_Code&amp;"Students w/disabilities",School_Data,51,FALSE)))</f>
        <v>--</v>
      </c>
      <c r="G56" s="162" t="str">
        <f>IF(ISERROR(VLOOKUP(School_Code&amp;"Students w/disabilities",School_Data,52,FALSE)),"",(VLOOKUP(School_Code&amp;"Students w/disabilities",School_Data,52,FALSE)))</f>
        <v>--</v>
      </c>
      <c r="H56" s="133" t="str">
        <f>IF(ISERROR(VLOOKUP(School_Code&amp;"Students w/disabilities",School_Data,53,FALSE)),"",(VLOOKUP(School_Code&amp;"Students w/disabilities",School_Data,53,FALSE)))</f>
        <v>--</v>
      </c>
      <c r="I56" s="133"/>
      <c r="J56" s="133" t="str">
        <f>IF(ISERROR(VLOOKUP(School_Code&amp;"Students w/disabilities",School_Data,54,FALSE)),"",(VLOOKUP(School_Code&amp;"Students w/disabilities",School_Data,54,FALSE)))</f>
        <v>--</v>
      </c>
      <c r="K56" s="133" t="str">
        <f>IF(ISERROR(VLOOKUP(School_Code&amp;"Students w/disabilities",School_Data,55,FALSE)),"",(VLOOKUP(School_Code&amp;"Students w/disabilities",School_Data,55,FALSE)))</f>
        <v>--</v>
      </c>
      <c r="L56" s="49" t="str">
        <f>IF(ISERROR(VLOOKUP(School_Code&amp;"Students w/disabilities",School_Data,56,FALSE)),"",(VLOOKUP(School_Code&amp;"Students w/disabilities",School_Data,56,FALSE)))</f>
        <v>--</v>
      </c>
      <c r="M56" s="173"/>
    </row>
    <row r="57" spans="1:13" s="6" customFormat="1" ht="14.45" hidden="1" customHeight="1">
      <c r="B57" s="17" t="s">
        <v>29</v>
      </c>
      <c r="C57" s="161" t="str">
        <f>IF(ISERROR(VLOOKUP(School_Code&amp;"Amer. Ind. or Alaska Nat.",School_Data,48,FALSE)),"",(VLOOKUP(School_Code&amp;"Amer. Ind. or Alaska Nat.",School_Data,48,FALSE)))</f>
        <v>--</v>
      </c>
      <c r="D57" s="162" t="str">
        <f>IF(ISERROR(VLOOKUP(School_Code&amp;"Amer. Ind. or Alaska Nat.",School_Data,49,FALSE)),"",(VLOOKUP(School_Code&amp;"Amer. Ind. or Alaska Nat.",School_Data,49,FALSE)))</f>
        <v>--</v>
      </c>
      <c r="E57" s="162" t="str">
        <f>IF(ISERROR(VLOOKUP(School_Code&amp;"Amer. Ind. or Alaska Nat.",School_Data,50,FALSE)),"",(VLOOKUP(School_Code&amp;"Amer. Ind. or Alaska Nat.",School_Data,50,FALSE)))</f>
        <v>--</v>
      </c>
      <c r="F57" s="133" t="str">
        <f>IF(ISERROR(VLOOKUP(School_Code&amp;"Amer. Ind. or Alaska Nat.",School_Data,51,FALSE)),"",(VLOOKUP(School_Code&amp;"Amer. Ind. or Alaska Nat.",School_Data,51,FALSE)))</f>
        <v>--</v>
      </c>
      <c r="G57" s="162" t="str">
        <f>IF(ISERROR(VLOOKUP(School_Code&amp;"Amer. Ind. or Alaska Nat.",School_Data,52,FALSE)),"",(VLOOKUP(School_Code&amp;"Amer. Ind. or Alaska Nat.",School_Data,52,FALSE)))</f>
        <v>--</v>
      </c>
      <c r="H57" s="133" t="str">
        <f>IF(ISERROR(VLOOKUP(School_Code&amp;"Amer. Ind. or Alaska Nat.",School_Data,53,FALSE)),"",(VLOOKUP(School_Code&amp;"Amer. Ind. or Alaska Nat.",School_Data,53,FALSE)))</f>
        <v>--</v>
      </c>
      <c r="I57" s="133"/>
      <c r="J57" s="133" t="str">
        <f>IF(ISERROR(VLOOKUP(School_Code&amp;"Amer. Ind. or Alaska Nat.",School_Data,54,FALSE)),"",(VLOOKUP(School_Code&amp;"Amer. Ind. or Alaska Nat.",School_Data,54,FALSE)))</f>
        <v>--</v>
      </c>
      <c r="K57" s="133" t="str">
        <f>IF(ISERROR(VLOOKUP(School_Code&amp;"Amer. Ind. or Alaska Nat.",School_Data,55,FALSE)),"",(VLOOKUP(School_Code&amp;"Amer. Ind. or Alaska Nat.",School_Data,55,FALSE)))</f>
        <v>--</v>
      </c>
      <c r="L57" s="49" t="str">
        <f>IF(ISERROR(VLOOKUP(School_Code&amp;"Amer. Ind. or Alaska Nat.",School_Data,56,FALSE)),"",(VLOOKUP(School_Code&amp;"Amer. Ind. or Alaska Nat.",School_Data,56,FALSE)))</f>
        <v>--</v>
      </c>
      <c r="M57" s="173"/>
    </row>
    <row r="58" spans="1:13" s="6" customFormat="1" ht="14.45" hidden="1" customHeight="1">
      <c r="B58" s="17" t="s">
        <v>30</v>
      </c>
      <c r="C58" s="161" t="str">
        <f>IF(ISERROR(VLOOKUP(School_Code&amp;"Asian",School_Data,48,FALSE)),"",(VLOOKUP(School_Code&amp;"Asian",School_Data,48,FALSE)))</f>
        <v>--</v>
      </c>
      <c r="D58" s="162" t="str">
        <f>IF(ISERROR(VLOOKUP(School_Code&amp;"Asian",School_Data,49,FALSE)),"",(VLOOKUP(School_Code&amp;"Asian",School_Data,49,FALSE)))</f>
        <v>--</v>
      </c>
      <c r="E58" s="162" t="str">
        <f>IF(ISERROR(VLOOKUP(School_Code&amp;"Asian",School_Data,50,FALSE)),"",(VLOOKUP(School_Code&amp;"Asian",School_Data,50,FALSE)))</f>
        <v>--</v>
      </c>
      <c r="F58" s="133" t="str">
        <f>IF(ISERROR(VLOOKUP(School_Code&amp;"Asian",School_Data,51,FALSE)),"",(VLOOKUP(School_Code&amp;"Asian",School_Data,51,FALSE)))</f>
        <v>--</v>
      </c>
      <c r="G58" s="162" t="str">
        <f>IF(ISERROR(VLOOKUP(School_Code&amp;"Asian",School_Data,52,FALSE)),"",(VLOOKUP(School_Code&amp;"Asian",School_Data,52,FALSE)))</f>
        <v>--</v>
      </c>
      <c r="H58" s="133" t="str">
        <f>IF(ISERROR(VLOOKUP(School_Code&amp;"Asian",School_Data,53,FALSE)),"",(VLOOKUP(School_Code&amp;"Asian",School_Data,53,FALSE)))</f>
        <v>--</v>
      </c>
      <c r="I58" s="133"/>
      <c r="J58" s="133" t="str">
        <f>IF(ISERROR(VLOOKUP(School_Code&amp;"Asian",School_Data,54,FALSE)),"",(VLOOKUP(School_Code&amp;"Asian",School_Data,54,FALSE)))</f>
        <v>--</v>
      </c>
      <c r="K58" s="133" t="str">
        <f>IF(ISERROR(VLOOKUP(School_Code&amp;"Asian",School_Data,55,FALSE)),"",(VLOOKUP(School_Code&amp;"Asian",School_Data,55,FALSE)))</f>
        <v>--</v>
      </c>
      <c r="L58" s="49" t="str">
        <f>IF(ISERROR(VLOOKUP(School_Code&amp;"Asian",School_Data,56,FALSE)),"",(VLOOKUP(School_Code&amp;"Asian",School_Data,56,FALSE)))</f>
        <v>--</v>
      </c>
      <c r="M58" s="173"/>
    </row>
    <row r="59" spans="1:13" s="6" customFormat="1" ht="14.45" hidden="1" customHeight="1">
      <c r="B59" s="17" t="s">
        <v>31</v>
      </c>
      <c r="C59" s="161" t="str">
        <f>IF(ISERROR(VLOOKUP(School_Code&amp;"Afr. Amer/Black",School_Data,48,FALSE)),"",(VLOOKUP(School_Code&amp;"Afr. Amer/Black",School_Data,48,FALSE)))</f>
        <v>--</v>
      </c>
      <c r="D59" s="162" t="str">
        <f>IF(ISERROR(VLOOKUP(School_Code&amp;"Afr. Amer/Black",School_Data,49,FALSE)),"",(VLOOKUP(School_Code&amp;"Afr. Amer/Black",School_Data,49,FALSE)))</f>
        <v>--</v>
      </c>
      <c r="E59" s="162" t="str">
        <f>IF(ISERROR(VLOOKUP(School_Code&amp;"Afr. Amer/Black",School_Data,50,FALSE)),"",(VLOOKUP(School_Code&amp;"Afr. Amer/Black",School_Data,50,FALSE)))</f>
        <v>--</v>
      </c>
      <c r="F59" s="133" t="str">
        <f>IF(ISERROR(VLOOKUP(School_Code&amp;"Afr. Amer/Black",School_Data,51,FALSE)),"",(VLOOKUP(School_Code&amp;"Afr. Amer/Black",School_Data,51,FALSE)))</f>
        <v>--</v>
      </c>
      <c r="G59" s="162" t="str">
        <f>IF(ISERROR(VLOOKUP(School_Code&amp;"Afr. Amer/Black",School_Data,52,FALSE)),"",(VLOOKUP(School_Code&amp;"Afr. Amer/Black",School_Data,52,FALSE)))</f>
        <v>--</v>
      </c>
      <c r="H59" s="133" t="str">
        <f>IF(ISERROR(VLOOKUP(School_Code&amp;"Afr. Amer/Black",School_Data,53,FALSE)),"",(VLOOKUP(School_Code&amp;"Afr. Amer/Black",School_Data,53,FALSE)))</f>
        <v>--</v>
      </c>
      <c r="I59" s="133"/>
      <c r="J59" s="133" t="str">
        <f>IF(ISERROR(VLOOKUP(School_Code&amp;"Afr. Amer/Black",School_Data,54,FALSE)),"",(VLOOKUP(School_Code&amp;"Afr. Amer/Black",School_Data,54,FALSE)))</f>
        <v>--</v>
      </c>
      <c r="K59" s="133" t="str">
        <f>IF(ISERROR(VLOOKUP(School_Code&amp;"Afr. Amer/Black",School_Data,55,FALSE)),"",(VLOOKUP(School_Code&amp;"Afr. Amer/Black",School_Data,55,FALSE)))</f>
        <v>--</v>
      </c>
      <c r="L59" s="49" t="str">
        <f>IF(ISERROR(VLOOKUP(School_Code&amp;"Afr. Amer/Black",School_Data,56,FALSE)),"",(VLOOKUP(School_Code&amp;"Afr. Amer/Black",School_Data,56,FALSE)))</f>
        <v>--</v>
      </c>
      <c r="M59" s="173"/>
    </row>
    <row r="60" spans="1:13" s="6" customFormat="1" ht="14.45" hidden="1" customHeight="1">
      <c r="B60" s="17" t="s">
        <v>32</v>
      </c>
      <c r="C60" s="161" t="str">
        <f>IF(ISERROR(VLOOKUP(School_Code&amp;"Hispanic/Latino",School_Data,48,FALSE)),"",(VLOOKUP(School_Code&amp;"Hispanic/Latino",School_Data,48,FALSE)))</f>
        <v>--</v>
      </c>
      <c r="D60" s="162" t="str">
        <f>IF(ISERROR(VLOOKUP(School_Code&amp;"Hispanic/Latino",School_Data,49,FALSE)),"",(VLOOKUP(School_Code&amp;"Hispanic/Latino",School_Data,49,FALSE)))</f>
        <v>--</v>
      </c>
      <c r="E60" s="162" t="str">
        <f>IF(ISERROR(VLOOKUP(School_Code&amp;"Hispanic/Latino",School_Data,50,FALSE)),"",(VLOOKUP(School_Code&amp;"Hispanic/Latino",School_Data,50,FALSE)))</f>
        <v>--</v>
      </c>
      <c r="F60" s="133" t="str">
        <f>IF(ISERROR(VLOOKUP(School_Code&amp;"Hispanic/Latino",School_Data,51,FALSE)),"",(VLOOKUP(School_Code&amp;"Hispanic/Latino",School_Data,51,FALSE)))</f>
        <v>--</v>
      </c>
      <c r="G60" s="162" t="str">
        <f>IF(ISERROR(VLOOKUP(School_Code&amp;"Hispanic/Latino",School_Data,52,FALSE)),"",(VLOOKUP(School_Code&amp;"Hispanic/Latino",School_Data,52,FALSE)))</f>
        <v>--</v>
      </c>
      <c r="H60" s="133" t="str">
        <f>IF(ISERROR(VLOOKUP(School_Code&amp;"Hispanic/Latino",School_Data,53,FALSE)),"",(VLOOKUP(School_Code&amp;"Hispanic/Latino",School_Data,53,FALSE)))</f>
        <v>--</v>
      </c>
      <c r="I60" s="133"/>
      <c r="J60" s="133" t="str">
        <f>IF(ISERROR(VLOOKUP(School_Code&amp;"Hispanic/Latino",School_Data,54,FALSE)),"",(VLOOKUP(School_Code&amp;"Hispanic/Latino",School_Data,54,FALSE)))</f>
        <v>--</v>
      </c>
      <c r="K60" s="133" t="str">
        <f>IF(ISERROR(VLOOKUP(School_Code&amp;"Hispanic/Latino",School_Data,55,FALSE)),"",(VLOOKUP(School_Code&amp;"Hispanic/Latino",School_Data,55,FALSE)))</f>
        <v>--</v>
      </c>
      <c r="L60" s="49" t="str">
        <f>IF(ISERROR(VLOOKUP(School_Code&amp;"Hispanic/Latino",School_Data,56,FALSE)),"",(VLOOKUP(School_Code&amp;"Hispanic/Latino",School_Data,56,FALSE)))</f>
        <v>--</v>
      </c>
      <c r="M60" s="173"/>
    </row>
    <row r="61" spans="1:13" s="6" customFormat="1" ht="14.45" hidden="1" customHeight="1">
      <c r="B61" s="17" t="s">
        <v>33</v>
      </c>
      <c r="C61" s="161" t="str">
        <f>IF(ISERROR(VLOOKUP(School_Code&amp;"Multi-race, Non-Hisp./Lat.",School_Data,48,FALSE)),"",(VLOOKUP(School_Code&amp;"Multi-race, Non-Hisp./Lat.",School_Data,48,FALSE)))</f>
        <v>--</v>
      </c>
      <c r="D61" s="162" t="str">
        <f>IF(ISERROR(VLOOKUP(School_Code&amp;"Multi-race, Non-Hisp./Lat.",School_Data,49,FALSE)),"",(VLOOKUP(School_Code&amp;"Multi-race, Non-Hisp./Lat.",School_Data,49,FALSE)))</f>
        <v>--</v>
      </c>
      <c r="E61" s="162" t="str">
        <f>IF(ISERROR(VLOOKUP(School_Code&amp;"Multi-race, Non-Hisp./Lat.",School_Data,50,FALSE)),"",(VLOOKUP(School_Code&amp;"Multi-race, Non-Hisp./Lat.",School_Data,50,FALSE)))</f>
        <v>--</v>
      </c>
      <c r="F61" s="133" t="str">
        <f>IF(ISERROR(VLOOKUP(School_Code&amp;"Multi-race, Non-Hisp./Lat.",School_Data,51,FALSE)),"",(VLOOKUP(School_Code&amp;"Multi-race, Non-Hisp./Lat.",School_Data,51,FALSE)))</f>
        <v>--</v>
      </c>
      <c r="G61" s="162" t="str">
        <f>IF(ISERROR(VLOOKUP(School_Code&amp;"Multi-race, Non-Hisp./Lat.",School_Data,52,FALSE)),"",(VLOOKUP(School_Code&amp;"Multi-race, Non-Hisp./Lat.",School_Data,52,FALSE)))</f>
        <v>--</v>
      </c>
      <c r="H61" s="133" t="str">
        <f>IF(ISERROR(VLOOKUP(School_Code&amp;"Multi-race, Non-Hisp./Lat.",School_Data,53,FALSE)),"",(VLOOKUP(School_Code&amp;"Multi-race, Non-Hisp./Lat.",School_Data,53,FALSE)))</f>
        <v>--</v>
      </c>
      <c r="I61" s="133"/>
      <c r="J61" s="133" t="str">
        <f>IF(ISERROR(VLOOKUP(School_Code&amp;"Multi-race, Non-Hisp./Lat.",School_Data,54,FALSE)),"",(VLOOKUP(School_Code&amp;"Multi-race, Non-Hisp./Lat.",School_Data,54,FALSE)))</f>
        <v>--</v>
      </c>
      <c r="K61" s="133" t="str">
        <f>IF(ISERROR(VLOOKUP(School_Code&amp;"Multi-race, Non-Hisp./Lat.",School_Data,55,FALSE)),"",(VLOOKUP(School_Code&amp;"Multi-race, Non-Hisp./Lat.",School_Data,55,FALSE)))</f>
        <v>--</v>
      </c>
      <c r="L61" s="49" t="str">
        <f>IF(ISERROR(VLOOKUP(School_Code&amp;"Multi-race, Non-Hisp./Lat.",School_Data,56,FALSE)),"",(VLOOKUP(School_Code&amp;"Multi-race, Non-Hisp./Lat.",School_Data,56,FALSE)))</f>
        <v>--</v>
      </c>
      <c r="M61" s="173"/>
    </row>
    <row r="62" spans="1:13" s="6" customFormat="1" ht="14.45" hidden="1" customHeight="1">
      <c r="B62" s="17" t="s">
        <v>34</v>
      </c>
      <c r="C62" s="161" t="str">
        <f>IF(ISERROR(VLOOKUP(School_Code&amp;"Nat. Haw. or Pacif. Isl.",School_Data,48,FALSE)),"",(VLOOKUP(School_Code&amp;"Nat. Haw. or Pacif. Isl.",School_Data,48,FALSE)))</f>
        <v>--</v>
      </c>
      <c r="D62" s="162" t="str">
        <f>IF(ISERROR(VLOOKUP(School_Code&amp;"Nat. Haw. or Pacif. Isl.",School_Data,49,FALSE)),"",(VLOOKUP(School_Code&amp;"Nat. Haw. or Pacif. Isl.",School_Data,49,FALSE)))</f>
        <v>--</v>
      </c>
      <c r="E62" s="162" t="str">
        <f>IF(ISERROR(VLOOKUP(School_Code&amp;"Nat. Haw. or Pacif. Isl.",School_Data,50,FALSE)),"",(VLOOKUP(School_Code&amp;"Nat. Haw. or Pacif. Isl.",School_Data,50,FALSE)))</f>
        <v>--</v>
      </c>
      <c r="F62" s="133" t="str">
        <f>IF(ISERROR(VLOOKUP(School_Code&amp;"Nat. Haw. or Pacif. Isl.",School_Data,51,FALSE)),"",(VLOOKUP(School_Code&amp;"Nat. Haw. or Pacif. Isl.",School_Data,51,FALSE)))</f>
        <v>--</v>
      </c>
      <c r="G62" s="162" t="str">
        <f>IF(ISERROR(VLOOKUP(School_Code&amp;"Nat. Haw. or Pacif. Isl.",School_Data,52,FALSE)),"",(VLOOKUP(School_Code&amp;"Nat. Haw. or Pacif. Isl.",School_Data,52,FALSE)))</f>
        <v>--</v>
      </c>
      <c r="H62" s="133" t="str">
        <f>IF(ISERROR(VLOOKUP(School_Code&amp;"Nat. Haw. or Pacif. Isl.",School_Data,53,FALSE)),"",(VLOOKUP(School_Code&amp;"Nat. Haw. or Pacif. Isl.",School_Data,53,FALSE)))</f>
        <v>--</v>
      </c>
      <c r="I62" s="133"/>
      <c r="J62" s="133" t="str">
        <f>IF(ISERROR(VLOOKUP(School_Code&amp;"Nat. Haw. or Pacif. Isl.",School_Data,54,FALSE)),"",(VLOOKUP(School_Code&amp;"Nat. Haw. or Pacif. Isl.",School_Data,54,FALSE)))</f>
        <v>--</v>
      </c>
      <c r="K62" s="133" t="str">
        <f>IF(ISERROR(VLOOKUP(School_Code&amp;"Nat. Haw. or Pacif. Isl.",School_Data,55,FALSE)),"",(VLOOKUP(School_Code&amp;"Nat. Haw. or Pacif. Isl.",School_Data,55,FALSE)))</f>
        <v>--</v>
      </c>
      <c r="L62" s="49" t="str">
        <f>IF(ISERROR(VLOOKUP(School_Code&amp;"Nat. Haw. or Pacif. Isl.",School_Data,56,FALSE)),"",(VLOOKUP(School_Code&amp;"Nat. Haw. or Pacif. Isl.",School_Data,56,FALSE)))</f>
        <v>--</v>
      </c>
      <c r="M62" s="173"/>
    </row>
    <row r="63" spans="1:13" s="6" customFormat="1" ht="14.45" hidden="1" customHeight="1">
      <c r="B63" s="22" t="s">
        <v>35</v>
      </c>
      <c r="C63" s="165" t="str">
        <f>IF(ISERROR(VLOOKUP(School_Code&amp;"White",School_Data,48,FALSE)),"",(VLOOKUP(School_Code&amp;"White",School_Data,48,FALSE)))</f>
        <v>--</v>
      </c>
      <c r="D63" s="166" t="str">
        <f>IF(ISERROR(VLOOKUP(School_Code&amp;"White",School_Data,49,FALSE)),"",(VLOOKUP(School_Code&amp;"White",School_Data,49,FALSE)))</f>
        <v>--</v>
      </c>
      <c r="E63" s="166" t="str">
        <f>IF(ISERROR(VLOOKUP(School_Code&amp;"White",School_Data,50,FALSE)),"",(VLOOKUP(School_Code&amp;"White",School_Data,50,FALSE)))</f>
        <v>--</v>
      </c>
      <c r="F63" s="27" t="str">
        <f>IF(ISERROR(VLOOKUP(School_Code&amp;"White",School_Data,51,FALSE)),"",(VLOOKUP(School_Code&amp;"White",School_Data,51,FALSE)))</f>
        <v>--</v>
      </c>
      <c r="G63" s="166" t="str">
        <f>IF(ISERROR(VLOOKUP(School_Code&amp;"White",School_Data,52,FALSE)),"",(VLOOKUP(School_Code&amp;"White",School_Data,52,FALSE)))</f>
        <v>--</v>
      </c>
      <c r="H63" s="27" t="str">
        <f>IF(ISERROR(VLOOKUP(School_Code&amp;"White",School_Data,53,FALSE)),"",(VLOOKUP(School_Code&amp;"White",School_Data,53,FALSE)))</f>
        <v>--</v>
      </c>
      <c r="I63" s="27"/>
      <c r="J63" s="27" t="str">
        <f>IF(ISERROR(VLOOKUP(School_Code&amp;"White",School_Data,54,FALSE)),"",(VLOOKUP(School_Code&amp;"White",School_Data,54,FALSE)))</f>
        <v>--</v>
      </c>
      <c r="K63" s="27" t="str">
        <f>IF(ISERROR(VLOOKUP(School_Code&amp;"White",School_Data,55,FALSE)),"",(VLOOKUP(School_Code&amp;"White",School_Data,55,FALSE)))</f>
        <v>--</v>
      </c>
      <c r="L63" s="50" t="str">
        <f>IF(ISERROR(VLOOKUP(School_Code&amp;"White",School_Data,56,FALSE)),"",(VLOOKUP(School_Code&amp;"White",School_Data,56,FALSE)))</f>
        <v>--</v>
      </c>
      <c r="M63" s="129"/>
    </row>
    <row r="64" spans="1:13" s="6" customFormat="1" ht="14.45" hidden="1" customHeight="1">
      <c r="B64" s="269" t="s">
        <v>40</v>
      </c>
      <c r="C64" s="270"/>
      <c r="D64" s="270"/>
      <c r="E64" s="270"/>
      <c r="F64" s="270"/>
      <c r="G64" s="270"/>
      <c r="H64" s="270"/>
      <c r="I64" s="270"/>
      <c r="J64" s="270"/>
      <c r="K64" s="270"/>
      <c r="L64" s="270"/>
      <c r="M64" s="271"/>
    </row>
    <row r="65" spans="2:13" s="6" customFormat="1" ht="14.45" hidden="1" customHeight="1">
      <c r="B65" s="53"/>
      <c r="C65" s="167"/>
      <c r="D65" s="168"/>
      <c r="E65" s="168"/>
      <c r="F65" s="168"/>
      <c r="G65" s="168"/>
      <c r="H65" s="54"/>
      <c r="I65" s="54"/>
      <c r="J65" s="54"/>
      <c r="K65" s="54"/>
      <c r="L65" s="55"/>
      <c r="M65" s="266"/>
    </row>
    <row r="66" spans="2:13" s="6" customFormat="1" ht="14.45" hidden="1" customHeight="1">
      <c r="B66" s="33"/>
      <c r="C66" s="169"/>
      <c r="D66" s="170"/>
      <c r="E66" s="170"/>
      <c r="F66" s="170"/>
      <c r="G66" s="170"/>
      <c r="H66" s="10"/>
      <c r="I66" s="10"/>
      <c r="J66" s="10"/>
      <c r="K66" s="10"/>
      <c r="L66" s="51"/>
      <c r="M66" s="267"/>
    </row>
    <row r="67" spans="2:13" ht="14.45" hidden="1" customHeight="1">
      <c r="B67" s="34"/>
      <c r="C67" s="171"/>
      <c r="D67" s="172"/>
      <c r="E67" s="172"/>
      <c r="F67" s="172"/>
      <c r="G67" s="172"/>
      <c r="H67" s="35"/>
      <c r="I67" s="35"/>
      <c r="J67" s="35"/>
      <c r="K67" s="35"/>
      <c r="L67" s="52"/>
      <c r="M67" s="268"/>
    </row>
    <row r="68" spans="2:13" ht="15">
      <c r="M68"/>
    </row>
    <row r="69" spans="2:13" ht="15">
      <c r="M69"/>
    </row>
    <row r="70" spans="2:13" ht="15">
      <c r="M70"/>
    </row>
    <row r="71" spans="2:13" ht="15">
      <c r="M71"/>
    </row>
    <row r="72" spans="2:13" ht="15">
      <c r="M72"/>
    </row>
    <row r="73" spans="2:13" ht="15">
      <c r="M73"/>
    </row>
    <row r="74" spans="2:13" ht="15">
      <c r="M74"/>
    </row>
    <row r="75" spans="2:13" ht="15">
      <c r="M75"/>
    </row>
    <row r="76" spans="2:13" ht="15">
      <c r="M76"/>
    </row>
    <row r="77" spans="2:13" ht="15">
      <c r="M77"/>
    </row>
    <row r="78" spans="2:13" ht="15">
      <c r="M78"/>
    </row>
    <row r="79" spans="2:13" ht="15">
      <c r="M79"/>
    </row>
    <row r="80" spans="2:13" ht="15">
      <c r="M80"/>
    </row>
    <row r="81" spans="13:13" ht="15">
      <c r="M81"/>
    </row>
    <row r="82" spans="13:13" ht="15">
      <c r="M82"/>
    </row>
    <row r="83" spans="13:13" ht="15">
      <c r="M83"/>
    </row>
    <row r="84" spans="13:13" ht="15">
      <c r="M84"/>
    </row>
    <row r="85" spans="13:13" ht="15">
      <c r="M85"/>
    </row>
    <row r="86" spans="13:13" ht="15">
      <c r="M86"/>
    </row>
    <row r="87" spans="13:13" ht="15">
      <c r="M87"/>
    </row>
    <row r="88" spans="13:13" ht="15">
      <c r="M88"/>
    </row>
    <row r="89" spans="13:13" ht="15">
      <c r="M89"/>
    </row>
    <row r="90" spans="13:13" ht="15">
      <c r="M90"/>
    </row>
    <row r="91" spans="13:13" ht="15">
      <c r="M91"/>
    </row>
    <row r="92" spans="13:13" ht="15">
      <c r="M92"/>
    </row>
    <row r="93" spans="13:13" ht="15">
      <c r="M93"/>
    </row>
    <row r="94" spans="13:13" ht="15">
      <c r="M94"/>
    </row>
    <row r="95" spans="13:13" ht="15">
      <c r="M95"/>
    </row>
    <row r="96" spans="13:13" ht="15">
      <c r="M96"/>
    </row>
    <row r="97" spans="13:13" ht="15">
      <c r="M97"/>
    </row>
    <row r="98" spans="13:13" ht="15">
      <c r="M98"/>
    </row>
    <row r="99" spans="13:13" ht="15">
      <c r="M99"/>
    </row>
    <row r="100" spans="13:13" ht="15">
      <c r="M100"/>
    </row>
    <row r="101" spans="13:13" ht="15">
      <c r="M101"/>
    </row>
    <row r="102" spans="13:13" ht="15">
      <c r="M102"/>
    </row>
    <row r="103" spans="13:13" ht="15">
      <c r="M103"/>
    </row>
    <row r="104" spans="13:13" ht="15">
      <c r="M104"/>
    </row>
    <row r="105" spans="13:13" ht="15">
      <c r="M105"/>
    </row>
    <row r="106" spans="13:13" ht="15">
      <c r="M106"/>
    </row>
    <row r="107" spans="13:13" ht="15">
      <c r="M107"/>
    </row>
    <row r="108" spans="13:13" ht="15">
      <c r="M108"/>
    </row>
    <row r="109" spans="13:13" ht="15">
      <c r="M109"/>
    </row>
    <row r="110" spans="13:13" ht="15">
      <c r="M110"/>
    </row>
    <row r="111" spans="13:13" ht="15">
      <c r="M111"/>
    </row>
    <row r="112" spans="13:13" ht="15">
      <c r="M112"/>
    </row>
    <row r="113" spans="13:13" ht="15">
      <c r="M113"/>
    </row>
    <row r="114" spans="13:13" ht="15">
      <c r="M114"/>
    </row>
    <row r="115" spans="13:13" ht="15">
      <c r="M115"/>
    </row>
    <row r="116" spans="13:13" ht="15">
      <c r="M116"/>
    </row>
    <row r="117" spans="13:13" ht="15">
      <c r="M117"/>
    </row>
    <row r="118" spans="13:13" ht="15">
      <c r="M118"/>
    </row>
    <row r="119" spans="13:13" ht="15">
      <c r="M119"/>
    </row>
    <row r="120" spans="13:13" ht="15">
      <c r="M120"/>
    </row>
    <row r="121" spans="13:13" ht="15">
      <c r="M121"/>
    </row>
    <row r="122" spans="13:13" ht="15">
      <c r="M122"/>
    </row>
    <row r="123" spans="13:13" ht="15">
      <c r="M123"/>
    </row>
    <row r="124" spans="13:13" ht="15">
      <c r="M124"/>
    </row>
    <row r="125" spans="13:13" ht="15">
      <c r="M125"/>
    </row>
    <row r="126" spans="13:13" ht="15">
      <c r="M126"/>
    </row>
    <row r="127" spans="13:13" ht="15">
      <c r="M127"/>
    </row>
    <row r="128" spans="13:13" ht="15">
      <c r="M128"/>
    </row>
    <row r="129" spans="13:13" ht="15">
      <c r="M129"/>
    </row>
    <row r="130" spans="13:13" ht="15">
      <c r="M130"/>
    </row>
    <row r="131" spans="13:13" ht="15">
      <c r="M131"/>
    </row>
    <row r="132" spans="13:13" ht="15">
      <c r="M132"/>
    </row>
    <row r="133" spans="13:13" ht="15">
      <c r="M133"/>
    </row>
    <row r="134" spans="13:13" ht="15">
      <c r="M134"/>
    </row>
    <row r="135" spans="13:13" ht="15">
      <c r="M135"/>
    </row>
    <row r="136" spans="13:13" ht="15">
      <c r="M136"/>
    </row>
    <row r="137" spans="13:13" ht="15">
      <c r="M137"/>
    </row>
    <row r="138" spans="13:13" ht="15">
      <c r="M138"/>
    </row>
    <row r="139" spans="13:13" ht="15">
      <c r="M139"/>
    </row>
    <row r="140" spans="13:13" ht="15">
      <c r="M140"/>
    </row>
    <row r="141" spans="13:13" ht="15">
      <c r="M141"/>
    </row>
    <row r="142" spans="13:13" ht="15">
      <c r="M142"/>
    </row>
    <row r="143" spans="13:13" ht="15">
      <c r="M143"/>
    </row>
    <row r="144" spans="13:13" ht="15">
      <c r="M144"/>
    </row>
    <row r="145" spans="13:13" ht="15">
      <c r="M145"/>
    </row>
    <row r="146" spans="13:13" ht="15">
      <c r="M146"/>
    </row>
    <row r="147" spans="13:13" ht="15">
      <c r="M147"/>
    </row>
    <row r="148" spans="13:13" ht="15">
      <c r="M148"/>
    </row>
    <row r="149" spans="13:13" ht="15">
      <c r="M149"/>
    </row>
    <row r="150" spans="13:13" ht="15">
      <c r="M150"/>
    </row>
    <row r="151" spans="13:13" ht="15">
      <c r="M151"/>
    </row>
    <row r="152" spans="13:13" ht="15">
      <c r="M152"/>
    </row>
    <row r="153" spans="13:13" ht="15">
      <c r="M153"/>
    </row>
    <row r="154" spans="13:13" ht="15">
      <c r="M154"/>
    </row>
    <row r="155" spans="13:13" ht="15">
      <c r="M155"/>
    </row>
    <row r="156" spans="13:13" ht="15">
      <c r="M156"/>
    </row>
    <row r="157" spans="13:13" ht="15">
      <c r="M157"/>
    </row>
    <row r="158" spans="13:13" ht="15">
      <c r="M158"/>
    </row>
    <row r="159" spans="13:13" ht="15">
      <c r="M159"/>
    </row>
    <row r="160" spans="13:13" ht="15">
      <c r="M160"/>
    </row>
    <row r="161" spans="13:13" ht="15">
      <c r="M161"/>
    </row>
    <row r="162" spans="13:13" ht="15">
      <c r="M162"/>
    </row>
    <row r="163" spans="13:13" ht="15">
      <c r="M163"/>
    </row>
    <row r="164" spans="13:13" ht="15">
      <c r="M164"/>
    </row>
    <row r="165" spans="13:13" ht="15">
      <c r="M165"/>
    </row>
    <row r="166" spans="13:13" ht="15">
      <c r="M166"/>
    </row>
    <row r="167" spans="13:13" ht="15">
      <c r="M167"/>
    </row>
    <row r="168" spans="13:13" ht="15">
      <c r="M168"/>
    </row>
    <row r="169" spans="13:13" ht="15">
      <c r="M169"/>
    </row>
    <row r="170" spans="13:13" ht="15">
      <c r="M170"/>
    </row>
    <row r="171" spans="13:13" ht="15">
      <c r="M171"/>
    </row>
    <row r="172" spans="13:13" ht="15">
      <c r="M172"/>
    </row>
    <row r="173" spans="13:13" ht="15">
      <c r="M173"/>
    </row>
    <row r="174" spans="13:13" ht="15">
      <c r="M174"/>
    </row>
    <row r="175" spans="13:13" ht="15">
      <c r="M175"/>
    </row>
    <row r="176" spans="13:13" ht="15">
      <c r="M176"/>
    </row>
    <row r="177" spans="13:13" ht="15">
      <c r="M177"/>
    </row>
    <row r="178" spans="13:13" ht="15">
      <c r="M178"/>
    </row>
    <row r="179" spans="13:13" ht="15">
      <c r="M179"/>
    </row>
    <row r="180" spans="13:13" ht="15">
      <c r="M180"/>
    </row>
    <row r="181" spans="13:13" ht="15">
      <c r="M181"/>
    </row>
    <row r="182" spans="13:13" ht="15">
      <c r="M182"/>
    </row>
    <row r="183" spans="13:13" ht="15">
      <c r="M183"/>
    </row>
    <row r="184" spans="13:13" ht="15">
      <c r="M184"/>
    </row>
    <row r="185" spans="13:13" ht="15">
      <c r="M185"/>
    </row>
    <row r="186" spans="13:13" ht="15">
      <c r="M186"/>
    </row>
    <row r="187" spans="13:13" ht="15">
      <c r="M187"/>
    </row>
    <row r="188" spans="13:13" ht="15">
      <c r="M188"/>
    </row>
  </sheetData>
  <sheetProtection password="CC18" sheet="1" objects="1" scenarios="1"/>
  <mergeCells count="14">
    <mergeCell ref="B5:M5"/>
    <mergeCell ref="M10:M11"/>
    <mergeCell ref="B9:M9"/>
    <mergeCell ref="B7:B8"/>
    <mergeCell ref="C7:L7"/>
    <mergeCell ref="M7:M8"/>
    <mergeCell ref="M21:M22"/>
    <mergeCell ref="M38:M50"/>
    <mergeCell ref="M65:M67"/>
    <mergeCell ref="M23:M35"/>
    <mergeCell ref="B17:M17"/>
    <mergeCell ref="B20:M20"/>
    <mergeCell ref="B37:M37"/>
    <mergeCell ref="B64:M64"/>
  </mergeCells>
  <hyperlinks>
    <hyperlink ref="B11" r:id="rId1"/>
    <hyperlink ref="B19" r:id="rId2"/>
    <hyperlink ref="B24" r:id="rId3"/>
    <hyperlink ref="B39" r:id="rId4"/>
    <hyperlink ref="B52" r:id="rId5"/>
    <hyperlink ref="B16" r:id="rId6"/>
    <hyperlink ref="B22" r:id="rId7"/>
  </hyperlinks>
  <printOptions horizontalCentered="1"/>
  <pageMargins left="0.25" right="0.2" top="0.25" bottom="0.25" header="0.05" footer="0.05"/>
  <pageSetup scale="71" orientation="landscape" r:id="rId8"/>
  <headerFooter>
    <oddFooter>&amp;R&amp;K000000&amp;P of &amp;N</oddFooter>
  </headerFooter>
</worksheet>
</file>

<file path=xl/worksheets/sheet3.xml><?xml version="1.0" encoding="utf-8"?>
<worksheet xmlns="http://schemas.openxmlformats.org/spreadsheetml/2006/main" xmlns:r="http://schemas.openxmlformats.org/officeDocument/2006/relationships">
  <dimension ref="B1:M157"/>
  <sheetViews>
    <sheetView zoomScaleNormal="100" workbookViewId="0">
      <pane ySplit="8" topLeftCell="A70" activePane="bottomLeft" state="frozen"/>
      <selection pane="bottomLeft" activeCell="H150" sqref="H150"/>
    </sheetView>
  </sheetViews>
  <sheetFormatPr defaultColWidth="9.140625" defaultRowHeight="12.75"/>
  <cols>
    <col min="1" max="1" width="2.7109375" style="3" customWidth="1"/>
    <col min="2" max="2" width="58.140625" style="3" customWidth="1"/>
    <col min="3" max="12" width="8.42578125" style="87" customWidth="1"/>
    <col min="13" max="13" width="37.140625" style="3" hidden="1" customWidth="1"/>
    <col min="14" max="16384" width="9.140625" style="3"/>
  </cols>
  <sheetData>
    <row r="1" spans="2:13" ht="15">
      <c r="B1" s="1" t="s">
        <v>267</v>
      </c>
      <c r="C1" s="251"/>
      <c r="D1" s="251"/>
      <c r="E1" s="251"/>
      <c r="F1" s="251"/>
      <c r="G1" s="251"/>
      <c r="H1" s="251"/>
      <c r="I1" s="251"/>
      <c r="J1" s="251"/>
      <c r="K1" s="251"/>
      <c r="L1" s="250" t="s">
        <v>268</v>
      </c>
    </row>
    <row r="2" spans="2:13" ht="15" customHeight="1">
      <c r="B2" s="294" t="s">
        <v>42</v>
      </c>
      <c r="C2" s="40"/>
      <c r="D2" s="72"/>
      <c r="E2" s="72"/>
      <c r="F2" s="72"/>
      <c r="G2" s="72"/>
      <c r="H2" s="72"/>
      <c r="I2" s="72"/>
      <c r="J2" s="71"/>
      <c r="K2" s="71"/>
      <c r="L2" s="71"/>
      <c r="M2" s="106"/>
    </row>
    <row r="3" spans="2:13" ht="15" customHeight="1">
      <c r="B3" s="294"/>
      <c r="C3" s="40"/>
      <c r="D3" s="72"/>
      <c r="E3" s="72"/>
      <c r="F3" s="72"/>
      <c r="G3" s="72"/>
      <c r="H3" s="72"/>
      <c r="I3" s="72"/>
      <c r="J3" s="71"/>
      <c r="K3" s="71"/>
      <c r="L3" s="71"/>
      <c r="M3" s="2"/>
    </row>
    <row r="4" spans="2:13">
      <c r="B4" s="256" t="s">
        <v>269</v>
      </c>
      <c r="C4" s="256"/>
      <c r="D4" s="256"/>
      <c r="E4" s="256"/>
      <c r="F4" s="256"/>
      <c r="G4" s="256"/>
      <c r="H4" s="256"/>
      <c r="I4" s="256"/>
      <c r="J4" s="257"/>
      <c r="K4" s="257"/>
      <c r="L4" s="257"/>
      <c r="M4" s="255"/>
    </row>
    <row r="5" spans="2:13" ht="45" customHeight="1">
      <c r="B5" s="272" t="s">
        <v>271</v>
      </c>
      <c r="C5" s="272"/>
      <c r="D5" s="272"/>
      <c r="E5" s="272"/>
      <c r="F5" s="272"/>
      <c r="G5" s="272"/>
      <c r="H5" s="272"/>
      <c r="I5" s="272"/>
      <c r="J5" s="272"/>
      <c r="K5" s="272"/>
      <c r="L5" s="272"/>
      <c r="M5" s="272"/>
    </row>
    <row r="6" spans="2:13" ht="5.0999999999999996" customHeight="1">
      <c r="B6" s="5"/>
      <c r="C6" s="5"/>
      <c r="D6" s="5"/>
      <c r="E6" s="5"/>
      <c r="F6" s="5"/>
      <c r="G6" s="5"/>
      <c r="H6" s="5"/>
      <c r="I6" s="5"/>
      <c r="J6" s="5"/>
      <c r="K6" s="5"/>
      <c r="L6" s="5"/>
      <c r="M6" s="5"/>
    </row>
    <row r="7" spans="2:13" s="6" customFormat="1" ht="35.25" customHeight="1">
      <c r="B7" s="275" t="s">
        <v>1</v>
      </c>
      <c r="C7" s="295" t="s">
        <v>2</v>
      </c>
      <c r="D7" s="296"/>
      <c r="E7" s="296"/>
      <c r="F7" s="296"/>
      <c r="G7" s="296"/>
      <c r="H7" s="296"/>
      <c r="I7" s="296"/>
      <c r="J7" s="296"/>
      <c r="K7" s="296"/>
      <c r="L7" s="297"/>
      <c r="M7" s="279" t="s">
        <v>203</v>
      </c>
    </row>
    <row r="8" spans="2:13" s="6" customFormat="1" ht="35.25" customHeight="1">
      <c r="B8" s="276"/>
      <c r="C8" s="73" t="s">
        <v>3</v>
      </c>
      <c r="D8" s="73" t="s">
        <v>4</v>
      </c>
      <c r="E8" s="73" t="s">
        <v>5</v>
      </c>
      <c r="F8" s="73" t="s">
        <v>6</v>
      </c>
      <c r="G8" s="73" t="s">
        <v>7</v>
      </c>
      <c r="H8" s="73" t="s">
        <v>8</v>
      </c>
      <c r="I8" s="73" t="s">
        <v>257</v>
      </c>
      <c r="J8" s="73" t="s">
        <v>9</v>
      </c>
      <c r="K8" s="73" t="s">
        <v>10</v>
      </c>
      <c r="L8" s="211" t="s">
        <v>11</v>
      </c>
      <c r="M8" s="280"/>
    </row>
    <row r="9" spans="2:13" s="6" customFormat="1" ht="40.5" customHeight="1">
      <c r="B9" s="269" t="s">
        <v>43</v>
      </c>
      <c r="C9" s="270"/>
      <c r="D9" s="270"/>
      <c r="E9" s="270"/>
      <c r="F9" s="270"/>
      <c r="G9" s="270"/>
      <c r="H9" s="270"/>
      <c r="I9" s="270"/>
      <c r="J9" s="270"/>
      <c r="K9" s="270"/>
      <c r="L9" s="271"/>
      <c r="M9" s="212"/>
    </row>
    <row r="10" spans="2:13" s="75" customFormat="1" ht="95.45" customHeight="1">
      <c r="B10" s="74" t="s">
        <v>44</v>
      </c>
      <c r="C10" s="287">
        <f>IF(ISERROR(VLOOKUP(School_Code&amp;"All students",School_Data,12,FALSE)),"",(VLOOKUP(School_Code&amp;"All students",School_Data,12,FALSE)))</f>
        <v>56.9</v>
      </c>
      <c r="D10" s="291">
        <f>IF(ISERROR(VLOOKUP(School_Code&amp;"All students",School_Data,13,FALSE)),"",(VLOOKUP(School_Code&amp;"All students",School_Data,13,FALSE)))</f>
        <v>60.5</v>
      </c>
      <c r="E10" s="291">
        <f>IF(ISERROR(VLOOKUP(School_Code&amp;"All students",School_Data,14,FALSE)),"",(VLOOKUP(School_Code&amp;"All students",School_Data,14,FALSE)))</f>
        <v>54.7</v>
      </c>
      <c r="F10" s="291">
        <f>IF(ISERROR(VLOOKUP(School_Code&amp;"All students",School_Data,15,FALSE)),"",(VLOOKUP(School_Code&amp;"All students",School_Data,15,FALSE)))</f>
        <v>64.099999999999994</v>
      </c>
      <c r="G10" s="291">
        <f>IF(ISERROR(VLOOKUP(School_Code&amp;"All students",School_Data,16,FALSE)),"",(VLOOKUP(School_Code&amp;"All students",School_Data,16,FALSE)))</f>
        <v>52.2</v>
      </c>
      <c r="H10" s="304">
        <f>IF(ISERROR(VLOOKUP(School_Code&amp;"All students",School_Data,17,FALSE)),"",(VLOOKUP(School_Code&amp;"All students",School_Data,17,FALSE)))</f>
        <v>67.7</v>
      </c>
      <c r="I10" s="130"/>
      <c r="J10" s="298">
        <f>IF(ISERROR(VLOOKUP(School_Code&amp;"All students",School_Data,18,FALSE)),"",(VLOOKUP(School_Code&amp;"All students",School_Data,18,FALSE)))</f>
        <v>71.3</v>
      </c>
      <c r="K10" s="298">
        <f>IF(ISERROR(VLOOKUP(School_Code&amp;"All students",School_Data,19,FALSE)),"",(VLOOKUP(School_Code&amp;"All students",School_Data,19,FALSE)))</f>
        <v>74.900000000000006</v>
      </c>
      <c r="L10" s="300">
        <f>IF(ISERROR(VLOOKUP(School_Code&amp;"All students",School_Data,20,FALSE)),"",(VLOOKUP(School_Code&amp;"All students",School_Data,20,FALSE)))</f>
        <v>78.5</v>
      </c>
      <c r="M10" s="303"/>
    </row>
    <row r="11" spans="2:13" s="75" customFormat="1" ht="29.25" hidden="1" customHeight="1">
      <c r="B11" s="13" t="s">
        <v>24</v>
      </c>
      <c r="C11" s="288"/>
      <c r="D11" s="292"/>
      <c r="E11" s="292"/>
      <c r="F11" s="292"/>
      <c r="G11" s="292"/>
      <c r="H11" s="305"/>
      <c r="I11" s="131"/>
      <c r="J11" s="299"/>
      <c r="K11" s="299"/>
      <c r="L11" s="301"/>
      <c r="M11" s="303"/>
    </row>
    <row r="12" spans="2:13" s="16" customFormat="1" ht="15" customHeight="1">
      <c r="B12" s="77" t="s">
        <v>25</v>
      </c>
      <c r="C12" s="153">
        <f>IF(ISERROR(VLOOKUP(School_Code&amp;"High needs",School_Data,12,FALSE)),"",(VLOOKUP(School_Code&amp;"High needs",School_Data,12,FALSE)))</f>
        <v>56.5</v>
      </c>
      <c r="D12" s="154">
        <f>IF(ISERROR(VLOOKUP(School_Code&amp;"High needs",School_Data,13,FALSE)),"",(VLOOKUP(School_Code&amp;"High needs",School_Data,13,FALSE)))</f>
        <v>60.1</v>
      </c>
      <c r="E12" s="154">
        <f>IF(ISERROR(VLOOKUP(School_Code&amp;"High needs",School_Data,14,FALSE)),"",(VLOOKUP(School_Code&amp;"High needs",School_Data,14,FALSE)))</f>
        <v>54.5</v>
      </c>
      <c r="F12" s="154">
        <f>IF(ISERROR(VLOOKUP(School_Code&amp;"High needs",School_Data,15,FALSE)),"",(VLOOKUP(School_Code&amp;"High needs",School_Data,15,FALSE)))</f>
        <v>63.8</v>
      </c>
      <c r="G12" s="154">
        <f>IF(ISERROR(VLOOKUP(School_Code&amp;"High needs",School_Data,16,FALSE)),"",(VLOOKUP(School_Code&amp;"High needs",School_Data,16,FALSE)))</f>
        <v>51.6</v>
      </c>
      <c r="H12" s="18">
        <f>IF(ISERROR(VLOOKUP(School_Code&amp;"High needs",School_Data,17,FALSE)),"",(VLOOKUP(School_Code&amp;"High needs",School_Data,17,FALSE)))</f>
        <v>67.400000000000006</v>
      </c>
      <c r="I12" s="131"/>
      <c r="J12" s="18">
        <f>IF(ISERROR(VLOOKUP(School_Code&amp;"High needs",School_Data,18,FALSE)),"",(VLOOKUP(School_Code&amp;"High needs",School_Data,18,FALSE)))</f>
        <v>71</v>
      </c>
      <c r="K12" s="18">
        <f>IF(ISERROR(VLOOKUP(School_Code&amp;"High needs",School_Data,19,FALSE)),"",(VLOOKUP(School_Code&amp;"High needs",School_Data,19,FALSE)))</f>
        <v>74.599999999999994</v>
      </c>
      <c r="L12" s="19">
        <f>IF(ISERROR(VLOOKUP(School_Code&amp;"High needs",School_Data,20,FALSE)),"",(VLOOKUP(School_Code&amp;"High needs",School_Data,20,FALSE)))</f>
        <v>78.3</v>
      </c>
      <c r="M12" s="303"/>
    </row>
    <row r="13" spans="2:13" s="16" customFormat="1" ht="15" customHeight="1">
      <c r="B13" s="77" t="s">
        <v>26</v>
      </c>
      <c r="C13" s="153">
        <f>IF(ISERROR(VLOOKUP(School_Code&amp;"Low income",School_Data,12,FALSE)),"",(VLOOKUP(School_Code&amp;"Low income",School_Data,12,FALSE)))</f>
        <v>56.7</v>
      </c>
      <c r="D13" s="154">
        <f>IF(ISERROR(VLOOKUP(School_Code&amp;"Low income",School_Data,13,FALSE)),"",(VLOOKUP(School_Code&amp;"Low income",School_Data,13,FALSE)))</f>
        <v>60.3</v>
      </c>
      <c r="E13" s="154">
        <f>IF(ISERROR(VLOOKUP(School_Code&amp;"Low income",School_Data,14,FALSE)),"",(VLOOKUP(School_Code&amp;"Low income",School_Data,14,FALSE)))</f>
        <v>54.5</v>
      </c>
      <c r="F13" s="154">
        <f>IF(ISERROR(VLOOKUP(School_Code&amp;"Low income",School_Data,15,FALSE)),"",(VLOOKUP(School_Code&amp;"Low income",School_Data,15,FALSE)))</f>
        <v>63.9</v>
      </c>
      <c r="G13" s="154">
        <f>IF(ISERROR(VLOOKUP(School_Code&amp;"Low income",School_Data,16,FALSE)),"",(VLOOKUP(School_Code&amp;"Low income",School_Data,16,FALSE)))</f>
        <v>51.7</v>
      </c>
      <c r="H13" s="18">
        <f>IF(ISERROR(VLOOKUP(School_Code&amp;"Low income",School_Data,17,FALSE)),"",(VLOOKUP(School_Code&amp;"Low income",School_Data,17,FALSE)))</f>
        <v>67.5</v>
      </c>
      <c r="I13" s="131"/>
      <c r="J13" s="18">
        <f>IF(ISERROR(VLOOKUP(School_Code&amp;"Low income",School_Data,18,FALSE)),"",(VLOOKUP(School_Code&amp;"Low income",School_Data,18,FALSE)))</f>
        <v>71.099999999999994</v>
      </c>
      <c r="K13" s="18">
        <f>IF(ISERROR(VLOOKUP(School_Code&amp;"Low income",School_Data,19,FALSE)),"",(VLOOKUP(School_Code&amp;"Low income",School_Data,19,FALSE)))</f>
        <v>74.7</v>
      </c>
      <c r="L13" s="19">
        <f>IF(ISERROR(VLOOKUP(School_Code&amp;"Low income",School_Data,20,FALSE)),"",(VLOOKUP(School_Code&amp;"Low income",School_Data,20,FALSE)))</f>
        <v>78.400000000000006</v>
      </c>
      <c r="M13" s="303"/>
    </row>
    <row r="14" spans="2:13" s="16" customFormat="1" ht="15" customHeight="1">
      <c r="B14" s="77" t="s">
        <v>27</v>
      </c>
      <c r="C14" s="153">
        <f>IF(ISERROR(VLOOKUP(School_Code&amp;"ELL and Former ELL",School_Data,12,FALSE)),"",(VLOOKUP(School_Code&amp;"ELL and Former ELL",School_Data,12,FALSE)))</f>
        <v>45.1</v>
      </c>
      <c r="D14" s="154">
        <f>IF(ISERROR(VLOOKUP(School_Code&amp;"ELL and Former ELL",School_Data,13,FALSE)),"",(VLOOKUP(School_Code&amp;"ELL and Former ELL",School_Data,13,FALSE)))</f>
        <v>49.7</v>
      </c>
      <c r="E14" s="154">
        <f>IF(ISERROR(VLOOKUP(School_Code&amp;"ELL and Former ELL",School_Data,14,FALSE)),"",(VLOOKUP(School_Code&amp;"ELL and Former ELL",School_Data,14,FALSE)))</f>
        <v>43.8</v>
      </c>
      <c r="F14" s="154">
        <f>IF(ISERROR(VLOOKUP(School_Code&amp;"ELL and Former ELL",School_Data,15,FALSE)),"",(VLOOKUP(School_Code&amp;"ELL and Former ELL",School_Data,15,FALSE)))</f>
        <v>54.3</v>
      </c>
      <c r="G14" s="154">
        <f>IF(ISERROR(VLOOKUP(School_Code&amp;"ELL and Former ELL",School_Data,16,FALSE)),"",(VLOOKUP(School_Code&amp;"ELL and Former ELL",School_Data,16,FALSE)))</f>
        <v>39</v>
      </c>
      <c r="H14" s="18">
        <f>IF(ISERROR(VLOOKUP(School_Code&amp;"ELL and Former ELL",School_Data,17,FALSE)),"",(VLOOKUP(School_Code&amp;"ELL and Former ELL",School_Data,17,FALSE)))</f>
        <v>58.8</v>
      </c>
      <c r="I14" s="131"/>
      <c r="J14" s="20">
        <f>IF(ISERROR(VLOOKUP(School_Code&amp;"ELL and Former ELL",School_Data,18,FALSE)),"",(VLOOKUP(School_Code&amp;"ELL and Former ELL",School_Data,18,FALSE)))</f>
        <v>63.4</v>
      </c>
      <c r="K14" s="20">
        <f>IF(ISERROR(VLOOKUP(School_Code&amp;"ELL and Former ELL",School_Data,19,FALSE)),"",(VLOOKUP(School_Code&amp;"ELL and Former ELL",School_Data,19,FALSE)))</f>
        <v>68</v>
      </c>
      <c r="L14" s="21">
        <f>IF(ISERROR(VLOOKUP(School_Code&amp;"ELL and Former ELL",School_Data,20,FALSE)),"",(VLOOKUP(School_Code&amp;"ELL and Former ELL",School_Data,20,FALSE)))</f>
        <v>72.599999999999994</v>
      </c>
      <c r="M14" s="303"/>
    </row>
    <row r="15" spans="2:13" s="16" customFormat="1" ht="15" customHeight="1">
      <c r="B15" s="77" t="s">
        <v>28</v>
      </c>
      <c r="C15" s="153">
        <f>IF(ISERROR(VLOOKUP(School_Code&amp;"Students w/disabilities",School_Data,12,FALSE)),"",(VLOOKUP(School_Code&amp;"Students w/disabilities",School_Data,12,FALSE)))</f>
        <v>41.8</v>
      </c>
      <c r="D15" s="154">
        <f>IF(ISERROR(VLOOKUP(School_Code&amp;"Students w/disabilities",School_Data,13,FALSE)),"",(VLOOKUP(School_Code&amp;"Students w/disabilities",School_Data,13,FALSE)))</f>
        <v>46.7</v>
      </c>
      <c r="E15" s="154">
        <f>IF(ISERROR(VLOOKUP(School_Code&amp;"Students w/disabilities",School_Data,14,FALSE)),"",(VLOOKUP(School_Code&amp;"Students w/disabilities",School_Data,14,FALSE)))</f>
        <v>35.5</v>
      </c>
      <c r="F15" s="154">
        <f>IF(ISERROR(VLOOKUP(School_Code&amp;"Students w/disabilities",School_Data,15,FALSE)),"",(VLOOKUP(School_Code&amp;"Students w/disabilities",School_Data,15,FALSE)))</f>
        <v>51.5</v>
      </c>
      <c r="G15" s="154">
        <f>IF(ISERROR(VLOOKUP(School_Code&amp;"Students w/disabilities",School_Data,16,FALSE)),"",(VLOOKUP(School_Code&amp;"Students w/disabilities",School_Data,16,FALSE)))</f>
        <v>31.4</v>
      </c>
      <c r="H15" s="18">
        <f>IF(ISERROR(VLOOKUP(School_Code&amp;"Students w/disabilities",School_Data,17,FALSE)),"",(VLOOKUP(School_Code&amp;"Students w/disabilities",School_Data,17,FALSE)))</f>
        <v>56.4</v>
      </c>
      <c r="I15" s="131"/>
      <c r="J15" s="20">
        <f>IF(ISERROR(VLOOKUP(School_Code&amp;"Students w/disabilities",School_Data,18,FALSE)),"",(VLOOKUP(School_Code&amp;"Students w/disabilities",School_Data,18,FALSE)))</f>
        <v>61.2</v>
      </c>
      <c r="K15" s="20">
        <f>IF(ISERROR(VLOOKUP(School_Code&amp;"Students w/disabilities",School_Data,19,FALSE)),"",(VLOOKUP(School_Code&amp;"Students w/disabilities",School_Data,19,FALSE)))</f>
        <v>66.099999999999994</v>
      </c>
      <c r="L15" s="21">
        <f>IF(ISERROR(VLOOKUP(School_Code&amp;"Students w/disabilities",School_Data,20,FALSE)),"",(VLOOKUP(School_Code&amp;"Students w/disabilities",School_Data,20,FALSE)))</f>
        <v>70.900000000000006</v>
      </c>
      <c r="M15" s="303"/>
    </row>
    <row r="16" spans="2:13" s="16" customFormat="1" ht="15" customHeight="1">
      <c r="B16" s="77" t="s">
        <v>29</v>
      </c>
      <c r="C16" s="153" t="str">
        <f>IF(ISERROR(VLOOKUP(School_Code&amp;"Amer. Ind. or Alaska Nat.",School_Data,12,FALSE)),"",(VLOOKUP(School_Code&amp;"Amer. Ind. or Alaska Nat.",School_Data,12,FALSE)))</f>
        <v>--</v>
      </c>
      <c r="D16" s="154" t="str">
        <f>IF(ISERROR(VLOOKUP(School_Code&amp;"Amer. Ind. or Alaska Nat.",School_Data,13,FALSE)),"",(VLOOKUP(School_Code&amp;"Amer. Ind. or Alaska Nat.",School_Data,13,FALSE)))</f>
        <v>--</v>
      </c>
      <c r="E16" s="154" t="str">
        <f>IF(ISERROR(VLOOKUP(School_Code&amp;"Amer. Ind. or Alaska Nat.",School_Data,14,FALSE)),"",(VLOOKUP(School_Code&amp;"Amer. Ind. or Alaska Nat.",School_Data,14,FALSE)))</f>
        <v>--</v>
      </c>
      <c r="F16" s="154" t="str">
        <f>IF(ISERROR(VLOOKUP(School_Code&amp;"Amer. Ind. or Alaska Nat.",School_Data,15,FALSE)),"",(VLOOKUP(School_Code&amp;"Amer. Ind. or Alaska Nat.",School_Data,15,FALSE)))</f>
        <v>--</v>
      </c>
      <c r="G16" s="154" t="str">
        <f>IF(ISERROR(VLOOKUP(School_Code&amp;"Amer. Ind. or Alaska Nat.",School_Data,16,FALSE)),"",(VLOOKUP(School_Code&amp;"Amer. Ind. or Alaska Nat.",School_Data,16,FALSE)))</f>
        <v>--</v>
      </c>
      <c r="H16" s="18" t="str">
        <f>IF(ISERROR(VLOOKUP(School_Code&amp;"Amer. Ind. or Alaska Nat.",School_Data,17,FALSE)),"",(VLOOKUP(School_Code&amp;"Amer. Ind. or Alaska Nat.",School_Data,17,FALSE)))</f>
        <v>--</v>
      </c>
      <c r="I16" s="131"/>
      <c r="J16" s="20" t="str">
        <f>IF(ISERROR(VLOOKUP(School_Code&amp;"Amer. Ind. or Alaska Nat.",School_Data,18,FALSE)),"",(VLOOKUP(School_Code&amp;"Amer. Ind. or Alaska Nat.",School_Data,18,FALSE)))</f>
        <v>--</v>
      </c>
      <c r="K16" s="20" t="str">
        <f>IF(ISERROR(VLOOKUP(School_Code&amp;"Amer. Ind. or Alaska Nat.",School_Data,19,FALSE)),"",(VLOOKUP(School_Code&amp;"Amer. Ind. or Alaska Nat.",School_Data,19,FALSE)))</f>
        <v>--</v>
      </c>
      <c r="L16" s="21" t="str">
        <f>IF(ISERROR(VLOOKUP(School_Code&amp;"Amer. Ind. or Alaska Nat.",School_Data,20,FALSE)),"",(VLOOKUP(School_Code&amp;"Amer. Ind. or Alaska Nat.",School_Data,20,FALSE)))</f>
        <v>--</v>
      </c>
      <c r="M16" s="303"/>
    </row>
    <row r="17" spans="2:13" s="16" customFormat="1" ht="15" customHeight="1">
      <c r="B17" s="77" t="s">
        <v>30</v>
      </c>
      <c r="C17" s="153" t="str">
        <f>IF(ISERROR(VLOOKUP(School_Code&amp;"Asian",School_Data,12,FALSE)),"",(VLOOKUP(School_Code&amp;"Asian",School_Data,12,FALSE)))</f>
        <v>--</v>
      </c>
      <c r="D17" s="154" t="str">
        <f>IF(ISERROR(VLOOKUP(School_Code&amp;"Asian",School_Data,13,FALSE)),"",(VLOOKUP(School_Code&amp;"Asian",School_Data,13,FALSE)))</f>
        <v>--</v>
      </c>
      <c r="E17" s="154" t="str">
        <f>IF(ISERROR(VLOOKUP(School_Code&amp;"Asian",School_Data,14,FALSE)),"",(VLOOKUP(School_Code&amp;"Asian",School_Data,14,FALSE)))</f>
        <v>--</v>
      </c>
      <c r="F17" s="154" t="str">
        <f>IF(ISERROR(VLOOKUP(School_Code&amp;"Asian",School_Data,15,FALSE)),"",(VLOOKUP(School_Code&amp;"Asian",School_Data,15,FALSE)))</f>
        <v>--</v>
      </c>
      <c r="G17" s="154" t="str">
        <f>IF(ISERROR(VLOOKUP(School_Code&amp;"Asian",School_Data,16,FALSE)),"",(VLOOKUP(School_Code&amp;"Asian",School_Data,16,FALSE)))</f>
        <v>--</v>
      </c>
      <c r="H17" s="18" t="str">
        <f>IF(ISERROR(VLOOKUP(School_Code&amp;"Asian",School_Data,17,FALSE)),"",(VLOOKUP(School_Code&amp;"Asian",School_Data,17,FALSE)))</f>
        <v>--</v>
      </c>
      <c r="I17" s="131"/>
      <c r="J17" s="20" t="str">
        <f>IF(ISERROR(VLOOKUP(School_Code&amp;"Asian",School_Data,18,FALSE)),"",(VLOOKUP(School_Code&amp;"Asian",School_Data,18,FALSE)))</f>
        <v>--</v>
      </c>
      <c r="K17" s="20" t="str">
        <f>IF(ISERROR(VLOOKUP(School_Code&amp;"Asian",School_Data,19,FALSE)),"",(VLOOKUP(School_Code&amp;"Asian",School_Data,19,FALSE)))</f>
        <v>--</v>
      </c>
      <c r="L17" s="21" t="str">
        <f>IF(ISERROR(VLOOKUP(School_Code&amp;"Asian",School_Data,20,FALSE)),"",(VLOOKUP(School_Code&amp;"Asian",School_Data,20,FALSE)))</f>
        <v>--</v>
      </c>
      <c r="M17" s="303"/>
    </row>
    <row r="18" spans="2:13" s="16" customFormat="1" ht="15" customHeight="1">
      <c r="B18" s="77" t="s">
        <v>45</v>
      </c>
      <c r="C18" s="153" t="str">
        <f>IF(ISERROR(VLOOKUP(School_Code&amp;"Afr. Amer/Black",School_Data,12,FALSE)),"",(VLOOKUP(School_Code&amp;"Afr. Amer/Black",School_Data,12,FALSE)))</f>
        <v>--</v>
      </c>
      <c r="D18" s="154" t="str">
        <f>IF(ISERROR(VLOOKUP(School_Code&amp;"Afr. Amer/Black",School_Data,13,FALSE)),"",(VLOOKUP(School_Code&amp;"Afr. Amer/Black",School_Data,13,FALSE)))</f>
        <v>--</v>
      </c>
      <c r="E18" s="154" t="str">
        <f>IF(ISERROR(VLOOKUP(School_Code&amp;"Afr. Amer/Black",School_Data,14,FALSE)),"",(VLOOKUP(School_Code&amp;"Afr. Amer/Black",School_Data,14,FALSE)))</f>
        <v>--</v>
      </c>
      <c r="F18" s="154" t="str">
        <f>IF(ISERROR(VLOOKUP(School_Code&amp;"Afr. Amer/Black",School_Data,15,FALSE)),"",(VLOOKUP(School_Code&amp;"Afr. Amer/Black",School_Data,15,FALSE)))</f>
        <v>--</v>
      </c>
      <c r="G18" s="154" t="str">
        <f>IF(ISERROR(VLOOKUP(School_Code&amp;"Afr. Amer/Black",School_Data,16,FALSE)),"",(VLOOKUP(School_Code&amp;"Afr. Amer/Black",School_Data,16,FALSE)))</f>
        <v>--</v>
      </c>
      <c r="H18" s="18" t="str">
        <f>IF(ISERROR(VLOOKUP(School_Code&amp;"Afr. Amer/Black",School_Data,17,FALSE)),"",(VLOOKUP(School_Code&amp;"Afr. Amer/Black",School_Data,17,FALSE)))</f>
        <v>--</v>
      </c>
      <c r="I18" s="131"/>
      <c r="J18" s="20" t="str">
        <f>IF(ISERROR(VLOOKUP(School_Code&amp;"Afr. Amer/Black",School_Data,18,FALSE)),"",(VLOOKUP(School_Code&amp;"Afr. Amer/Black",School_Data,18,FALSE)))</f>
        <v>--</v>
      </c>
      <c r="K18" s="20" t="str">
        <f>IF(ISERROR(VLOOKUP(School_Code&amp;"Afr. Amer/Black",School_Data,19,FALSE)),"",(VLOOKUP(School_Code&amp;"Afr. Amer/Black",School_Data,19,FALSE)))</f>
        <v>--</v>
      </c>
      <c r="L18" s="21" t="str">
        <f>IF(ISERROR(VLOOKUP(School_Code&amp;"Afr. Amer/Black",School_Data,20,FALSE)),"",(VLOOKUP(School_Code&amp;"Afr. Amer/Black",School_Data,20,FALSE)))</f>
        <v>--</v>
      </c>
      <c r="M18" s="303"/>
    </row>
    <row r="19" spans="2:13" s="16" customFormat="1" ht="15" customHeight="1">
      <c r="B19" s="77" t="s">
        <v>32</v>
      </c>
      <c r="C19" s="153">
        <f>IF(ISERROR(VLOOKUP(School_Code&amp;"Hispanic/Latino",School_Data,12,FALSE)),"",(VLOOKUP(School_Code&amp;"Hispanic/Latino",School_Data,12,FALSE)))</f>
        <v>55.9</v>
      </c>
      <c r="D19" s="154">
        <f>IF(ISERROR(VLOOKUP(School_Code&amp;"Hispanic/Latino",School_Data,13,FALSE)),"",(VLOOKUP(School_Code&amp;"Hispanic/Latino",School_Data,13,FALSE)))</f>
        <v>59.6</v>
      </c>
      <c r="E19" s="154">
        <f>IF(ISERROR(VLOOKUP(School_Code&amp;"Hispanic/Latino",School_Data,14,FALSE)),"",(VLOOKUP(School_Code&amp;"Hispanic/Latino",School_Data,14,FALSE)))</f>
        <v>53.8</v>
      </c>
      <c r="F19" s="154">
        <f>IF(ISERROR(VLOOKUP(School_Code&amp;"Hispanic/Latino",School_Data,15,FALSE)),"",(VLOOKUP(School_Code&amp;"Hispanic/Latino",School_Data,15,FALSE)))</f>
        <v>63.3</v>
      </c>
      <c r="G19" s="154">
        <f>IF(ISERROR(VLOOKUP(School_Code&amp;"Hispanic/Latino",School_Data,16,FALSE)),"",(VLOOKUP(School_Code&amp;"Hispanic/Latino",School_Data,16,FALSE)))</f>
        <v>50.2</v>
      </c>
      <c r="H19" s="18">
        <f>IF(ISERROR(VLOOKUP(School_Code&amp;"Hispanic/Latino",School_Data,17,FALSE)),"",(VLOOKUP(School_Code&amp;"Hispanic/Latino",School_Data,17,FALSE)))</f>
        <v>66.900000000000006</v>
      </c>
      <c r="I19" s="131"/>
      <c r="J19" s="20">
        <f>IF(ISERROR(VLOOKUP(School_Code&amp;"Hispanic/Latino",School_Data,18,FALSE)),"",(VLOOKUP(School_Code&amp;"Hispanic/Latino",School_Data,18,FALSE)))</f>
        <v>70.599999999999994</v>
      </c>
      <c r="K19" s="20">
        <f>IF(ISERROR(VLOOKUP(School_Code&amp;"Hispanic/Latino",School_Data,19,FALSE)),"",(VLOOKUP(School_Code&amp;"Hispanic/Latino",School_Data,19,FALSE)))</f>
        <v>74.3</v>
      </c>
      <c r="L19" s="21">
        <f>IF(ISERROR(VLOOKUP(School_Code&amp;"Hispanic/Latino",School_Data,20,FALSE)),"",(VLOOKUP(School_Code&amp;"Hispanic/Latino",School_Data,20,FALSE)))</f>
        <v>78</v>
      </c>
      <c r="M19" s="303"/>
    </row>
    <row r="20" spans="2:13" s="16" customFormat="1" ht="15" customHeight="1">
      <c r="B20" s="77" t="s">
        <v>33</v>
      </c>
      <c r="C20" s="153" t="str">
        <f>IF(ISERROR(VLOOKUP(School_Code&amp;"Multi-race, Non-Hisp./Lat.",School_Data,12,FALSE)),"",(VLOOKUP(School_Code&amp;"Multi-race, Non-Hisp./Lat.",School_Data,12,FALSE)))</f>
        <v>--</v>
      </c>
      <c r="D20" s="154" t="str">
        <f>IF(ISERROR(VLOOKUP(School_Code&amp;"Multi-race, Non-Hisp./Lat.",School_Data,13,FALSE)),"",(VLOOKUP(School_Code&amp;"Multi-race, Non-Hisp./Lat.",School_Data,13,FALSE)))</f>
        <v>--</v>
      </c>
      <c r="E20" s="154" t="str">
        <f>IF(ISERROR(VLOOKUP(School_Code&amp;"Multi-race, Non-Hisp./Lat.",School_Data,14,FALSE)),"",(VLOOKUP(School_Code&amp;"Multi-race, Non-Hisp./Lat.",School_Data,14,FALSE)))</f>
        <v>--</v>
      </c>
      <c r="F20" s="154" t="str">
        <f>IF(ISERROR(VLOOKUP(School_Code&amp;"Multi-race, Non-Hisp./Lat.",School_Data,15,FALSE)),"",(VLOOKUP(School_Code&amp;"Multi-race, Non-Hisp./Lat.",School_Data,15,FALSE)))</f>
        <v>--</v>
      </c>
      <c r="G20" s="154" t="str">
        <f>IF(ISERROR(VLOOKUP(School_Code&amp;"Multi-race, Non-Hisp./Lat.",School_Data,16,FALSE)),"",(VLOOKUP(School_Code&amp;"Multi-race, Non-Hisp./Lat.",School_Data,16,FALSE)))</f>
        <v>--</v>
      </c>
      <c r="H20" s="18" t="str">
        <f>IF(ISERROR(VLOOKUP(School_Code&amp;"Multi-race, Non-Hisp./Lat.",School_Data,17,FALSE)),"",(VLOOKUP(School_Code&amp;"Multi-race, Non-Hisp./Lat.",School_Data,17,FALSE)))</f>
        <v>--</v>
      </c>
      <c r="I20" s="131"/>
      <c r="J20" s="20" t="str">
        <f>IF(ISERROR(VLOOKUP(School_Code&amp;"Multi-race, Non-Hisp./Lat.",School_Data,18,FALSE)),"",(VLOOKUP(School_Code&amp;"Multi-race, Non-Hisp./Lat.",School_Data,18,FALSE)))</f>
        <v>--</v>
      </c>
      <c r="K20" s="20" t="str">
        <f>IF(ISERROR(VLOOKUP(School_Code&amp;"Multi-race, Non-Hisp./Lat.",School_Data,19,FALSE)),"",(VLOOKUP(School_Code&amp;"Multi-race, Non-Hisp./Lat.",School_Data,19,FALSE)))</f>
        <v>--</v>
      </c>
      <c r="L20" s="21" t="str">
        <f>IF(ISERROR(VLOOKUP(School_Code&amp;"Multi-race, Non-Hisp./Lat.",School_Data,20,FALSE)),"",(VLOOKUP(School_Code&amp;"Multi-race, Non-Hisp./Lat.",School_Data,20,FALSE)))</f>
        <v>--</v>
      </c>
      <c r="M20" s="303"/>
    </row>
    <row r="21" spans="2:13" s="16" customFormat="1" ht="15" customHeight="1">
      <c r="B21" s="77" t="s">
        <v>34</v>
      </c>
      <c r="C21" s="153" t="str">
        <f>IF(ISERROR(VLOOKUP(School_Code&amp;"Nat. Haw. or Pacif. Isl.",School_Data,12,FALSE)),"",(VLOOKUP(School_Code&amp;"Nat. Haw. or Pacif. Isl.",School_Data,12,FALSE)))</f>
        <v>--</v>
      </c>
      <c r="D21" s="154" t="str">
        <f>IF(ISERROR(VLOOKUP(School_Code&amp;"Nat. Haw. or Pacif. Isl.",School_Data,13,FALSE)),"",(VLOOKUP(School_Code&amp;"Nat. Haw. or Pacif. Isl.",School_Data,13,FALSE)))</f>
        <v>--</v>
      </c>
      <c r="E21" s="154" t="str">
        <f>IF(ISERROR(VLOOKUP(School_Code&amp;"Nat. Haw. or Pacif. Isl.",School_Data,14,FALSE)),"",(VLOOKUP(School_Code&amp;"Nat. Haw. or Pacif. Isl.",School_Data,14,FALSE)))</f>
        <v>--</v>
      </c>
      <c r="F21" s="154" t="str">
        <f>IF(ISERROR(VLOOKUP(School_Code&amp;"Nat. Haw. or Pacif. Isl.",School_Data,15,FALSE)),"",(VLOOKUP(School_Code&amp;"Nat. Haw. or Pacif. Isl.",School_Data,15,FALSE)))</f>
        <v>--</v>
      </c>
      <c r="G21" s="154" t="str">
        <f>IF(ISERROR(VLOOKUP(School_Code&amp;"Nat. Haw. or Pacif. Isl.",School_Data,16,FALSE)),"",(VLOOKUP(School_Code&amp;"Nat. Haw. or Pacif. Isl.",School_Data,16,FALSE)))</f>
        <v>--</v>
      </c>
      <c r="H21" s="18" t="str">
        <f>IF(ISERROR(VLOOKUP(School_Code&amp;"Nat. Haw. or Pacif. Isl.",School_Data,17,FALSE)),"",(VLOOKUP(School_Code&amp;"Nat. Haw. or Pacif. Isl.",School_Data,17,FALSE)))</f>
        <v>--</v>
      </c>
      <c r="I21" s="131"/>
      <c r="J21" s="20" t="str">
        <f>IF(ISERROR(VLOOKUP(School_Code&amp;"Nat. Haw. or Pacif. Isl.",School_Data,18,FALSE)),"",(VLOOKUP(School_Code&amp;"Nat. Haw. or Pacif. Isl.",School_Data,18,FALSE)))</f>
        <v>--</v>
      </c>
      <c r="K21" s="20" t="str">
        <f>IF(ISERROR(VLOOKUP(School_Code&amp;"Nat. Haw. or Pacif. Isl.",School_Data,19,FALSE)),"",(VLOOKUP(School_Code&amp;"Nat. Haw. or Pacif. Isl.",School_Data,19,FALSE)))</f>
        <v>--</v>
      </c>
      <c r="L21" s="21" t="str">
        <f>IF(ISERROR(VLOOKUP(School_Code&amp;"Nat. Haw. or Pacif. Isl.",School_Data,20,FALSE)),"",(VLOOKUP(School_Code&amp;"Nat. Haw. or Pacif. Isl.",School_Data,20,FALSE)))</f>
        <v>--</v>
      </c>
      <c r="M21" s="303"/>
    </row>
    <row r="22" spans="2:13" s="16" customFormat="1" ht="15" customHeight="1">
      <c r="B22" s="78" t="s">
        <v>35</v>
      </c>
      <c r="C22" s="155" t="str">
        <f>IF(ISERROR(VLOOKUP(School_Code&amp;"White",School_Data,12,FALSE)),"",(VLOOKUP(School_Code&amp;"White",School_Data,12,FALSE)))</f>
        <v>--</v>
      </c>
      <c r="D22" s="156" t="str">
        <f>IF(ISERROR(VLOOKUP(School_Code&amp;"White",School_Data,13,FALSE)),"",(VLOOKUP(School_Code&amp;"White",School_Data,13,FALSE)))</f>
        <v>--</v>
      </c>
      <c r="E22" s="156" t="str">
        <f>IF(ISERROR(VLOOKUP(School_Code&amp;"White",School_Data,14,FALSE)),"",(VLOOKUP(School_Code&amp;"White",School_Data,14,FALSE)))</f>
        <v>--</v>
      </c>
      <c r="F22" s="156" t="str">
        <f>IF(ISERROR(VLOOKUP(School_Code&amp;"White",School_Data,15,FALSE)),"",(VLOOKUP(School_Code&amp;"White",School_Data,15,FALSE)))</f>
        <v>--</v>
      </c>
      <c r="G22" s="156" t="str">
        <f>IF(ISERROR(VLOOKUP(School_Code&amp;"White",School_Data,16,FALSE)),"",(VLOOKUP(School_Code&amp;"White",School_Data,16,FALSE)))</f>
        <v>--</v>
      </c>
      <c r="H22" s="41" t="str">
        <f>IF(ISERROR(VLOOKUP(School_Code&amp;"White",School_Data,17,FALSE)),"",(VLOOKUP(School_Code&amp;"White",School_Data,17,FALSE)))</f>
        <v>--</v>
      </c>
      <c r="I22" s="41"/>
      <c r="J22" s="42" t="str">
        <f>IF(ISERROR(VLOOKUP(School_Code&amp;"White",School_Data,18,FALSE)),"",(VLOOKUP(School_Code&amp;"White",School_Data,18,FALSE)))</f>
        <v>--</v>
      </c>
      <c r="K22" s="42" t="str">
        <f>IF(ISERROR(VLOOKUP(School_Code&amp;"White",School_Data,19,FALSE)),"",(VLOOKUP(School_Code&amp;"White",School_Data,19,FALSE)))</f>
        <v>--</v>
      </c>
      <c r="L22" s="109" t="str">
        <f>IF(ISERROR(VLOOKUP(School_Code&amp;"White",School_Data,20,FALSE)),"",(VLOOKUP(School_Code&amp;"White",School_Data,20,FALSE)))</f>
        <v>--</v>
      </c>
      <c r="M22" s="303"/>
    </row>
    <row r="23" spans="2:13" s="16" customFormat="1" ht="96" customHeight="1">
      <c r="B23" s="74" t="s">
        <v>46</v>
      </c>
      <c r="C23" s="287">
        <f>IF(ISERROR(VLOOKUP(School_Code&amp;"All students",School_Data,21,FALSE)),"",(VLOOKUP(School_Code&amp;"All students",School_Data,21,FALSE)))</f>
        <v>45.3</v>
      </c>
      <c r="D23" s="291">
        <f>IF(ISERROR(VLOOKUP(School_Code&amp;"All students",School_Data,22,FALSE)),"",(VLOOKUP(School_Code&amp;"All students",School_Data,22,FALSE)))</f>
        <v>49.9</v>
      </c>
      <c r="E23" s="291">
        <f>IF(ISERROR(VLOOKUP(School_Code&amp;"All students",School_Data,23,FALSE)),"",(VLOOKUP(School_Code&amp;"All students",School_Data,23,FALSE)))</f>
        <v>43.7</v>
      </c>
      <c r="F23" s="291">
        <f>IF(ISERROR(VLOOKUP(School_Code&amp;"All students",School_Data,24,FALSE)),"",(VLOOKUP(School_Code&amp;"All students",School_Data,24,FALSE)))</f>
        <v>54.4</v>
      </c>
      <c r="G23" s="291">
        <f>IF(ISERROR(VLOOKUP(School_Code&amp;"All students",School_Data,25,FALSE)),"",(VLOOKUP(School_Code&amp;"All students",School_Data,25,FALSE)))</f>
        <v>44</v>
      </c>
      <c r="H23" s="304">
        <f>IF(ISERROR(VLOOKUP(School_Code&amp;"All students",School_Data,26,FALSE)),"",(VLOOKUP(School_Code&amp;"All students",School_Data,26,FALSE)))</f>
        <v>59</v>
      </c>
      <c r="I23" s="130"/>
      <c r="J23" s="298">
        <f>IF(ISERROR(VLOOKUP(School_Code&amp;"All students",School_Data,27,FALSE)),"",(VLOOKUP(School_Code&amp;"All students",School_Data,27,FALSE)))</f>
        <v>63.5</v>
      </c>
      <c r="K23" s="298">
        <f>IF(ISERROR(VLOOKUP(School_Code&amp;"All students",School_Data,28,FALSE)),"",(VLOOKUP(School_Code&amp;"All students",School_Data,28,FALSE)))</f>
        <v>68.099999999999994</v>
      </c>
      <c r="L23" s="300">
        <f>IF(ISERROR(VLOOKUP(School_Code&amp;"All students",School_Data,29,FALSE)),"",(VLOOKUP(School_Code&amp;"All students",School_Data,29,FALSE)))</f>
        <v>72.7</v>
      </c>
      <c r="M23" s="302"/>
    </row>
    <row r="24" spans="2:13" s="16" customFormat="1" ht="33" hidden="1" customHeight="1">
      <c r="B24" s="13" t="s">
        <v>24</v>
      </c>
      <c r="C24" s="288"/>
      <c r="D24" s="292"/>
      <c r="E24" s="292"/>
      <c r="F24" s="292"/>
      <c r="G24" s="292"/>
      <c r="H24" s="305"/>
      <c r="I24" s="131"/>
      <c r="J24" s="299"/>
      <c r="K24" s="299"/>
      <c r="L24" s="301"/>
      <c r="M24" s="303"/>
    </row>
    <row r="25" spans="2:13" s="16" customFormat="1" ht="15" customHeight="1">
      <c r="B25" s="77" t="s">
        <v>25</v>
      </c>
      <c r="C25" s="153">
        <f>IF(ISERROR(VLOOKUP(School_Code&amp;"High needs",School_Data,21,FALSE)),"",(VLOOKUP(School_Code&amp;"High needs",School_Data,21,FALSE)))</f>
        <v>45.3</v>
      </c>
      <c r="D25" s="154">
        <f>IF(ISERROR(VLOOKUP(School_Code&amp;"High needs",School_Data,22,FALSE)),"",(VLOOKUP(School_Code&amp;"High needs",School_Data,22,FALSE)))</f>
        <v>49.9</v>
      </c>
      <c r="E25" s="154">
        <f>IF(ISERROR(VLOOKUP(School_Code&amp;"High needs",School_Data,23,FALSE)),"",(VLOOKUP(School_Code&amp;"High needs",School_Data,23,FALSE)))</f>
        <v>43.5</v>
      </c>
      <c r="F25" s="154">
        <f>IF(ISERROR(VLOOKUP(School_Code&amp;"High needs",School_Data,24,FALSE)),"",(VLOOKUP(School_Code&amp;"High needs",School_Data,24,FALSE)))</f>
        <v>54.4</v>
      </c>
      <c r="G25" s="154">
        <f>IF(ISERROR(VLOOKUP(School_Code&amp;"High needs",School_Data,25,FALSE)),"",(VLOOKUP(School_Code&amp;"High needs",School_Data,25,FALSE)))</f>
        <v>43.5</v>
      </c>
      <c r="H25" s="76">
        <f>IF(ISERROR(VLOOKUP(School_Code&amp;"High needs",School_Data,26,FALSE)),"",(VLOOKUP(School_Code&amp;"High needs",School_Data,26,FALSE)))</f>
        <v>59</v>
      </c>
      <c r="I25" s="131"/>
      <c r="J25" s="76">
        <f>IF(ISERROR(VLOOKUP(School_Code&amp;"High needs",School_Data,27,FALSE)),"",(VLOOKUP(School_Code&amp;"High needs",School_Data,27,FALSE)))</f>
        <v>63.5</v>
      </c>
      <c r="K25" s="76">
        <f>IF(ISERROR(VLOOKUP(School_Code&amp;"High needs",School_Data,28,FALSE)),"",(VLOOKUP(School_Code&amp;"High needs",School_Data,28,FALSE)))</f>
        <v>68.099999999999994</v>
      </c>
      <c r="L25" s="19">
        <f>IF(ISERROR(VLOOKUP(School_Code&amp;"High needs",School_Data,29,FALSE)),"",(VLOOKUP(School_Code&amp;"High needs",School_Data,29,FALSE)))</f>
        <v>72.7</v>
      </c>
      <c r="M25" s="303"/>
    </row>
    <row r="26" spans="2:13" s="16" customFormat="1" ht="15" customHeight="1">
      <c r="B26" s="77" t="s">
        <v>26</v>
      </c>
      <c r="C26" s="153">
        <f>IF(ISERROR(VLOOKUP(School_Code&amp;"Low income",School_Data,21,FALSE)),"",(VLOOKUP(School_Code&amp;"Low income",School_Data,21,FALSE)))</f>
        <v>45.4</v>
      </c>
      <c r="D26" s="154">
        <f>IF(ISERROR(VLOOKUP(School_Code&amp;"Low income",School_Data,22,FALSE)),"",(VLOOKUP(School_Code&amp;"Low income",School_Data,22,FALSE)))</f>
        <v>50</v>
      </c>
      <c r="E26" s="154">
        <f>IF(ISERROR(VLOOKUP(School_Code&amp;"Low income",School_Data,23,FALSE)),"",(VLOOKUP(School_Code&amp;"Low income",School_Data,23,FALSE)))</f>
        <v>43.3</v>
      </c>
      <c r="F26" s="154">
        <f>IF(ISERROR(VLOOKUP(School_Code&amp;"Low income",School_Data,24,FALSE)),"",(VLOOKUP(School_Code&amp;"Low income",School_Data,24,FALSE)))</f>
        <v>54.5</v>
      </c>
      <c r="G26" s="154">
        <f>IF(ISERROR(VLOOKUP(School_Code&amp;"Low income",School_Data,25,FALSE)),"",(VLOOKUP(School_Code&amp;"Low income",School_Data,25,FALSE)))</f>
        <v>43.5</v>
      </c>
      <c r="H26" s="76">
        <f>IF(ISERROR(VLOOKUP(School_Code&amp;"Low income",School_Data,26,FALSE)),"",(VLOOKUP(School_Code&amp;"Low income",School_Data,26,FALSE)))</f>
        <v>59.1</v>
      </c>
      <c r="I26" s="131"/>
      <c r="J26" s="76">
        <f>IF(ISERROR(VLOOKUP(School_Code&amp;"Low income",School_Data,27,FALSE)),"",(VLOOKUP(School_Code&amp;"Low income",School_Data,27,FALSE)))</f>
        <v>63.6</v>
      </c>
      <c r="K26" s="76">
        <f>IF(ISERROR(VLOOKUP(School_Code&amp;"Low income",School_Data,28,FALSE)),"",(VLOOKUP(School_Code&amp;"Low income",School_Data,28,FALSE)))</f>
        <v>68.2</v>
      </c>
      <c r="L26" s="19">
        <f>IF(ISERROR(VLOOKUP(School_Code&amp;"Low income",School_Data,29,FALSE)),"",(VLOOKUP(School_Code&amp;"Low income",School_Data,29,FALSE)))</f>
        <v>72.7</v>
      </c>
      <c r="M26" s="303"/>
    </row>
    <row r="27" spans="2:13" s="16" customFormat="1" ht="15" customHeight="1">
      <c r="B27" s="77" t="s">
        <v>27</v>
      </c>
      <c r="C27" s="153">
        <f>IF(ISERROR(VLOOKUP(School_Code&amp;"ELL and Former ELL",School_Data,21,FALSE)),"",(VLOOKUP(School_Code&amp;"ELL and Former ELL",School_Data,21,FALSE)))</f>
        <v>38.299999999999997</v>
      </c>
      <c r="D27" s="154">
        <f>IF(ISERROR(VLOOKUP(School_Code&amp;"ELL and Former ELL",School_Data,22,FALSE)),"",(VLOOKUP(School_Code&amp;"ELL and Former ELL",School_Data,22,FALSE)))</f>
        <v>43.4</v>
      </c>
      <c r="E27" s="154">
        <f>IF(ISERROR(VLOOKUP(School_Code&amp;"ELL and Former ELL",School_Data,23,FALSE)),"",(VLOOKUP(School_Code&amp;"ELL and Former ELL",School_Data,23,FALSE)))</f>
        <v>33.700000000000003</v>
      </c>
      <c r="F27" s="154">
        <f>IF(ISERROR(VLOOKUP(School_Code&amp;"ELL and Former ELL",School_Data,24,FALSE)),"",(VLOOKUP(School_Code&amp;"ELL and Former ELL",School_Data,24,FALSE)))</f>
        <v>48.6</v>
      </c>
      <c r="G27" s="154">
        <f>IF(ISERROR(VLOOKUP(School_Code&amp;"ELL and Former ELL",School_Data,25,FALSE)),"",(VLOOKUP(School_Code&amp;"ELL and Former ELL",School_Data,25,FALSE)))</f>
        <v>39</v>
      </c>
      <c r="H27" s="76">
        <f>IF(ISERROR(VLOOKUP(School_Code&amp;"ELL and Former ELL",School_Data,26,FALSE)),"",(VLOOKUP(School_Code&amp;"ELL and Former ELL",School_Data,26,FALSE)))</f>
        <v>53.7</v>
      </c>
      <c r="I27" s="131"/>
      <c r="J27" s="25">
        <f>IF(ISERROR(VLOOKUP(School_Code&amp;"ELL and Former ELL",School_Data,27,FALSE)),"",(VLOOKUP(School_Code&amp;"ELL and Former ELL",School_Data,27,FALSE)))</f>
        <v>58.9</v>
      </c>
      <c r="K27" s="25">
        <f>IF(ISERROR(VLOOKUP(School_Code&amp;"ELL and Former ELL",School_Data,28,FALSE)),"",(VLOOKUP(School_Code&amp;"ELL and Former ELL",School_Data,28,FALSE)))</f>
        <v>64</v>
      </c>
      <c r="L27" s="26">
        <f>IF(ISERROR(VLOOKUP(School_Code&amp;"ELL and Former ELL",School_Data,29,FALSE)),"",(VLOOKUP(School_Code&amp;"ELL and Former ELL",School_Data,29,FALSE)))</f>
        <v>69.2</v>
      </c>
      <c r="M27" s="303"/>
    </row>
    <row r="28" spans="2:13" s="16" customFormat="1" ht="15" customHeight="1">
      <c r="B28" s="77" t="s">
        <v>28</v>
      </c>
      <c r="C28" s="153">
        <f>IF(ISERROR(VLOOKUP(School_Code&amp;"Students w/disabilities",School_Data,21,FALSE)),"",(VLOOKUP(School_Code&amp;"Students w/disabilities",School_Data,21,FALSE)))</f>
        <v>28.1</v>
      </c>
      <c r="D28" s="154">
        <f>IF(ISERROR(VLOOKUP(School_Code&amp;"Students w/disabilities",School_Data,22,FALSE)),"",(VLOOKUP(School_Code&amp;"Students w/disabilities",School_Data,22,FALSE)))</f>
        <v>34.1</v>
      </c>
      <c r="E28" s="154">
        <f>IF(ISERROR(VLOOKUP(School_Code&amp;"Students w/disabilities",School_Data,23,FALSE)),"",(VLOOKUP(School_Code&amp;"Students w/disabilities",School_Data,23,FALSE)))</f>
        <v>28.6</v>
      </c>
      <c r="F28" s="154">
        <f>IF(ISERROR(VLOOKUP(School_Code&amp;"Students w/disabilities",School_Data,24,FALSE)),"",(VLOOKUP(School_Code&amp;"Students w/disabilities",School_Data,24,FALSE)))</f>
        <v>40.1</v>
      </c>
      <c r="G28" s="154">
        <f>IF(ISERROR(VLOOKUP(School_Code&amp;"Students w/disabilities",School_Data,25,FALSE)),"",(VLOOKUP(School_Code&amp;"Students w/disabilities",School_Data,25,FALSE)))</f>
        <v>26.8</v>
      </c>
      <c r="H28" s="76">
        <f>IF(ISERROR(VLOOKUP(School_Code&amp;"Students w/disabilities",School_Data,26,FALSE)),"",(VLOOKUP(School_Code&amp;"Students w/disabilities",School_Data,26,FALSE)))</f>
        <v>46.1</v>
      </c>
      <c r="I28" s="131"/>
      <c r="J28" s="25">
        <f>IF(ISERROR(VLOOKUP(School_Code&amp;"Students w/disabilities",School_Data,27,FALSE)),"",(VLOOKUP(School_Code&amp;"Students w/disabilities",School_Data,27,FALSE)))</f>
        <v>52.1</v>
      </c>
      <c r="K28" s="25">
        <f>IF(ISERROR(VLOOKUP(School_Code&amp;"Students w/disabilities",School_Data,28,FALSE)),"",(VLOOKUP(School_Code&amp;"Students w/disabilities",School_Data,28,FALSE)))</f>
        <v>58.1</v>
      </c>
      <c r="L28" s="26">
        <f>IF(ISERROR(VLOOKUP(School_Code&amp;"Students w/disabilities",School_Data,29,FALSE)),"",(VLOOKUP(School_Code&amp;"Students w/disabilities",School_Data,29,FALSE)))</f>
        <v>64.099999999999994</v>
      </c>
      <c r="M28" s="303"/>
    </row>
    <row r="29" spans="2:13" s="16" customFormat="1" ht="15" customHeight="1">
      <c r="B29" s="77" t="s">
        <v>29</v>
      </c>
      <c r="C29" s="153" t="str">
        <f>IF(ISERROR(VLOOKUP(School_Code&amp;"Amer. Ind. or Alaska Nat.",School_Data,21,FALSE)),"",(VLOOKUP(School_Code&amp;"Amer. Ind. or Alaska Nat.",School_Data,21,FALSE)))</f>
        <v>--</v>
      </c>
      <c r="D29" s="154" t="str">
        <f>IF(ISERROR(VLOOKUP(School_Code&amp;"Amer. Ind. or Alaska Nat.",School_Data,22,FALSE)),"",(VLOOKUP(School_Code&amp;"Amer. Ind. or Alaska Nat.",School_Data,22,FALSE)))</f>
        <v>--</v>
      </c>
      <c r="E29" s="154" t="str">
        <f>IF(ISERROR(VLOOKUP(School_Code&amp;"Amer. Ind. or Alaska Nat.",School_Data,23,FALSE)),"",(VLOOKUP(School_Code&amp;"Amer. Ind. or Alaska Nat.",School_Data,23,FALSE)))</f>
        <v>--</v>
      </c>
      <c r="F29" s="154" t="str">
        <f>IF(ISERROR(VLOOKUP(School_Code&amp;"Amer. Ind. or Alaska Nat.",School_Data,24,FALSE)),"",(VLOOKUP(School_Code&amp;"Amer. Ind. or Alaska Nat.",School_Data,24,FALSE)))</f>
        <v>--</v>
      </c>
      <c r="G29" s="154" t="str">
        <f>IF(ISERROR(VLOOKUP(School_Code&amp;"Amer. Ind. or Alaska Nat.",School_Data,25,FALSE)),"",(VLOOKUP(School_Code&amp;"Amer. Ind. or Alaska Nat.",School_Data,25,FALSE)))</f>
        <v>--</v>
      </c>
      <c r="H29" s="76" t="str">
        <f>IF(ISERROR(VLOOKUP(School_Code&amp;"Amer. Ind. or Alaska Nat.",School_Data,26,FALSE)),"",(VLOOKUP(School_Code&amp;"Amer. Ind. or Alaska Nat.",School_Data,26,FALSE)))</f>
        <v>--</v>
      </c>
      <c r="I29" s="131"/>
      <c r="J29" s="25" t="str">
        <f>IF(ISERROR(VLOOKUP(School_Code&amp;"Amer. Ind. or Alaska Nat.",School_Data,27,FALSE)),"",(VLOOKUP(School_Code&amp;"Amer. Ind. or Alaska Nat.",School_Data,27,FALSE)))</f>
        <v>--</v>
      </c>
      <c r="K29" s="25" t="str">
        <f>IF(ISERROR(VLOOKUP(School_Code&amp;"Amer. Ind. or Alaska Nat.",School_Data,28,FALSE)),"",(VLOOKUP(School_Code&amp;"Amer. Ind. or Alaska Nat.",School_Data,28,FALSE)))</f>
        <v>--</v>
      </c>
      <c r="L29" s="26" t="str">
        <f>IF(ISERROR(VLOOKUP(School_Code&amp;"Amer. Ind. or Alaska Nat.",School_Data,29,FALSE)),"",(VLOOKUP(School_Code&amp;"Amer. Ind. or Alaska Nat.",School_Data,29,FALSE)))</f>
        <v>--</v>
      </c>
      <c r="M29" s="303"/>
    </row>
    <row r="30" spans="2:13" s="16" customFormat="1" ht="15" customHeight="1">
      <c r="B30" s="77" t="s">
        <v>30</v>
      </c>
      <c r="C30" s="153" t="str">
        <f>IF(ISERROR(VLOOKUP(School_Code&amp;"Asian",School_Data,21,FALSE)),"",(VLOOKUP(School_Code&amp;"Asian",School_Data,21,FALSE)))</f>
        <v>--</v>
      </c>
      <c r="D30" s="154" t="str">
        <f>IF(ISERROR(VLOOKUP(School_Code&amp;"Asian",School_Data,22,FALSE)),"",(VLOOKUP(School_Code&amp;"Asian",School_Data,22,FALSE)))</f>
        <v>--</v>
      </c>
      <c r="E30" s="154" t="str">
        <f>IF(ISERROR(VLOOKUP(School_Code&amp;"Asian",School_Data,23,FALSE)),"",(VLOOKUP(School_Code&amp;"Asian",School_Data,23,FALSE)))</f>
        <v>--</v>
      </c>
      <c r="F30" s="154" t="str">
        <f>IF(ISERROR(VLOOKUP(School_Code&amp;"Asian",School_Data,24,FALSE)),"",(VLOOKUP(School_Code&amp;"Asian",School_Data,24,FALSE)))</f>
        <v>--</v>
      </c>
      <c r="G30" s="154" t="str">
        <f>IF(ISERROR(VLOOKUP(School_Code&amp;"Asian",School_Data,25,FALSE)),"",(VLOOKUP(School_Code&amp;"Asian",School_Data,25,FALSE)))</f>
        <v>--</v>
      </c>
      <c r="H30" s="76" t="str">
        <f>IF(ISERROR(VLOOKUP(School_Code&amp;"Asian",School_Data,26,FALSE)),"",(VLOOKUP(School_Code&amp;"Asian",School_Data,26,FALSE)))</f>
        <v>--</v>
      </c>
      <c r="I30" s="131"/>
      <c r="J30" s="25" t="str">
        <f>IF(ISERROR(VLOOKUP(School_Code&amp;"Asian",School_Data,27,FALSE)),"",(VLOOKUP(School_Code&amp;"Asian",School_Data,27,FALSE)))</f>
        <v>--</v>
      </c>
      <c r="K30" s="25" t="str">
        <f>IF(ISERROR(VLOOKUP(School_Code&amp;"Asian",School_Data,28,FALSE)),"",(VLOOKUP(School_Code&amp;"Asian",School_Data,28,FALSE)))</f>
        <v>--</v>
      </c>
      <c r="L30" s="26" t="str">
        <f>IF(ISERROR(VLOOKUP(School_Code&amp;"Asian",School_Data,29,FALSE)),"",(VLOOKUP(School_Code&amp;"Asian",School_Data,29,FALSE)))</f>
        <v>--</v>
      </c>
      <c r="M30" s="303"/>
    </row>
    <row r="31" spans="2:13" s="16" customFormat="1" ht="15" customHeight="1">
      <c r="B31" s="77" t="s">
        <v>45</v>
      </c>
      <c r="C31" s="153" t="str">
        <f>IF(ISERROR(VLOOKUP(School_Code&amp;"Afr. Amer/Black",School_Data,21,FALSE)),"",(VLOOKUP(School_Code&amp;"Afr. Amer/Black",School_Data,21,FALSE)))</f>
        <v>--</v>
      </c>
      <c r="D31" s="154" t="str">
        <f>IF(ISERROR(VLOOKUP(School_Code&amp;"Afr. Amer/Black",School_Data,22,FALSE)),"",(VLOOKUP(School_Code&amp;"Afr. Amer/Black",School_Data,22,FALSE)))</f>
        <v>--</v>
      </c>
      <c r="E31" s="154" t="str">
        <f>IF(ISERROR(VLOOKUP(School_Code&amp;"Afr. Amer/Black",School_Data,23,FALSE)),"",(VLOOKUP(School_Code&amp;"Afr. Amer/Black",School_Data,23,FALSE)))</f>
        <v>--</v>
      </c>
      <c r="F31" s="154" t="str">
        <f>IF(ISERROR(VLOOKUP(School_Code&amp;"Afr. Amer/Black",School_Data,24,FALSE)),"",(VLOOKUP(School_Code&amp;"Afr. Amer/Black",School_Data,24,FALSE)))</f>
        <v>--</v>
      </c>
      <c r="G31" s="154" t="str">
        <f>IF(ISERROR(VLOOKUP(School_Code&amp;"Afr. Amer/Black",School_Data,25,FALSE)),"",(VLOOKUP(School_Code&amp;"Afr. Amer/Black",School_Data,25,FALSE)))</f>
        <v>--</v>
      </c>
      <c r="H31" s="76" t="str">
        <f>IF(ISERROR(VLOOKUP(School_Code&amp;"Afr. Amer/Black",School_Data,26,FALSE)),"",(VLOOKUP(School_Code&amp;"Afr. Amer/Black",School_Data,26,FALSE)))</f>
        <v>--</v>
      </c>
      <c r="I31" s="131"/>
      <c r="J31" s="25" t="str">
        <f>IF(ISERROR(VLOOKUP(School_Code&amp;"Afr. Amer/Black",School_Data,27,FALSE)),"",(VLOOKUP(School_Code&amp;"Afr. Amer/Black",School_Data,27,FALSE)))</f>
        <v>--</v>
      </c>
      <c r="K31" s="25" t="str">
        <f>IF(ISERROR(VLOOKUP(School_Code&amp;"Afr. Amer/Black",School_Data,28,FALSE)),"",(VLOOKUP(School_Code&amp;"Afr. Amer/Black",School_Data,28,FALSE)))</f>
        <v>--</v>
      </c>
      <c r="L31" s="26" t="str">
        <f>IF(ISERROR(VLOOKUP(School_Code&amp;"Afr. Amer/Black",School_Data,29,FALSE)),"",(VLOOKUP(School_Code&amp;"Afr. Amer/Black",School_Data,29,FALSE)))</f>
        <v>--</v>
      </c>
      <c r="M31" s="303"/>
    </row>
    <row r="32" spans="2:13" s="16" customFormat="1" ht="15" customHeight="1">
      <c r="B32" s="77" t="s">
        <v>32</v>
      </c>
      <c r="C32" s="153">
        <f>IF(ISERROR(VLOOKUP(School_Code&amp;"Hispanic/Latino",School_Data,21,FALSE)),"",(VLOOKUP(School_Code&amp;"Hispanic/Latino",School_Data,21,FALSE)))</f>
        <v>45.5</v>
      </c>
      <c r="D32" s="154">
        <f>IF(ISERROR(VLOOKUP(School_Code&amp;"Hispanic/Latino",School_Data,22,FALSE)),"",(VLOOKUP(School_Code&amp;"Hispanic/Latino",School_Data,22,FALSE)))</f>
        <v>50</v>
      </c>
      <c r="E32" s="154">
        <f>IF(ISERROR(VLOOKUP(School_Code&amp;"Hispanic/Latino",School_Data,23,FALSE)),"",(VLOOKUP(School_Code&amp;"Hispanic/Latino",School_Data,23,FALSE)))</f>
        <v>42.1</v>
      </c>
      <c r="F32" s="154">
        <f>IF(ISERROR(VLOOKUP(School_Code&amp;"Hispanic/Latino",School_Data,24,FALSE)),"",(VLOOKUP(School_Code&amp;"Hispanic/Latino",School_Data,24,FALSE)))</f>
        <v>54.6</v>
      </c>
      <c r="G32" s="154">
        <f>IF(ISERROR(VLOOKUP(School_Code&amp;"Hispanic/Latino",School_Data,25,FALSE)),"",(VLOOKUP(School_Code&amp;"Hispanic/Latino",School_Data,25,FALSE)))</f>
        <v>42.8</v>
      </c>
      <c r="H32" s="76">
        <f>IF(ISERROR(VLOOKUP(School_Code&amp;"Hispanic/Latino",School_Data,26,FALSE)),"",(VLOOKUP(School_Code&amp;"Hispanic/Latino",School_Data,26,FALSE)))</f>
        <v>59.1</v>
      </c>
      <c r="I32" s="131"/>
      <c r="J32" s="25">
        <f>IF(ISERROR(VLOOKUP(School_Code&amp;"Hispanic/Latino",School_Data,27,FALSE)),"",(VLOOKUP(School_Code&amp;"Hispanic/Latino",School_Data,27,FALSE)))</f>
        <v>63.7</v>
      </c>
      <c r="K32" s="25">
        <f>IF(ISERROR(VLOOKUP(School_Code&amp;"Hispanic/Latino",School_Data,28,FALSE)),"",(VLOOKUP(School_Code&amp;"Hispanic/Latino",School_Data,28,FALSE)))</f>
        <v>68.2</v>
      </c>
      <c r="L32" s="26">
        <f>IF(ISERROR(VLOOKUP(School_Code&amp;"Hispanic/Latino",School_Data,29,FALSE)),"",(VLOOKUP(School_Code&amp;"Hispanic/Latino",School_Data,29,FALSE)))</f>
        <v>72.8</v>
      </c>
      <c r="M32" s="303"/>
    </row>
    <row r="33" spans="2:13" s="16" customFormat="1" ht="15" customHeight="1">
      <c r="B33" s="77" t="s">
        <v>33</v>
      </c>
      <c r="C33" s="153" t="str">
        <f>IF(ISERROR(VLOOKUP(School_Code&amp;"Multi-race, Non-Hisp./Lat.",School_Data,21,FALSE)),"",(VLOOKUP(School_Code&amp;"Multi-race, Non-Hisp./Lat.",School_Data,21,FALSE)))</f>
        <v>--</v>
      </c>
      <c r="D33" s="154" t="str">
        <f>IF(ISERROR(VLOOKUP(School_Code&amp;"Multi-race, Non-Hisp./Lat.",School_Data,22,FALSE)),"",(VLOOKUP(School_Code&amp;"Multi-race, Non-Hisp./Lat.",School_Data,22,FALSE)))</f>
        <v>--</v>
      </c>
      <c r="E33" s="154" t="str">
        <f>IF(ISERROR(VLOOKUP(School_Code&amp;"Multi-race, Non-Hisp./Lat.",School_Data,23,FALSE)),"",(VLOOKUP(School_Code&amp;"Multi-race, Non-Hisp./Lat.",School_Data,23,FALSE)))</f>
        <v>--</v>
      </c>
      <c r="F33" s="154" t="str">
        <f>IF(ISERROR(VLOOKUP(School_Code&amp;"Multi-race, Non-Hisp./Lat.",School_Data,24,FALSE)),"",(VLOOKUP(School_Code&amp;"Multi-race, Non-Hisp./Lat.",School_Data,24,FALSE)))</f>
        <v>--</v>
      </c>
      <c r="G33" s="154" t="str">
        <f>IF(ISERROR(VLOOKUP(School_Code&amp;"Multi-race, Non-Hisp./Lat.",School_Data,25,FALSE)),"",(VLOOKUP(School_Code&amp;"Multi-race, Non-Hisp./Lat.",School_Data,25,FALSE)))</f>
        <v>--</v>
      </c>
      <c r="H33" s="76" t="str">
        <f>IF(ISERROR(VLOOKUP(School_Code&amp;"Multi-race, Non-Hisp./Lat.",School_Data,26,FALSE)),"",(VLOOKUP(School_Code&amp;"Multi-race, Non-Hisp./Lat.",School_Data,26,FALSE)))</f>
        <v>--</v>
      </c>
      <c r="I33" s="131"/>
      <c r="J33" s="25" t="str">
        <f>IF(ISERROR(VLOOKUP(School_Code&amp;"Multi-race, Non-Hisp./Lat.",School_Data,27,FALSE)),"",(VLOOKUP(School_Code&amp;"Multi-race, Non-Hisp./Lat.",School_Data,27,FALSE)))</f>
        <v>--</v>
      </c>
      <c r="K33" s="25" t="str">
        <f>IF(ISERROR(VLOOKUP(School_Code&amp;"Multi-race, Non-Hisp./Lat.",School_Data,28,FALSE)),"",(VLOOKUP(School_Code&amp;"Multi-race, Non-Hisp./Lat.",School_Data,28,FALSE)))</f>
        <v>--</v>
      </c>
      <c r="L33" s="26" t="str">
        <f>IF(ISERROR(VLOOKUP(School_Code&amp;"Multi-race, Non-Hisp./Lat.",School_Data,29,FALSE)),"",(VLOOKUP(School_Code&amp;"Multi-race, Non-Hisp./Lat.",School_Data,29,FALSE)))</f>
        <v>--</v>
      </c>
      <c r="M33" s="303"/>
    </row>
    <row r="34" spans="2:13" s="16" customFormat="1" ht="15" customHeight="1">
      <c r="B34" s="77" t="s">
        <v>34</v>
      </c>
      <c r="C34" s="153" t="str">
        <f>IF(ISERROR(VLOOKUP(School_Code&amp;"Nat. Haw. or Pacif. Isl.",School_Data,21,FALSE)),"",(VLOOKUP(School_Code&amp;"Nat. Haw. or Pacif. Isl.",School_Data,21,FALSE)))</f>
        <v>--</v>
      </c>
      <c r="D34" s="154" t="str">
        <f>IF(ISERROR(VLOOKUP(School_Code&amp;"Nat. Haw. or Pacif. Isl.",School_Data,22,FALSE)),"",(VLOOKUP(School_Code&amp;"Nat. Haw. or Pacif. Isl.",School_Data,22,FALSE)))</f>
        <v>--</v>
      </c>
      <c r="E34" s="154" t="str">
        <f>IF(ISERROR(VLOOKUP(School_Code&amp;"Nat. Haw. or Pacif. Isl.",School_Data,23,FALSE)),"",(VLOOKUP(School_Code&amp;"Nat. Haw. or Pacif. Isl.",School_Data,23,FALSE)))</f>
        <v>--</v>
      </c>
      <c r="F34" s="154" t="str">
        <f>IF(ISERROR(VLOOKUP(School_Code&amp;"Nat. Haw. or Pacif. Isl.",School_Data,24,FALSE)),"",(VLOOKUP(School_Code&amp;"Nat. Haw. or Pacif. Isl.",School_Data,24,FALSE)))</f>
        <v>--</v>
      </c>
      <c r="G34" s="154" t="str">
        <f>IF(ISERROR(VLOOKUP(School_Code&amp;"Nat. Haw. or Pacif. Isl.",School_Data,25,FALSE)),"",(VLOOKUP(School_Code&amp;"Nat. Haw. or Pacif. Isl.",School_Data,25,FALSE)))</f>
        <v>--</v>
      </c>
      <c r="H34" s="76" t="str">
        <f>IF(ISERROR(VLOOKUP(School_Code&amp;"Nat. Haw. or Pacif. Isl.",School_Data,26,FALSE)),"",(VLOOKUP(School_Code&amp;"Nat. Haw. or Pacif. Isl.",School_Data,26,FALSE)))</f>
        <v>--</v>
      </c>
      <c r="I34" s="131"/>
      <c r="J34" s="25" t="str">
        <f>IF(ISERROR(VLOOKUP(School_Code&amp;"Nat. Haw. or Pacif. Isl.",School_Data,27,FALSE)),"",(VLOOKUP(School_Code&amp;"Nat. Haw. or Pacif. Isl.",School_Data,27,FALSE)))</f>
        <v>--</v>
      </c>
      <c r="K34" s="25" t="str">
        <f>IF(ISERROR(VLOOKUP(School_Code&amp;"Nat. Haw. or Pacif. Isl.",School_Data,28,FALSE)),"",(VLOOKUP(School_Code&amp;"Nat. Haw. or Pacif. Isl.",School_Data,28,FALSE)))</f>
        <v>--</v>
      </c>
      <c r="L34" s="26" t="str">
        <f>IF(ISERROR(VLOOKUP(School_Code&amp;"Nat. Haw. or Pacif. Isl.",School_Data,29,FALSE)),"",(VLOOKUP(School_Code&amp;"Nat. Haw. or Pacif. Isl.",School_Data,29,FALSE)))</f>
        <v>--</v>
      </c>
      <c r="M34" s="303"/>
    </row>
    <row r="35" spans="2:13" s="16" customFormat="1" ht="15" customHeight="1">
      <c r="B35" s="78" t="s">
        <v>35</v>
      </c>
      <c r="C35" s="155" t="str">
        <f>IF(ISERROR(VLOOKUP(School_Code&amp;"White",School_Data,21,FALSE)),"",(VLOOKUP(School_Code&amp;"White",School_Data,21,FALSE)))</f>
        <v>--</v>
      </c>
      <c r="D35" s="156" t="str">
        <f>IF(ISERROR(VLOOKUP(School_Code&amp;"White",School_Data,22,FALSE)),"",(VLOOKUP(School_Code&amp;"White",School_Data,22,FALSE)))</f>
        <v>--</v>
      </c>
      <c r="E35" s="156" t="str">
        <f>IF(ISERROR(VLOOKUP(School_Code&amp;"White",School_Data,23,FALSE)),"",(VLOOKUP(School_Code&amp;"White",School_Data,23,FALSE)))</f>
        <v>--</v>
      </c>
      <c r="F35" s="156" t="str">
        <f>IF(ISERROR(VLOOKUP(School_Code&amp;"White",School_Data,24,FALSE)),"",(VLOOKUP(School_Code&amp;"White",School_Data,24,FALSE)))</f>
        <v>--</v>
      </c>
      <c r="G35" s="156" t="str">
        <f>IF(ISERROR(VLOOKUP(School_Code&amp;"White",School_Data,25,FALSE)),"",(VLOOKUP(School_Code&amp;"White",School_Data,25,FALSE)))</f>
        <v>--</v>
      </c>
      <c r="H35" s="41" t="str">
        <f>IF(ISERROR(VLOOKUP(School_Code&amp;"White",School_Data,26,FALSE)),"",(VLOOKUP(School_Code&amp;"White",School_Data,26,FALSE)))</f>
        <v>--</v>
      </c>
      <c r="I35" s="41"/>
      <c r="J35" s="42" t="str">
        <f>IF(ISERROR(VLOOKUP(School_Code&amp;"White",School_Data,27,FALSE)),"",(VLOOKUP(School_Code&amp;"White",School_Data,27,FALSE)))</f>
        <v>--</v>
      </c>
      <c r="K35" s="42" t="str">
        <f>IF(ISERROR(VLOOKUP(School_Code&amp;"White",School_Data,28,FALSE)),"",(VLOOKUP(School_Code&amp;"White",School_Data,28,FALSE)))</f>
        <v>--</v>
      </c>
      <c r="L35" s="109" t="str">
        <f>IF(ISERROR(VLOOKUP(School_Code&amp;"White",School_Data,29,FALSE)),"",(VLOOKUP(School_Code&amp;"White",School_Data,29,FALSE)))</f>
        <v>--</v>
      </c>
      <c r="M35" s="303"/>
    </row>
    <row r="36" spans="2:13" s="16" customFormat="1" ht="94.9" customHeight="1">
      <c r="B36" s="74" t="s">
        <v>47</v>
      </c>
      <c r="C36" s="287">
        <f>IF(ISERROR(VLOOKUP(School_Code&amp;"All students",School_Data,30,FALSE)),"",(VLOOKUP(School_Code&amp;"All students",School_Data,30,FALSE)))</f>
        <v>38</v>
      </c>
      <c r="D36" s="291">
        <f>IF(ISERROR(VLOOKUP(School_Code&amp;"All students",School_Data,31,FALSE)),"",(VLOOKUP(School_Code&amp;"All students",School_Data,31,FALSE)))</f>
        <v>43.2</v>
      </c>
      <c r="E36" s="291">
        <f>IF(ISERROR(VLOOKUP(School_Code&amp;"All students",School_Data,32,FALSE)),"",(VLOOKUP(School_Code&amp;"All students",School_Data,32,FALSE)))</f>
        <v>35.1</v>
      </c>
      <c r="F36" s="291">
        <f>IF(ISERROR(VLOOKUP(School_Code&amp;"All students",School_Data,33,FALSE)),"",(VLOOKUP(School_Code&amp;"All students",School_Data,33,FALSE)))</f>
        <v>48.3</v>
      </c>
      <c r="G36" s="291">
        <f>IF(ISERROR(VLOOKUP(School_Code&amp;"All students",School_Data,34,FALSE)),"",(VLOOKUP(School_Code&amp;"All students",School_Data,34,FALSE)))</f>
        <v>36.9</v>
      </c>
      <c r="H36" s="304">
        <f>IF(ISERROR(VLOOKUP(School_Code&amp;"All students",School_Data,35,FALSE)),"",(VLOOKUP(School_Code&amp;"All students",School_Data,35,FALSE)))</f>
        <v>53.5</v>
      </c>
      <c r="I36" s="130"/>
      <c r="J36" s="298">
        <f>IF(ISERROR(VLOOKUP(School_Code&amp;"All students",School_Data,36,FALSE)),"",(VLOOKUP(School_Code&amp;"All students",School_Data,36,FALSE)))</f>
        <v>58.7</v>
      </c>
      <c r="K36" s="298">
        <f>IF(ISERROR(VLOOKUP(School_Code&amp;"All students",School_Data,37,FALSE)),"",(VLOOKUP(School_Code&amp;"All students",School_Data,37,FALSE)))</f>
        <v>63.8</v>
      </c>
      <c r="L36" s="300">
        <f>IF(ISERROR(VLOOKUP(School_Code&amp;"All students",School_Data,38,FALSE)),"",(VLOOKUP(School_Code&amp;"All students",School_Data,38,FALSE)))</f>
        <v>69</v>
      </c>
      <c r="M36" s="293"/>
    </row>
    <row r="37" spans="2:13" s="16" customFormat="1" ht="25.5" hidden="1" customHeight="1">
      <c r="B37" s="13" t="s">
        <v>24</v>
      </c>
      <c r="C37" s="288"/>
      <c r="D37" s="292"/>
      <c r="E37" s="292"/>
      <c r="F37" s="292"/>
      <c r="G37" s="292"/>
      <c r="H37" s="305"/>
      <c r="I37" s="131"/>
      <c r="J37" s="299"/>
      <c r="K37" s="299"/>
      <c r="L37" s="301"/>
      <c r="M37" s="285"/>
    </row>
    <row r="38" spans="2:13" s="16" customFormat="1" ht="15" customHeight="1">
      <c r="B38" s="77" t="s">
        <v>25</v>
      </c>
      <c r="C38" s="153">
        <f>IF(ISERROR(VLOOKUP(School_Code&amp;"High needs",School_Data,30,FALSE)),"",(VLOOKUP(School_Code&amp;"High needs",School_Data,30,FALSE)))</f>
        <v>38</v>
      </c>
      <c r="D38" s="154">
        <f>IF(ISERROR(VLOOKUP(School_Code&amp;"High needs",School_Data,31,FALSE)),"",(VLOOKUP(School_Code&amp;"High needs",School_Data,31,FALSE)))</f>
        <v>43.2</v>
      </c>
      <c r="E38" s="154">
        <f>IF(ISERROR(VLOOKUP(School_Code&amp;"High needs",School_Data,32,FALSE)),"",(VLOOKUP(School_Code&amp;"High needs",School_Data,32,FALSE)))</f>
        <v>35.1</v>
      </c>
      <c r="F38" s="154">
        <f>IF(ISERROR(VLOOKUP(School_Code&amp;"High needs",School_Data,33,FALSE)),"",(VLOOKUP(School_Code&amp;"High needs",School_Data,33,FALSE)))</f>
        <v>48.3</v>
      </c>
      <c r="G38" s="154">
        <f>IF(ISERROR(VLOOKUP(School_Code&amp;"High needs",School_Data,34,FALSE)),"",(VLOOKUP(School_Code&amp;"High needs",School_Data,34,FALSE)))</f>
        <v>37.200000000000003</v>
      </c>
      <c r="H38" s="76">
        <f>IF(ISERROR(VLOOKUP(School_Code&amp;"High needs",School_Data,35,FALSE)),"",(VLOOKUP(School_Code&amp;"High needs",School_Data,35,FALSE)))</f>
        <v>53.5</v>
      </c>
      <c r="I38" s="131"/>
      <c r="J38" s="76">
        <f>IF(ISERROR(VLOOKUP(School_Code&amp;"High needs",School_Data,36,FALSE)),"",(VLOOKUP(School_Code&amp;"High needs",School_Data,36,FALSE)))</f>
        <v>58.7</v>
      </c>
      <c r="K38" s="76">
        <f>IF(ISERROR(VLOOKUP(School_Code&amp;"High needs",School_Data,37,FALSE)),"",(VLOOKUP(School_Code&amp;"High needs",School_Data,37,FALSE)))</f>
        <v>63.8</v>
      </c>
      <c r="L38" s="19">
        <f>IF(ISERROR(VLOOKUP(School_Code&amp;"High needs",School_Data,38,FALSE)),"",(VLOOKUP(School_Code&amp;"High needs",School_Data,38,FALSE)))</f>
        <v>69</v>
      </c>
      <c r="M38" s="285"/>
    </row>
    <row r="39" spans="2:13" s="16" customFormat="1" ht="15" customHeight="1">
      <c r="B39" s="77" t="s">
        <v>26</v>
      </c>
      <c r="C39" s="153">
        <f>IF(ISERROR(VLOOKUP(School_Code&amp;"Low income",School_Data,30,FALSE)),"",(VLOOKUP(School_Code&amp;"Low income",School_Data,30,FALSE)))</f>
        <v>38</v>
      </c>
      <c r="D39" s="154">
        <f>IF(ISERROR(VLOOKUP(School_Code&amp;"Low income",School_Data,31,FALSE)),"",(VLOOKUP(School_Code&amp;"Low income",School_Data,31,FALSE)))</f>
        <v>43.2</v>
      </c>
      <c r="E39" s="154">
        <f>IF(ISERROR(VLOOKUP(School_Code&amp;"Low income",School_Data,32,FALSE)),"",(VLOOKUP(School_Code&amp;"Low income",School_Data,32,FALSE)))</f>
        <v>35.299999999999997</v>
      </c>
      <c r="F39" s="154">
        <f>IF(ISERROR(VLOOKUP(School_Code&amp;"Low income",School_Data,33,FALSE)),"",(VLOOKUP(School_Code&amp;"Low income",School_Data,33,FALSE)))</f>
        <v>48.3</v>
      </c>
      <c r="G39" s="154">
        <f>IF(ISERROR(VLOOKUP(School_Code&amp;"Low income",School_Data,34,FALSE)),"",(VLOOKUP(School_Code&amp;"Low income",School_Data,34,FALSE)))</f>
        <v>37.299999999999997</v>
      </c>
      <c r="H39" s="76">
        <f>IF(ISERROR(VLOOKUP(School_Code&amp;"Low income",School_Data,35,FALSE)),"",(VLOOKUP(School_Code&amp;"Low income",School_Data,35,FALSE)))</f>
        <v>53.5</v>
      </c>
      <c r="I39" s="131"/>
      <c r="J39" s="76">
        <f>IF(ISERROR(VLOOKUP(School_Code&amp;"Low income",School_Data,36,FALSE)),"",(VLOOKUP(School_Code&amp;"Low income",School_Data,36,FALSE)))</f>
        <v>58.7</v>
      </c>
      <c r="K39" s="76">
        <f>IF(ISERROR(VLOOKUP(School_Code&amp;"Low income",School_Data,37,FALSE)),"",(VLOOKUP(School_Code&amp;"Low income",School_Data,37,FALSE)))</f>
        <v>63.8</v>
      </c>
      <c r="L39" s="19">
        <f>IF(ISERROR(VLOOKUP(School_Code&amp;"Low income",School_Data,38,FALSE)),"",(VLOOKUP(School_Code&amp;"Low income",School_Data,38,FALSE)))</f>
        <v>69</v>
      </c>
      <c r="M39" s="285"/>
    </row>
    <row r="40" spans="2:13" s="16" customFormat="1" ht="15" customHeight="1">
      <c r="B40" s="77" t="s">
        <v>27</v>
      </c>
      <c r="C40" s="153">
        <f>IF(ISERROR(VLOOKUP(School_Code&amp;"ELL and Former ELL",School_Data,30,FALSE)),"",(VLOOKUP(School_Code&amp;"ELL and Former ELL",School_Data,30,FALSE)))</f>
        <v>32</v>
      </c>
      <c r="D40" s="154">
        <f>IF(ISERROR(VLOOKUP(School_Code&amp;"ELL and Former ELL",School_Data,31,FALSE)),"",(VLOOKUP(School_Code&amp;"ELL and Former ELL",School_Data,31,FALSE)))</f>
        <v>37.700000000000003</v>
      </c>
      <c r="E40" s="154">
        <f>IF(ISERROR(VLOOKUP(School_Code&amp;"ELL and Former ELL",School_Data,32,FALSE)),"",(VLOOKUP(School_Code&amp;"ELL and Former ELL",School_Data,32,FALSE)))</f>
        <v>25.8</v>
      </c>
      <c r="F40" s="154">
        <f>IF(ISERROR(VLOOKUP(School_Code&amp;"ELL and Former ELL",School_Data,33,FALSE)),"",(VLOOKUP(School_Code&amp;"ELL and Former ELL",School_Data,33,FALSE)))</f>
        <v>43.3</v>
      </c>
      <c r="G40" s="154">
        <f>IF(ISERROR(VLOOKUP(School_Code&amp;"ELL and Former ELL",School_Data,34,FALSE)),"",(VLOOKUP(School_Code&amp;"ELL and Former ELL",School_Data,34,FALSE)))</f>
        <v>30.1</v>
      </c>
      <c r="H40" s="76">
        <f>IF(ISERROR(VLOOKUP(School_Code&amp;"ELL and Former ELL",School_Data,35,FALSE)),"",(VLOOKUP(School_Code&amp;"ELL and Former ELL",School_Data,35,FALSE)))</f>
        <v>49</v>
      </c>
      <c r="I40" s="131"/>
      <c r="J40" s="25">
        <f>IF(ISERROR(VLOOKUP(School_Code&amp;"ELL and Former ELL",School_Data,36,FALSE)),"",(VLOOKUP(School_Code&amp;"ELL and Former ELL",School_Data,36,FALSE)))</f>
        <v>54.7</v>
      </c>
      <c r="K40" s="25">
        <f>IF(ISERROR(VLOOKUP(School_Code&amp;"ELL and Former ELL",School_Data,37,FALSE)),"",(VLOOKUP(School_Code&amp;"ELL and Former ELL",School_Data,37,FALSE)))</f>
        <v>60.3</v>
      </c>
      <c r="L40" s="26">
        <f>IF(ISERROR(VLOOKUP(School_Code&amp;"ELL and Former ELL",School_Data,38,FALSE)),"",(VLOOKUP(School_Code&amp;"ELL and Former ELL",School_Data,38,FALSE)))</f>
        <v>66</v>
      </c>
      <c r="M40" s="285"/>
    </row>
    <row r="41" spans="2:13" s="16" customFormat="1" ht="15" customHeight="1">
      <c r="B41" s="77" t="s">
        <v>28</v>
      </c>
      <c r="C41" s="153">
        <f>IF(ISERROR(VLOOKUP(School_Code&amp;"Students w/disabilities",School_Data,30,FALSE)),"",(VLOOKUP(School_Code&amp;"Students w/disabilities",School_Data,30,FALSE)))</f>
        <v>25</v>
      </c>
      <c r="D41" s="154">
        <f>IF(ISERROR(VLOOKUP(School_Code&amp;"Students w/disabilities",School_Data,31,FALSE)),"",(VLOOKUP(School_Code&amp;"Students w/disabilities",School_Data,31,FALSE)))</f>
        <v>31.3</v>
      </c>
      <c r="E41" s="154">
        <f>IF(ISERROR(VLOOKUP(School_Code&amp;"Students w/disabilities",School_Data,32,FALSE)),"",(VLOOKUP(School_Code&amp;"Students w/disabilities",School_Data,32,FALSE)))</f>
        <v>35.700000000000003</v>
      </c>
      <c r="F41" s="154">
        <f>IF(ISERROR(VLOOKUP(School_Code&amp;"Students w/disabilities",School_Data,33,FALSE)),"",(VLOOKUP(School_Code&amp;"Students w/disabilities",School_Data,33,FALSE)))</f>
        <v>37.5</v>
      </c>
      <c r="G41" s="154">
        <f>IF(ISERROR(VLOOKUP(School_Code&amp;"Students w/disabilities",School_Data,34,FALSE)),"",(VLOOKUP(School_Code&amp;"Students w/disabilities",School_Data,34,FALSE)))</f>
        <v>28.9</v>
      </c>
      <c r="H41" s="76">
        <f>IF(ISERROR(VLOOKUP(School_Code&amp;"Students w/disabilities",School_Data,35,FALSE)),"",(VLOOKUP(School_Code&amp;"Students w/disabilities",School_Data,35,FALSE)))</f>
        <v>43.8</v>
      </c>
      <c r="I41" s="131"/>
      <c r="J41" s="25">
        <f>IF(ISERROR(VLOOKUP(School_Code&amp;"Students w/disabilities",School_Data,36,FALSE)),"",(VLOOKUP(School_Code&amp;"Students w/disabilities",School_Data,36,FALSE)))</f>
        <v>50</v>
      </c>
      <c r="K41" s="25">
        <f>IF(ISERROR(VLOOKUP(School_Code&amp;"Students w/disabilities",School_Data,37,FALSE)),"",(VLOOKUP(School_Code&amp;"Students w/disabilities",School_Data,37,FALSE)))</f>
        <v>56.3</v>
      </c>
      <c r="L41" s="26">
        <f>IF(ISERROR(VLOOKUP(School_Code&amp;"Students w/disabilities",School_Data,38,FALSE)),"",(VLOOKUP(School_Code&amp;"Students w/disabilities",School_Data,38,FALSE)))</f>
        <v>62.5</v>
      </c>
      <c r="M41" s="285"/>
    </row>
    <row r="42" spans="2:13" s="16" customFormat="1" ht="15" customHeight="1">
      <c r="B42" s="77" t="s">
        <v>29</v>
      </c>
      <c r="C42" s="153" t="str">
        <f>IF(ISERROR(VLOOKUP(School_Code&amp;"Amer. Ind. or Alaska Nat.",School_Data,30,FALSE)),"",(VLOOKUP(School_Code&amp;"Amer. Ind. or Alaska Nat.",School_Data,30,FALSE)))</f>
        <v>--</v>
      </c>
      <c r="D42" s="154" t="str">
        <f>IF(ISERROR(VLOOKUP(School_Code&amp;"Amer. Ind. or Alaska Nat.",School_Data,31,FALSE)),"",(VLOOKUP(School_Code&amp;"Amer. Ind. or Alaska Nat.",School_Data,31,FALSE)))</f>
        <v>--</v>
      </c>
      <c r="E42" s="154" t="str">
        <f>IF(ISERROR(VLOOKUP(School_Code&amp;"Amer. Ind. or Alaska Nat.",School_Data,32,FALSE)),"",(VLOOKUP(School_Code&amp;"Amer. Ind. or Alaska Nat.",School_Data,32,FALSE)))</f>
        <v>--</v>
      </c>
      <c r="F42" s="154" t="str">
        <f>IF(ISERROR(VLOOKUP(School_Code&amp;"Amer. Ind. or Alaska Nat.",School_Data,33,FALSE)),"",(VLOOKUP(School_Code&amp;"Amer. Ind. or Alaska Nat.",School_Data,33,FALSE)))</f>
        <v>--</v>
      </c>
      <c r="G42" s="154" t="str">
        <f>IF(ISERROR(VLOOKUP(School_Code&amp;"Amer. Ind. or Alaska Nat.",School_Data,34,FALSE)),"",(VLOOKUP(School_Code&amp;"Amer. Ind. or Alaska Nat.",School_Data,34,FALSE)))</f>
        <v>--</v>
      </c>
      <c r="H42" s="76" t="str">
        <f>IF(ISERROR(VLOOKUP(School_Code&amp;"Amer. Ind. or Alaska Nat.",School_Data,35,FALSE)),"",(VLOOKUP(School_Code&amp;"Amer. Ind. or Alaska Nat.",School_Data,35,FALSE)))</f>
        <v>--</v>
      </c>
      <c r="I42" s="131"/>
      <c r="J42" s="25" t="str">
        <f>IF(ISERROR(VLOOKUP(School_Code&amp;"Amer. Ind. or Alaska Nat.",School_Data,36,FALSE)),"",(VLOOKUP(School_Code&amp;"Amer. Ind. or Alaska Nat.",School_Data,36,FALSE)))</f>
        <v>--</v>
      </c>
      <c r="K42" s="25" t="str">
        <f>IF(ISERROR(VLOOKUP(School_Code&amp;"Amer. Ind. or Alaska Nat.",School_Data,37,FALSE)),"",(VLOOKUP(School_Code&amp;"Amer. Ind. or Alaska Nat.",School_Data,37,FALSE)))</f>
        <v>--</v>
      </c>
      <c r="L42" s="26" t="str">
        <f>IF(ISERROR(VLOOKUP(School_Code&amp;"Amer. Ind. or Alaska Nat.",School_Data,38,FALSE)),"",(VLOOKUP(School_Code&amp;"Amer. Ind. or Alaska Nat.",School_Data,38,FALSE)))</f>
        <v>--</v>
      </c>
      <c r="M42" s="285"/>
    </row>
    <row r="43" spans="2:13" s="16" customFormat="1" ht="15" customHeight="1">
      <c r="B43" s="77" t="s">
        <v>30</v>
      </c>
      <c r="C43" s="153" t="str">
        <f>IF(ISERROR(VLOOKUP(School_Code&amp;"Asian",School_Data,30,FALSE)),"",(VLOOKUP(School_Code&amp;"Asian",School_Data,30,FALSE)))</f>
        <v>--</v>
      </c>
      <c r="D43" s="154" t="str">
        <f>IF(ISERROR(VLOOKUP(School_Code&amp;"Asian",School_Data,31,FALSE)),"",(VLOOKUP(School_Code&amp;"Asian",School_Data,31,FALSE)))</f>
        <v>--</v>
      </c>
      <c r="E43" s="154" t="str">
        <f>IF(ISERROR(VLOOKUP(School_Code&amp;"Asian",School_Data,32,FALSE)),"",(VLOOKUP(School_Code&amp;"Asian",School_Data,32,FALSE)))</f>
        <v>--</v>
      </c>
      <c r="F43" s="154" t="str">
        <f>IF(ISERROR(VLOOKUP(School_Code&amp;"Asian",School_Data,33,FALSE)),"",(VLOOKUP(School_Code&amp;"Asian",School_Data,33,FALSE)))</f>
        <v>--</v>
      </c>
      <c r="G43" s="154" t="str">
        <f>IF(ISERROR(VLOOKUP(School_Code&amp;"Asian",School_Data,34,FALSE)),"",(VLOOKUP(School_Code&amp;"Asian",School_Data,34,FALSE)))</f>
        <v>--</v>
      </c>
      <c r="H43" s="76" t="str">
        <f>IF(ISERROR(VLOOKUP(School_Code&amp;"Asian",School_Data,35,FALSE)),"",(VLOOKUP(School_Code&amp;"Asian",School_Data,35,FALSE)))</f>
        <v>--</v>
      </c>
      <c r="I43" s="131"/>
      <c r="J43" s="25" t="str">
        <f>IF(ISERROR(VLOOKUP(School_Code&amp;"Asian",School_Data,36,FALSE)),"",(VLOOKUP(School_Code&amp;"Asian",School_Data,36,FALSE)))</f>
        <v>--</v>
      </c>
      <c r="K43" s="25" t="str">
        <f>IF(ISERROR(VLOOKUP(School_Code&amp;"Asian",School_Data,37,FALSE)),"",(VLOOKUP(School_Code&amp;"Asian",School_Data,37,FALSE)))</f>
        <v>--</v>
      </c>
      <c r="L43" s="26" t="str">
        <f>IF(ISERROR(VLOOKUP(School_Code&amp;"Asian",School_Data,38,FALSE)),"",(VLOOKUP(School_Code&amp;"Asian",School_Data,38,FALSE)))</f>
        <v>--</v>
      </c>
      <c r="M43" s="285"/>
    </row>
    <row r="44" spans="2:13" s="16" customFormat="1" ht="15" customHeight="1">
      <c r="B44" s="77" t="s">
        <v>45</v>
      </c>
      <c r="C44" s="153" t="str">
        <f>IF(ISERROR(VLOOKUP(School_Code&amp;"Afr. Amer/Black",School_Data,30,FALSE)),"",(VLOOKUP(School_Code&amp;"Afr. Amer/Black",School_Data,30,FALSE)))</f>
        <v>--</v>
      </c>
      <c r="D44" s="154" t="str">
        <f>IF(ISERROR(VLOOKUP(School_Code&amp;"Afr. Amer/Black",School_Data,31,FALSE)),"",(VLOOKUP(School_Code&amp;"Afr. Amer/Black",School_Data,31,FALSE)))</f>
        <v>--</v>
      </c>
      <c r="E44" s="154" t="str">
        <f>IF(ISERROR(VLOOKUP(School_Code&amp;"Afr. Amer/Black",School_Data,32,FALSE)),"",(VLOOKUP(School_Code&amp;"Afr. Amer/Black",School_Data,32,FALSE)))</f>
        <v>--</v>
      </c>
      <c r="F44" s="154" t="str">
        <f>IF(ISERROR(VLOOKUP(School_Code&amp;"Afr. Amer/Black",School_Data,33,FALSE)),"",(VLOOKUP(School_Code&amp;"Afr. Amer/Black",School_Data,33,FALSE)))</f>
        <v>--</v>
      </c>
      <c r="G44" s="154" t="str">
        <f>IF(ISERROR(VLOOKUP(School_Code&amp;"Afr. Amer/Black",School_Data,34,FALSE)),"",(VLOOKUP(School_Code&amp;"Afr. Amer/Black",School_Data,34,FALSE)))</f>
        <v>--</v>
      </c>
      <c r="H44" s="76" t="str">
        <f>IF(ISERROR(VLOOKUP(School_Code&amp;"Afr. Amer/Black",School_Data,35,FALSE)),"",(VLOOKUP(School_Code&amp;"Afr. Amer/Black",School_Data,35,FALSE)))</f>
        <v>--</v>
      </c>
      <c r="I44" s="131"/>
      <c r="J44" s="25" t="str">
        <f>IF(ISERROR(VLOOKUP(School_Code&amp;"Afr. Amer/Black",School_Data,36,FALSE)),"",(VLOOKUP(School_Code&amp;"Afr. Amer/Black",School_Data,36,FALSE)))</f>
        <v>--</v>
      </c>
      <c r="K44" s="25" t="str">
        <f>IF(ISERROR(VLOOKUP(School_Code&amp;"Afr. Amer/Black",School_Data,37,FALSE)),"",(VLOOKUP(School_Code&amp;"Afr. Amer/Black",School_Data,37,FALSE)))</f>
        <v>--</v>
      </c>
      <c r="L44" s="26" t="str">
        <f>IF(ISERROR(VLOOKUP(School_Code&amp;"Afr. Amer/Black",School_Data,38,FALSE)),"",(VLOOKUP(School_Code&amp;"Afr. Amer/Black",School_Data,38,FALSE)))</f>
        <v>--</v>
      </c>
      <c r="M44" s="285"/>
    </row>
    <row r="45" spans="2:13" s="16" customFormat="1" ht="15" customHeight="1">
      <c r="B45" s="77" t="s">
        <v>32</v>
      </c>
      <c r="C45" s="153">
        <f>IF(ISERROR(VLOOKUP(School_Code&amp;"Hispanic/Latino",School_Data,30,FALSE)),"",(VLOOKUP(School_Code&amp;"Hispanic/Latino",School_Data,30,FALSE)))</f>
        <v>38.4</v>
      </c>
      <c r="D45" s="154">
        <f>IF(ISERROR(VLOOKUP(School_Code&amp;"Hispanic/Latino",School_Data,31,FALSE)),"",(VLOOKUP(School_Code&amp;"Hispanic/Latino",School_Data,31,FALSE)))</f>
        <v>43.5</v>
      </c>
      <c r="E45" s="154">
        <f>IF(ISERROR(VLOOKUP(School_Code&amp;"Hispanic/Latino",School_Data,32,FALSE)),"",(VLOOKUP(School_Code&amp;"Hispanic/Latino",School_Data,32,FALSE)))</f>
        <v>36.200000000000003</v>
      </c>
      <c r="F45" s="154">
        <f>IF(ISERROR(VLOOKUP(School_Code&amp;"Hispanic/Latino",School_Data,33,FALSE)),"",(VLOOKUP(School_Code&amp;"Hispanic/Latino",School_Data,33,FALSE)))</f>
        <v>48.7</v>
      </c>
      <c r="G45" s="154">
        <f>IF(ISERROR(VLOOKUP(School_Code&amp;"Hispanic/Latino",School_Data,34,FALSE)),"",(VLOOKUP(School_Code&amp;"Hispanic/Latino",School_Data,34,FALSE)))</f>
        <v>35.4</v>
      </c>
      <c r="H45" s="76">
        <f>IF(ISERROR(VLOOKUP(School_Code&amp;"Hispanic/Latino",School_Data,35,FALSE)),"",(VLOOKUP(School_Code&amp;"Hispanic/Latino",School_Data,35,FALSE)))</f>
        <v>53.8</v>
      </c>
      <c r="I45" s="131"/>
      <c r="J45" s="25">
        <f>IF(ISERROR(VLOOKUP(School_Code&amp;"Hispanic/Latino",School_Data,36,FALSE)),"",(VLOOKUP(School_Code&amp;"Hispanic/Latino",School_Data,36,FALSE)))</f>
        <v>58.9</v>
      </c>
      <c r="K45" s="25">
        <f>IF(ISERROR(VLOOKUP(School_Code&amp;"Hispanic/Latino",School_Data,37,FALSE)),"",(VLOOKUP(School_Code&amp;"Hispanic/Latino",School_Data,37,FALSE)))</f>
        <v>64.099999999999994</v>
      </c>
      <c r="L45" s="26">
        <f>IF(ISERROR(VLOOKUP(School_Code&amp;"Hispanic/Latino",School_Data,38,FALSE)),"",(VLOOKUP(School_Code&amp;"Hispanic/Latino",School_Data,38,FALSE)))</f>
        <v>69.2</v>
      </c>
      <c r="M45" s="285"/>
    </row>
    <row r="46" spans="2:13" s="16" customFormat="1" ht="15" customHeight="1">
      <c r="B46" s="77" t="s">
        <v>33</v>
      </c>
      <c r="C46" s="153" t="str">
        <f>IF(ISERROR(VLOOKUP(School_Code&amp;"Multi-race, Non-Hisp./Lat.",School_Data,30,FALSE)),"",(VLOOKUP(School_Code&amp;"Multi-race, Non-Hisp./Lat.",School_Data,30,FALSE)))</f>
        <v>--</v>
      </c>
      <c r="D46" s="154" t="str">
        <f>IF(ISERROR(VLOOKUP(School_Code&amp;"Multi-race, Non-Hisp./Lat.",School_Data,31,FALSE)),"",(VLOOKUP(School_Code&amp;"Multi-race, Non-Hisp./Lat.",School_Data,31,FALSE)))</f>
        <v>--</v>
      </c>
      <c r="E46" s="154" t="str">
        <f>IF(ISERROR(VLOOKUP(School_Code&amp;"Multi-race, Non-Hisp./Lat.",School_Data,32,FALSE)),"",(VLOOKUP(School_Code&amp;"Multi-race, Non-Hisp./Lat.",School_Data,32,FALSE)))</f>
        <v>--</v>
      </c>
      <c r="F46" s="154" t="str">
        <f>IF(ISERROR(VLOOKUP(School_Code&amp;"Multi-race, Non-Hisp./Lat.",School_Data,33,FALSE)),"",(VLOOKUP(School_Code&amp;"Multi-race, Non-Hisp./Lat.",School_Data,33,FALSE)))</f>
        <v>--</v>
      </c>
      <c r="G46" s="154" t="str">
        <f>IF(ISERROR(VLOOKUP(School_Code&amp;"Multi-race, Non-Hisp./Lat.",School_Data,34,FALSE)),"",(VLOOKUP(School_Code&amp;"Multi-race, Non-Hisp./Lat.",School_Data,34,FALSE)))</f>
        <v>--</v>
      </c>
      <c r="H46" s="76" t="str">
        <f>IF(ISERROR(VLOOKUP(School_Code&amp;"Multi-race, Non-Hisp./Lat.",School_Data,35,FALSE)),"",(VLOOKUP(School_Code&amp;"Multi-race, Non-Hisp./Lat.",School_Data,35,FALSE)))</f>
        <v>--</v>
      </c>
      <c r="I46" s="131"/>
      <c r="J46" s="25" t="str">
        <f>IF(ISERROR(VLOOKUP(School_Code&amp;"Multi-race, Non-Hisp./Lat.",School_Data,36,FALSE)),"",(VLOOKUP(School_Code&amp;"Multi-race, Non-Hisp./Lat.",School_Data,36,FALSE)))</f>
        <v>--</v>
      </c>
      <c r="K46" s="25" t="str">
        <f>IF(ISERROR(VLOOKUP(School_Code&amp;"Multi-race, Non-Hisp./Lat.",School_Data,37,FALSE)),"",(VLOOKUP(School_Code&amp;"Multi-race, Non-Hisp./Lat.",School_Data,37,FALSE)))</f>
        <v>--</v>
      </c>
      <c r="L46" s="26" t="str">
        <f>IF(ISERROR(VLOOKUP(School_Code&amp;"Multi-race, Non-Hisp./Lat.",School_Data,38,FALSE)),"",(VLOOKUP(School_Code&amp;"Multi-race, Non-Hisp./Lat.",School_Data,38,FALSE)))</f>
        <v>--</v>
      </c>
      <c r="M46" s="285"/>
    </row>
    <row r="47" spans="2:13" s="16" customFormat="1" ht="15" customHeight="1">
      <c r="B47" s="77" t="s">
        <v>34</v>
      </c>
      <c r="C47" s="153" t="str">
        <f>IF(ISERROR(VLOOKUP(School_Code&amp;"Nat. Haw. or Pacif. Isl.",School_Data,30,FALSE)),"",(VLOOKUP(School_Code&amp;"Nat. Haw. or Pacif. Isl.",School_Data,30,FALSE)))</f>
        <v>--</v>
      </c>
      <c r="D47" s="154" t="str">
        <f>IF(ISERROR(VLOOKUP(School_Code&amp;"Nat. Haw. or Pacif. Isl.",School_Data,31,FALSE)),"",(VLOOKUP(School_Code&amp;"Nat. Haw. or Pacif. Isl.",School_Data,31,FALSE)))</f>
        <v>--</v>
      </c>
      <c r="E47" s="154" t="str">
        <f>IF(ISERROR(VLOOKUP(School_Code&amp;"Nat. Haw. or Pacif. Isl.",School_Data,32,FALSE)),"",(VLOOKUP(School_Code&amp;"Nat. Haw. or Pacif. Isl.",School_Data,32,FALSE)))</f>
        <v>--</v>
      </c>
      <c r="F47" s="154" t="str">
        <f>IF(ISERROR(VLOOKUP(School_Code&amp;"Nat. Haw. or Pacif. Isl.",School_Data,33,FALSE)),"",(VLOOKUP(School_Code&amp;"Nat. Haw. or Pacif. Isl.",School_Data,33,FALSE)))</f>
        <v>--</v>
      </c>
      <c r="G47" s="154" t="str">
        <f>IF(ISERROR(VLOOKUP(School_Code&amp;"Nat. Haw. or Pacif. Isl.",School_Data,34,FALSE)),"",(VLOOKUP(School_Code&amp;"Nat. Haw. or Pacif. Isl.",School_Data,34,FALSE)))</f>
        <v>--</v>
      </c>
      <c r="H47" s="76" t="str">
        <f>IF(ISERROR(VLOOKUP(School_Code&amp;"Nat. Haw. or Pacif. Isl.",School_Data,35,FALSE)),"",(VLOOKUP(School_Code&amp;"Nat. Haw. or Pacif. Isl.",School_Data,35,FALSE)))</f>
        <v>--</v>
      </c>
      <c r="I47" s="131"/>
      <c r="J47" s="25" t="str">
        <f>IF(ISERROR(VLOOKUP(School_Code&amp;"Nat. Haw. or Pacif. Isl.",School_Data,36,FALSE)),"",(VLOOKUP(School_Code&amp;"Nat. Haw. or Pacif. Isl.",School_Data,36,FALSE)))</f>
        <v>--</v>
      </c>
      <c r="K47" s="25" t="str">
        <f>IF(ISERROR(VLOOKUP(School_Code&amp;"Nat. Haw. or Pacif. Isl.",School_Data,37,FALSE)),"",(VLOOKUP(School_Code&amp;"Nat. Haw. or Pacif. Isl.",School_Data,37,FALSE)))</f>
        <v>--</v>
      </c>
      <c r="L47" s="26" t="str">
        <f>IF(ISERROR(VLOOKUP(School_Code&amp;"Nat. Haw. or Pacif. Isl.",School_Data,38,FALSE)),"",(VLOOKUP(School_Code&amp;"Nat. Haw. or Pacif. Isl.",School_Data,38,FALSE)))</f>
        <v>--</v>
      </c>
      <c r="M47" s="285"/>
    </row>
    <row r="48" spans="2:13" s="16" customFormat="1" ht="15" customHeight="1">
      <c r="B48" s="78" t="s">
        <v>35</v>
      </c>
      <c r="C48" s="155" t="str">
        <f>IF(ISERROR(VLOOKUP(School_Code&amp;"White",School_Data,30,FALSE)),"",(VLOOKUP(School_Code&amp;"White",School_Data,30,FALSE)))</f>
        <v>--</v>
      </c>
      <c r="D48" s="156" t="str">
        <f>IF(ISERROR(VLOOKUP(School_Code&amp;"White",School_Data,31,FALSE)),"",(VLOOKUP(School_Code&amp;"White",School_Data,31,FALSE)))</f>
        <v>--</v>
      </c>
      <c r="E48" s="156" t="str">
        <f>IF(ISERROR(VLOOKUP(School_Code&amp;"White",School_Data,32,FALSE)),"",(VLOOKUP(School_Code&amp;"White",School_Data,32,FALSE)))</f>
        <v>--</v>
      </c>
      <c r="F48" s="156" t="str">
        <f>IF(ISERROR(VLOOKUP(School_Code&amp;"White",School_Data,33,FALSE)),"",(VLOOKUP(School_Code&amp;"White",School_Data,33,FALSE)))</f>
        <v>--</v>
      </c>
      <c r="G48" s="156" t="str">
        <f>IF(ISERROR(VLOOKUP(School_Code&amp;"White",School_Data,34,FALSE)),"",(VLOOKUP(School_Code&amp;"White",School_Data,34,FALSE)))</f>
        <v>--</v>
      </c>
      <c r="H48" s="41" t="str">
        <f>IF(ISERROR(VLOOKUP(School_Code&amp;"White",School_Data,35,FALSE)),"",(VLOOKUP(School_Code&amp;"White",School_Data,35,FALSE)))</f>
        <v>--</v>
      </c>
      <c r="I48" s="41"/>
      <c r="J48" s="42" t="str">
        <f>IF(ISERROR(VLOOKUP(School_Code&amp;"White",School_Data,36,FALSE)),"",(VLOOKUP(School_Code&amp;"White",School_Data,36,FALSE)))</f>
        <v>--</v>
      </c>
      <c r="K48" s="42" t="str">
        <f>IF(ISERROR(VLOOKUP(School_Code&amp;"White",School_Data,37,FALSE)),"",(VLOOKUP(School_Code&amp;"White",School_Data,37,FALSE)))</f>
        <v>--</v>
      </c>
      <c r="L48" s="109" t="str">
        <f>IF(ISERROR(VLOOKUP(School_Code&amp;"White",School_Data,38,FALSE)),"",(VLOOKUP(School_Code&amp;"White",School_Data,38,FALSE)))</f>
        <v>--</v>
      </c>
      <c r="M48" s="285"/>
    </row>
    <row r="49" spans="2:13" s="16" customFormat="1" ht="123" customHeight="1">
      <c r="B49" s="74" t="s">
        <v>48</v>
      </c>
      <c r="C49" s="287">
        <f>IF(ISERROR(VLOOKUP(School_Code&amp;"All students",School_Data,66,FALSE)),"",(VLOOKUP(School_Code&amp;"All students",School_Data,66,FALSE)))</f>
        <v>53</v>
      </c>
      <c r="D49" s="289">
        <f>IF(ISERROR(VLOOKUP(School_Code&amp;"All students",School_Data,67,FALSE)),"",(VLOOKUP(School_Code&amp;"All students",School_Data,67,FALSE)))</f>
        <v>51</v>
      </c>
      <c r="E49" s="291">
        <f>IF(ISERROR(VLOOKUP(School_Code&amp;"All students",School_Data,68,FALSE)),"",(VLOOKUP(School_Code&amp;"All students",School_Data,68,FALSE)))</f>
        <v>58</v>
      </c>
      <c r="F49" s="289">
        <f>IF(ISERROR(VLOOKUP(School_Code&amp;"All students",School_Data,69,FALSE)),"",(VLOOKUP(School_Code&amp;"All students",School_Data,69,FALSE)))</f>
        <v>51</v>
      </c>
      <c r="G49" s="289">
        <f>IF(ISERROR(VLOOKUP(School_Code&amp;"All students",School_Data,70,FALSE)),"",(VLOOKUP(School_Code&amp;"All students",School_Data,70,FALSE)))</f>
        <v>44</v>
      </c>
      <c r="H49" s="281">
        <f>IF(ISERROR(VLOOKUP(School_Code&amp;"All students",School_Data,71,FALSE)),"",(VLOOKUP(School_Code&amp;"All students",School_Data,71,FALSE)))</f>
        <v>51</v>
      </c>
      <c r="I49" s="134"/>
      <c r="J49" s="281">
        <f>IF(ISERROR(VLOOKUP(School_Code&amp;"All students",School_Data,72,FALSE)),"",(VLOOKUP(School_Code&amp;"All students",School_Data,72,FALSE)))</f>
        <v>51</v>
      </c>
      <c r="K49" s="281">
        <f>IF(ISERROR(VLOOKUP(School_Code&amp;"All students",School_Data,73,FALSE)),"",(VLOOKUP(School_Code&amp;"All students",School_Data,73,FALSE)))</f>
        <v>51</v>
      </c>
      <c r="L49" s="283">
        <f>IF(ISERROR(VLOOKUP(School_Code&amp;"All students",School_Data,74,FALSE)),"",(VLOOKUP(School_Code&amp;"All students",School_Data,74,FALSE)))</f>
        <v>51</v>
      </c>
      <c r="M49" s="293"/>
    </row>
    <row r="50" spans="2:13" s="16" customFormat="1" ht="25.5" hidden="1">
      <c r="B50" s="13" t="s">
        <v>24</v>
      </c>
      <c r="C50" s="288"/>
      <c r="D50" s="290"/>
      <c r="E50" s="292"/>
      <c r="F50" s="290"/>
      <c r="G50" s="290"/>
      <c r="H50" s="282"/>
      <c r="I50" s="135"/>
      <c r="J50" s="282"/>
      <c r="K50" s="282"/>
      <c r="L50" s="284"/>
      <c r="M50" s="285"/>
    </row>
    <row r="51" spans="2:13" s="16" customFormat="1" ht="15" customHeight="1">
      <c r="B51" s="77" t="s">
        <v>25</v>
      </c>
      <c r="C51" s="153">
        <f>IF(ISERROR(VLOOKUP(School_Code&amp;"High needs",School_Data,66,FALSE)),"",(VLOOKUP(School_Code&amp;"High needs",School_Data,66,FALSE)))</f>
        <v>53</v>
      </c>
      <c r="D51" s="189">
        <f>IF(ISERROR(VLOOKUP(School_Code&amp;"High needs",School_Data,67,FALSE)),"",(VLOOKUP(School_Code&amp;"High needs",School_Data,67,FALSE)))</f>
        <v>51</v>
      </c>
      <c r="E51" s="154">
        <f>IF(ISERROR(VLOOKUP(School_Code&amp;"High needs",School_Data,68,FALSE)),"",(VLOOKUP(School_Code&amp;"High needs",School_Data,68,FALSE)))</f>
        <v>58</v>
      </c>
      <c r="F51" s="189">
        <f>IF(ISERROR(VLOOKUP(School_Code&amp;"High needs",School_Data,69,FALSE)),"",(VLOOKUP(School_Code&amp;"High needs",School_Data,69,FALSE)))</f>
        <v>51</v>
      </c>
      <c r="G51" s="189">
        <f>IF(ISERROR(VLOOKUP(School_Code&amp;"High needs",School_Data,70,FALSE)),"",(VLOOKUP(School_Code&amp;"High needs",School_Data,70,FALSE)))</f>
        <v>44</v>
      </c>
      <c r="H51" s="79">
        <f>IF(ISERROR(VLOOKUP(School_Code&amp;"High needs",School_Data,71,FALSE)),"",(VLOOKUP(School_Code&amp;"High needs",School_Data,71,FALSE)))</f>
        <v>51</v>
      </c>
      <c r="I51" s="135"/>
      <c r="J51" s="79">
        <f>IF(ISERROR(VLOOKUP(School_Code&amp;"High needs",School_Data,72,FALSE)),"",(VLOOKUP(School_Code&amp;"High needs",School_Data,72,FALSE)))</f>
        <v>51</v>
      </c>
      <c r="K51" s="79">
        <f>IF(ISERROR(VLOOKUP(School_Code&amp;"High needs",School_Data,73,FALSE)),"",(VLOOKUP(School_Code&amp;"High needs",School_Data,73,FALSE)))</f>
        <v>51</v>
      </c>
      <c r="L51" s="80">
        <f>IF(ISERROR(VLOOKUP(School_Code&amp;"High needs",School_Data,74,FALSE)),"",(VLOOKUP(School_Code&amp;"High needs",School_Data,74,FALSE)))</f>
        <v>51</v>
      </c>
      <c r="M51" s="285"/>
    </row>
    <row r="52" spans="2:13" s="16" customFormat="1" ht="15" customHeight="1">
      <c r="B52" s="77" t="s">
        <v>26</v>
      </c>
      <c r="C52" s="153">
        <f>IF(ISERROR(VLOOKUP(School_Code&amp;"Low income",School_Data,66,FALSE)),"",(VLOOKUP(School_Code&amp;"Low income",School_Data,66,FALSE)))</f>
        <v>52.5</v>
      </c>
      <c r="D52" s="189">
        <f>IF(ISERROR(VLOOKUP(School_Code&amp;"Low income",School_Data,67,FALSE)),"",(VLOOKUP(School_Code&amp;"Low income",School_Data,67,FALSE)))</f>
        <v>51</v>
      </c>
      <c r="E52" s="154">
        <f>IF(ISERROR(VLOOKUP(School_Code&amp;"Low income",School_Data,68,FALSE)),"",(VLOOKUP(School_Code&amp;"Low income",School_Data,68,FALSE)))</f>
        <v>58</v>
      </c>
      <c r="F52" s="189">
        <f>IF(ISERROR(VLOOKUP(School_Code&amp;"Low income",School_Data,69,FALSE)),"",(VLOOKUP(School_Code&amp;"Low income",School_Data,69,FALSE)))</f>
        <v>51</v>
      </c>
      <c r="G52" s="189">
        <f>IF(ISERROR(VLOOKUP(School_Code&amp;"Low income",School_Data,70,FALSE)),"",(VLOOKUP(School_Code&amp;"Low income",School_Data,70,FALSE)))</f>
        <v>44</v>
      </c>
      <c r="H52" s="79">
        <f>IF(ISERROR(VLOOKUP(School_Code&amp;"Low income",School_Data,71,FALSE)),"",(VLOOKUP(School_Code&amp;"Low income",School_Data,71,FALSE)))</f>
        <v>51</v>
      </c>
      <c r="I52" s="135"/>
      <c r="J52" s="79">
        <f>IF(ISERROR(VLOOKUP(School_Code&amp;"Low income",School_Data,72,FALSE)),"",(VLOOKUP(School_Code&amp;"Low income",School_Data,72,FALSE)))</f>
        <v>51</v>
      </c>
      <c r="K52" s="79">
        <f>IF(ISERROR(VLOOKUP(School_Code&amp;"Low income",School_Data,73,FALSE)),"",(VLOOKUP(School_Code&amp;"Low income",School_Data,73,FALSE)))</f>
        <v>51</v>
      </c>
      <c r="L52" s="80">
        <f>IF(ISERROR(VLOOKUP(School_Code&amp;"Low income",School_Data,74,FALSE)),"",(VLOOKUP(School_Code&amp;"Low income",School_Data,74,FALSE)))</f>
        <v>51</v>
      </c>
      <c r="M52" s="285"/>
    </row>
    <row r="53" spans="2:13" s="16" customFormat="1" ht="15" customHeight="1">
      <c r="B53" s="77" t="s">
        <v>27</v>
      </c>
      <c r="C53" s="153">
        <f>IF(ISERROR(VLOOKUP(School_Code&amp;"ELL and Former ELL",School_Data,66,FALSE)),"",(VLOOKUP(School_Code&amp;"ELL and Former ELL",School_Data,66,FALSE)))</f>
        <v>51</v>
      </c>
      <c r="D53" s="189">
        <f>IF(ISERROR(VLOOKUP(School_Code&amp;"ELL and Former ELL",School_Data,67,FALSE)),"",(VLOOKUP(School_Code&amp;"ELL and Former ELL",School_Data,67,FALSE)))</f>
        <v>51</v>
      </c>
      <c r="E53" s="154">
        <f>IF(ISERROR(VLOOKUP(School_Code&amp;"ELL and Former ELL",School_Data,68,FALSE)),"",(VLOOKUP(School_Code&amp;"ELL and Former ELL",School_Data,68,FALSE)))</f>
        <v>56</v>
      </c>
      <c r="F53" s="189">
        <f>IF(ISERROR(VLOOKUP(School_Code&amp;"ELL and Former ELL",School_Data,69,FALSE)),"",(VLOOKUP(School_Code&amp;"ELL and Former ELL",School_Data,69,FALSE)))</f>
        <v>51</v>
      </c>
      <c r="G53" s="189">
        <f>IF(ISERROR(VLOOKUP(School_Code&amp;"ELL and Former ELL",School_Data,70,FALSE)),"",(VLOOKUP(School_Code&amp;"ELL and Former ELL",School_Data,70,FALSE)))</f>
        <v>30.5</v>
      </c>
      <c r="H53" s="79">
        <f>IF(ISERROR(VLOOKUP(School_Code&amp;"ELL and Former ELL",School_Data,71,FALSE)),"",(VLOOKUP(School_Code&amp;"ELL and Former ELL",School_Data,71,FALSE)))</f>
        <v>40.5</v>
      </c>
      <c r="I53" s="135"/>
      <c r="J53" s="79">
        <f>IF(ISERROR(VLOOKUP(School_Code&amp;"ELL and Former ELL",School_Data,72,FALSE)),"",(VLOOKUP(School_Code&amp;"ELL and Former ELL",School_Data,72,FALSE)))</f>
        <v>50.5</v>
      </c>
      <c r="K53" s="79">
        <f>IF(ISERROR(VLOOKUP(School_Code&amp;"ELL and Former ELL",School_Data,73,FALSE)),"",(VLOOKUP(School_Code&amp;"ELL and Former ELL",School_Data,73,FALSE)))</f>
        <v>51</v>
      </c>
      <c r="L53" s="80">
        <f>IF(ISERROR(VLOOKUP(School_Code&amp;"ELL and Former ELL",School_Data,74,FALSE)),"",(VLOOKUP(School_Code&amp;"ELL and Former ELL",School_Data,74,FALSE)))</f>
        <v>51</v>
      </c>
      <c r="M53" s="285"/>
    </row>
    <row r="54" spans="2:13" s="16" customFormat="1" ht="15" customHeight="1">
      <c r="B54" s="77" t="s">
        <v>28</v>
      </c>
      <c r="C54" s="153">
        <f>IF(ISERROR(VLOOKUP(School_Code&amp;"Students w/disabilities",School_Data,66,FALSE)),"",(VLOOKUP(School_Code&amp;"Students w/disabilities",School_Data,66,FALSE)))</f>
        <v>57.5</v>
      </c>
      <c r="D54" s="189">
        <f>IF(ISERROR(VLOOKUP(School_Code&amp;"Students w/disabilities",School_Data,67,FALSE)),"",(VLOOKUP(School_Code&amp;"Students w/disabilities",School_Data,67,FALSE)))</f>
        <v>51</v>
      </c>
      <c r="E54" s="154">
        <f>IF(ISERROR(VLOOKUP(School_Code&amp;"Students w/disabilities",School_Data,68,FALSE)),"",(VLOOKUP(School_Code&amp;"Students w/disabilities",School_Data,68,FALSE)))</f>
        <v>49.5</v>
      </c>
      <c r="F54" s="189">
        <f>IF(ISERROR(VLOOKUP(School_Code&amp;"Students w/disabilities",School_Data,69,FALSE)),"",(VLOOKUP(School_Code&amp;"Students w/disabilities",School_Data,69,FALSE)))</f>
        <v>51</v>
      </c>
      <c r="G54" s="189">
        <f>IF(ISERROR(VLOOKUP(School_Code&amp;"Students w/disabilities",School_Data,70,FALSE)),"",(VLOOKUP(School_Code&amp;"Students w/disabilities",School_Data,70,FALSE)))</f>
        <v>25</v>
      </c>
      <c r="H54" s="79">
        <f>IF(ISERROR(VLOOKUP(School_Code&amp;"Students w/disabilities",School_Data,71,FALSE)),"",(VLOOKUP(School_Code&amp;"Students w/disabilities",School_Data,71,FALSE)))</f>
        <v>35</v>
      </c>
      <c r="I54" s="135"/>
      <c r="J54" s="79">
        <f>IF(ISERROR(VLOOKUP(School_Code&amp;"Students w/disabilities",School_Data,72,FALSE)),"",(VLOOKUP(School_Code&amp;"Students w/disabilities",School_Data,72,FALSE)))</f>
        <v>45</v>
      </c>
      <c r="K54" s="79">
        <f>IF(ISERROR(VLOOKUP(School_Code&amp;"Students w/disabilities",School_Data,73,FALSE)),"",(VLOOKUP(School_Code&amp;"Students w/disabilities",School_Data,73,FALSE)))</f>
        <v>51</v>
      </c>
      <c r="L54" s="80">
        <f>IF(ISERROR(VLOOKUP(School_Code&amp;"Students w/disabilities",School_Data,74,FALSE)),"",(VLOOKUP(School_Code&amp;"Students w/disabilities",School_Data,74,FALSE)))</f>
        <v>51</v>
      </c>
      <c r="M54" s="285"/>
    </row>
    <row r="55" spans="2:13" s="16" customFormat="1" ht="15" customHeight="1">
      <c r="B55" s="77" t="s">
        <v>29</v>
      </c>
      <c r="C55" s="153" t="str">
        <f>IF(ISERROR(VLOOKUP(School_Code&amp;"Amer. Ind. or Alaska Nat.",School_Data,66,FALSE)),"",(VLOOKUP(School_Code&amp;"Amer. Ind. or Alaska Nat.",School_Data,66,FALSE)))</f>
        <v>--</v>
      </c>
      <c r="D55" s="189" t="str">
        <f>IF(ISERROR(VLOOKUP(School_Code&amp;"Amer. Ind. or Alaska Nat.",School_Data,67,FALSE)),"",(VLOOKUP(School_Code&amp;"Amer. Ind. or Alaska Nat.",School_Data,67,FALSE)))</f>
        <v>--</v>
      </c>
      <c r="E55" s="154" t="str">
        <f>IF(ISERROR(VLOOKUP(School_Code&amp;"Amer. Ind. or Alaska Nat.",School_Data,68,FALSE)),"",(VLOOKUP(School_Code&amp;"Amer. Ind. or Alaska Nat.",School_Data,68,FALSE)))</f>
        <v>--</v>
      </c>
      <c r="F55" s="189" t="str">
        <f>IF(ISERROR(VLOOKUP(School_Code&amp;"Amer. Ind. or Alaska Nat.",School_Data,69,FALSE)),"",(VLOOKUP(School_Code&amp;"Amer. Ind. or Alaska Nat.",School_Data,69,FALSE)))</f>
        <v>--</v>
      </c>
      <c r="G55" s="189" t="str">
        <f>IF(ISERROR(VLOOKUP(School_Code&amp;"Amer. Ind. or Alaska Nat.",School_Data,70,FALSE)),"",(VLOOKUP(School_Code&amp;"Amer. Ind. or Alaska Nat.",School_Data,70,FALSE)))</f>
        <v>--</v>
      </c>
      <c r="H55" s="79" t="str">
        <f>IF(ISERROR(VLOOKUP(School_Code&amp;"Amer. Ind. or Alaska Nat.",School_Data,71,FALSE)),"",(VLOOKUP(School_Code&amp;"Amer. Ind. or Alaska Nat.",School_Data,71,FALSE)))</f>
        <v>--</v>
      </c>
      <c r="I55" s="135"/>
      <c r="J55" s="79" t="str">
        <f>IF(ISERROR(VLOOKUP(School_Code&amp;"Amer. Ind. or Alaska Nat.",School_Data,72,FALSE)),"",(VLOOKUP(School_Code&amp;"Amer. Ind. or Alaska Nat.",School_Data,72,FALSE)))</f>
        <v>--</v>
      </c>
      <c r="K55" s="79" t="str">
        <f>IF(ISERROR(VLOOKUP(School_Code&amp;"Amer. Ind. or Alaska Nat.",School_Data,73,FALSE)),"",(VLOOKUP(School_Code&amp;"Amer. Ind. or Alaska Nat.",School_Data,73,FALSE)))</f>
        <v>--</v>
      </c>
      <c r="L55" s="80" t="str">
        <f>IF(ISERROR(VLOOKUP(School_Code&amp;"Amer. Ind. or Alaska Nat.",School_Data,74,FALSE)),"",(VLOOKUP(School_Code&amp;"Amer. Ind. or Alaska Nat.",School_Data,74,FALSE)))</f>
        <v>--</v>
      </c>
      <c r="M55" s="285"/>
    </row>
    <row r="56" spans="2:13" s="16" customFormat="1" ht="15" customHeight="1">
      <c r="B56" s="77" t="s">
        <v>30</v>
      </c>
      <c r="C56" s="153" t="str">
        <f>IF(ISERROR(VLOOKUP(School_Code&amp;"Asian",School_Data,66,FALSE)),"",(VLOOKUP(School_Code&amp;"Asian",School_Data,66,FALSE)))</f>
        <v>--</v>
      </c>
      <c r="D56" s="189" t="str">
        <f>IF(ISERROR(VLOOKUP(School_Code&amp;"Asian",School_Data,67,FALSE)),"",(VLOOKUP(School_Code&amp;"Asian",School_Data,67,FALSE)))</f>
        <v>--</v>
      </c>
      <c r="E56" s="154" t="str">
        <f>IF(ISERROR(VLOOKUP(School_Code&amp;"Asian",School_Data,68,FALSE)),"",(VLOOKUP(School_Code&amp;"Asian",School_Data,68,FALSE)))</f>
        <v>--</v>
      </c>
      <c r="F56" s="189" t="str">
        <f>IF(ISERROR(VLOOKUP(School_Code&amp;"Asian",School_Data,69,FALSE)),"",(VLOOKUP(School_Code&amp;"Asian",School_Data,69,FALSE)))</f>
        <v>--</v>
      </c>
      <c r="G56" s="189" t="str">
        <f>IF(ISERROR(VLOOKUP(School_Code&amp;"Asian",School_Data,70,FALSE)),"",(VLOOKUP(School_Code&amp;"Asian",School_Data,70,FALSE)))</f>
        <v>--</v>
      </c>
      <c r="H56" s="79" t="str">
        <f>IF(ISERROR(VLOOKUP(School_Code&amp;"Asian",School_Data,71,FALSE)),"",(VLOOKUP(School_Code&amp;"Asian",School_Data,71,FALSE)))</f>
        <v>--</v>
      </c>
      <c r="I56" s="135"/>
      <c r="J56" s="79" t="str">
        <f>IF(ISERROR(VLOOKUP(School_Code&amp;"Asian",School_Data,72,FALSE)),"",(VLOOKUP(School_Code&amp;"Asian",School_Data,72,FALSE)))</f>
        <v>--</v>
      </c>
      <c r="K56" s="79" t="str">
        <f>IF(ISERROR(VLOOKUP(School_Code&amp;"Asian",School_Data,73,FALSE)),"",(VLOOKUP(School_Code&amp;"Asian",School_Data,73,FALSE)))</f>
        <v>--</v>
      </c>
      <c r="L56" s="80" t="str">
        <f>IF(ISERROR(VLOOKUP(School_Code&amp;"Asian",School_Data,74,FALSE)),"",(VLOOKUP(School_Code&amp;"Asian",School_Data,74,FALSE)))</f>
        <v>--</v>
      </c>
      <c r="M56" s="285"/>
    </row>
    <row r="57" spans="2:13" s="16" customFormat="1" ht="15" customHeight="1">
      <c r="B57" s="77" t="s">
        <v>45</v>
      </c>
      <c r="C57" s="153" t="str">
        <f>IF(ISERROR(VLOOKUP(School_Code&amp;"Afr. Amer/Black",School_Data,66,FALSE)),"",(VLOOKUP(School_Code&amp;"Afr. Amer/Black",School_Data,66,FALSE)))</f>
        <v>--</v>
      </c>
      <c r="D57" s="189" t="str">
        <f>IF(ISERROR(VLOOKUP(School_Code&amp;"Afr. Amer/Black",School_Data,67,FALSE)),"",(VLOOKUP(School_Code&amp;"Afr. Amer/Black",School_Data,67,FALSE)))</f>
        <v>--</v>
      </c>
      <c r="E57" s="154" t="str">
        <f>IF(ISERROR(VLOOKUP(School_Code&amp;"Afr. Amer/Black",School_Data,68,FALSE)),"",(VLOOKUP(School_Code&amp;"Afr. Amer/Black",School_Data,68,FALSE)))</f>
        <v>--</v>
      </c>
      <c r="F57" s="189" t="str">
        <f>IF(ISERROR(VLOOKUP(School_Code&amp;"Afr. Amer/Black",School_Data,69,FALSE)),"",(VLOOKUP(School_Code&amp;"Afr. Amer/Black",School_Data,69,FALSE)))</f>
        <v>--</v>
      </c>
      <c r="G57" s="189" t="str">
        <f>IF(ISERROR(VLOOKUP(School_Code&amp;"Afr. Amer/Black",School_Data,70,FALSE)),"",(VLOOKUP(School_Code&amp;"Afr. Amer/Black",School_Data,70,FALSE)))</f>
        <v>--</v>
      </c>
      <c r="H57" s="79" t="str">
        <f>IF(ISERROR(VLOOKUP(School_Code&amp;"Afr. Amer/Black",School_Data,71,FALSE)),"",(VLOOKUP(School_Code&amp;"Afr. Amer/Black",School_Data,71,FALSE)))</f>
        <v>--</v>
      </c>
      <c r="I57" s="135"/>
      <c r="J57" s="79" t="str">
        <f>IF(ISERROR(VLOOKUP(School_Code&amp;"Afr. Amer/Black",School_Data,72,FALSE)),"",(VLOOKUP(School_Code&amp;"Afr. Amer/Black",School_Data,72,FALSE)))</f>
        <v>--</v>
      </c>
      <c r="K57" s="79" t="str">
        <f>IF(ISERROR(VLOOKUP(School_Code&amp;"Afr. Amer/Black",School_Data,73,FALSE)),"",(VLOOKUP(School_Code&amp;"Afr. Amer/Black",School_Data,73,FALSE)))</f>
        <v>--</v>
      </c>
      <c r="L57" s="80" t="str">
        <f>IF(ISERROR(VLOOKUP(School_Code&amp;"Afr. Amer/Black",School_Data,74,FALSE)),"",(VLOOKUP(School_Code&amp;"Afr. Amer/Black",School_Data,74,FALSE)))</f>
        <v>--</v>
      </c>
      <c r="M57" s="285"/>
    </row>
    <row r="58" spans="2:13" s="16" customFormat="1" ht="15" customHeight="1">
      <c r="B58" s="77" t="s">
        <v>32</v>
      </c>
      <c r="C58" s="153">
        <f>IF(ISERROR(VLOOKUP(School_Code&amp;"Hispanic/Latino",School_Data,66,FALSE)),"",(VLOOKUP(School_Code&amp;"Hispanic/Latino",School_Data,66,FALSE)))</f>
        <v>51</v>
      </c>
      <c r="D58" s="189">
        <f>IF(ISERROR(VLOOKUP(School_Code&amp;"Hispanic/Latino",School_Data,67,FALSE)),"",(VLOOKUP(School_Code&amp;"Hispanic/Latino",School_Data,67,FALSE)))</f>
        <v>51</v>
      </c>
      <c r="E58" s="154">
        <f>IF(ISERROR(VLOOKUP(School_Code&amp;"Hispanic/Latino",School_Data,68,FALSE)),"",(VLOOKUP(School_Code&amp;"Hispanic/Latino",School_Data,68,FALSE)))</f>
        <v>58</v>
      </c>
      <c r="F58" s="189">
        <f>IF(ISERROR(VLOOKUP(School_Code&amp;"Hispanic/Latino",School_Data,69,FALSE)),"",(VLOOKUP(School_Code&amp;"Hispanic/Latino",School_Data,69,FALSE)))</f>
        <v>51</v>
      </c>
      <c r="G58" s="189">
        <f>IF(ISERROR(VLOOKUP(School_Code&amp;"Hispanic/Latino",School_Data,70,FALSE)),"",(VLOOKUP(School_Code&amp;"Hispanic/Latino",School_Data,70,FALSE)))</f>
        <v>44</v>
      </c>
      <c r="H58" s="79">
        <f>IF(ISERROR(VLOOKUP(School_Code&amp;"Hispanic/Latino",School_Data,71,FALSE)),"",(VLOOKUP(School_Code&amp;"Hispanic/Latino",School_Data,71,FALSE)))</f>
        <v>51</v>
      </c>
      <c r="I58" s="135"/>
      <c r="J58" s="79">
        <f>IF(ISERROR(VLOOKUP(School_Code&amp;"Hispanic/Latino",School_Data,72,FALSE)),"",(VLOOKUP(School_Code&amp;"Hispanic/Latino",School_Data,72,FALSE)))</f>
        <v>51</v>
      </c>
      <c r="K58" s="79">
        <f>IF(ISERROR(VLOOKUP(School_Code&amp;"Hispanic/Latino",School_Data,73,FALSE)),"",(VLOOKUP(School_Code&amp;"Hispanic/Latino",School_Data,73,FALSE)))</f>
        <v>51</v>
      </c>
      <c r="L58" s="80">
        <f>IF(ISERROR(VLOOKUP(School_Code&amp;"Hispanic/Latino",School_Data,74,FALSE)),"",(VLOOKUP(School_Code&amp;"Hispanic/Latino",School_Data,74,FALSE)))</f>
        <v>51</v>
      </c>
      <c r="M58" s="285"/>
    </row>
    <row r="59" spans="2:13" s="16" customFormat="1" ht="15" customHeight="1">
      <c r="B59" s="77" t="s">
        <v>33</v>
      </c>
      <c r="C59" s="153" t="str">
        <f>IF(ISERROR(VLOOKUP(School_Code&amp;"Multi-race, Non-Hisp./Lat.",School_Data,66,FALSE)),"",(VLOOKUP(School_Code&amp;"Multi-race, Non-Hisp./Lat.",School_Data,66,FALSE)))</f>
        <v>--</v>
      </c>
      <c r="D59" s="189" t="str">
        <f>IF(ISERROR(VLOOKUP(School_Code&amp;"Multi-race, Non-Hisp./Lat.",School_Data,67,FALSE)),"",(VLOOKUP(School_Code&amp;"Multi-race, Non-Hisp./Lat.",School_Data,67,FALSE)))</f>
        <v>--</v>
      </c>
      <c r="E59" s="154" t="str">
        <f>IF(ISERROR(VLOOKUP(School_Code&amp;"Multi-race, Non-Hisp./Lat.",School_Data,68,FALSE)),"",(VLOOKUP(School_Code&amp;"Multi-race, Non-Hisp./Lat.",School_Data,68,FALSE)))</f>
        <v>--</v>
      </c>
      <c r="F59" s="189" t="str">
        <f>IF(ISERROR(VLOOKUP(School_Code&amp;"Multi-race, Non-Hisp./Lat.",School_Data,69,FALSE)),"",(VLOOKUP(School_Code&amp;"Multi-race, Non-Hisp./Lat.",School_Data,69,FALSE)))</f>
        <v>--</v>
      </c>
      <c r="G59" s="189" t="str">
        <f>IF(ISERROR(VLOOKUP(School_Code&amp;"Multi-race, Non-Hisp./Lat.",School_Data,70,FALSE)),"",(VLOOKUP(School_Code&amp;"Multi-race, Non-Hisp./Lat.",School_Data,70,FALSE)))</f>
        <v>--</v>
      </c>
      <c r="H59" s="79" t="str">
        <f>IF(ISERROR(VLOOKUP(School_Code&amp;"Multi-race, Non-Hisp./Lat.",School_Data,71,FALSE)),"",(VLOOKUP(School_Code&amp;"Multi-race, Non-Hisp./Lat.",School_Data,71,FALSE)))</f>
        <v>--</v>
      </c>
      <c r="I59" s="135"/>
      <c r="J59" s="79" t="str">
        <f>IF(ISERROR(VLOOKUP(School_Code&amp;"Multi-race, Non-Hisp./Lat.",School_Data,72,FALSE)),"",(VLOOKUP(School_Code&amp;"Multi-race, Non-Hisp./Lat.",School_Data,72,FALSE)))</f>
        <v>--</v>
      </c>
      <c r="K59" s="79" t="str">
        <f>IF(ISERROR(VLOOKUP(School_Code&amp;"Multi-race, Non-Hisp./Lat.",School_Data,73,FALSE)),"",(VLOOKUP(School_Code&amp;"Multi-race, Non-Hisp./Lat.",School_Data,73,FALSE)))</f>
        <v>--</v>
      </c>
      <c r="L59" s="80" t="str">
        <f>IF(ISERROR(VLOOKUP(School_Code&amp;"Multi-race, Non-Hisp./Lat.",School_Data,74,FALSE)),"",(VLOOKUP(School_Code&amp;"Multi-race, Non-Hisp./Lat.",School_Data,74,FALSE)))</f>
        <v>--</v>
      </c>
      <c r="M59" s="285"/>
    </row>
    <row r="60" spans="2:13" s="16" customFormat="1" ht="15" customHeight="1">
      <c r="B60" s="77" t="s">
        <v>34</v>
      </c>
      <c r="C60" s="153" t="str">
        <f>IF(ISERROR(VLOOKUP(School_Code&amp;"Nat. Haw. or Pacif. Isl.",School_Data,66,FALSE)),"",(VLOOKUP(School_Code&amp;"Nat. Haw. or Pacif. Isl.",School_Data,66,FALSE)))</f>
        <v>--</v>
      </c>
      <c r="D60" s="189" t="str">
        <f>IF(ISERROR(VLOOKUP(School_Code&amp;"Nat. Haw. or Pacif. Isl.",School_Data,67,FALSE)),"",(VLOOKUP(School_Code&amp;"Nat. Haw. or Pacif. Isl.",School_Data,67,FALSE)))</f>
        <v>--</v>
      </c>
      <c r="E60" s="154" t="str">
        <f>IF(ISERROR(VLOOKUP(School_Code&amp;"Nat. Haw. or Pacif. Isl.",School_Data,68,FALSE)),"",(VLOOKUP(School_Code&amp;"Nat. Haw. or Pacif. Isl.",School_Data,68,FALSE)))</f>
        <v>--</v>
      </c>
      <c r="F60" s="189" t="str">
        <f>IF(ISERROR(VLOOKUP(School_Code&amp;"Nat. Haw. or Pacif. Isl.",School_Data,69,FALSE)),"",(VLOOKUP(School_Code&amp;"Nat. Haw. or Pacif. Isl.",School_Data,69,FALSE)))</f>
        <v>--</v>
      </c>
      <c r="G60" s="189" t="str">
        <f>IF(ISERROR(VLOOKUP(School_Code&amp;"Nat. Haw. or Pacif. Isl.",School_Data,70,FALSE)),"",(VLOOKUP(School_Code&amp;"Nat. Haw. or Pacif. Isl.",School_Data,70,FALSE)))</f>
        <v>--</v>
      </c>
      <c r="H60" s="79" t="str">
        <f>IF(ISERROR(VLOOKUP(School_Code&amp;"Nat. Haw. or Pacif. Isl.",School_Data,71,FALSE)),"",(VLOOKUP(School_Code&amp;"Nat. Haw. or Pacif. Isl.",School_Data,71,FALSE)))</f>
        <v>--</v>
      </c>
      <c r="I60" s="135"/>
      <c r="J60" s="79" t="str">
        <f>IF(ISERROR(VLOOKUP(School_Code&amp;"Nat. Haw. or Pacif. Isl.",School_Data,72,FALSE)),"",(VLOOKUP(School_Code&amp;"Nat. Haw. or Pacif. Isl.",School_Data,72,FALSE)))</f>
        <v>--</v>
      </c>
      <c r="K60" s="79" t="str">
        <f>IF(ISERROR(VLOOKUP(School_Code&amp;"Nat. Haw. or Pacif. Isl.",School_Data,73,FALSE)),"",(VLOOKUP(School_Code&amp;"Nat. Haw. or Pacif. Isl.",School_Data,73,FALSE)))</f>
        <v>--</v>
      </c>
      <c r="L60" s="80" t="str">
        <f>IF(ISERROR(VLOOKUP(School_Code&amp;"Nat. Haw. or Pacif. Isl.",School_Data,74,FALSE)),"",(VLOOKUP(School_Code&amp;"Nat. Haw. or Pacif. Isl.",School_Data,74,FALSE)))</f>
        <v>--</v>
      </c>
      <c r="M60" s="285"/>
    </row>
    <row r="61" spans="2:13" s="16" customFormat="1" ht="15" customHeight="1">
      <c r="B61" s="78" t="s">
        <v>35</v>
      </c>
      <c r="C61" s="155" t="str">
        <f>IF(ISERROR(VLOOKUP(School_Code&amp;"White",School_Data,66,FALSE)),"",(VLOOKUP(School_Code&amp;"White",School_Data,66,FALSE)))</f>
        <v>--</v>
      </c>
      <c r="D61" s="190" t="str">
        <f>IF(ISERROR(VLOOKUP(School_Code&amp;"White",School_Data,67,FALSE)),"",(VLOOKUP(School_Code&amp;"White",School_Data,67,FALSE)))</f>
        <v>--</v>
      </c>
      <c r="E61" s="156" t="str">
        <f>IF(ISERROR(VLOOKUP(School_Code&amp;"White",School_Data,68,FALSE)),"",(VLOOKUP(School_Code&amp;"White",School_Data,68,FALSE)))</f>
        <v>--</v>
      </c>
      <c r="F61" s="190" t="str">
        <f>IF(ISERROR(VLOOKUP(School_Code&amp;"White",School_Data,69,FALSE)),"",(VLOOKUP(School_Code&amp;"White",School_Data,69,FALSE)))</f>
        <v>--</v>
      </c>
      <c r="G61" s="190" t="str">
        <f>IF(ISERROR(VLOOKUP(School_Code&amp;"White",School_Data,70,FALSE)),"",(VLOOKUP(School_Code&amp;"White",School_Data,70,FALSE)))</f>
        <v>--</v>
      </c>
      <c r="H61" s="110" t="str">
        <f>IF(ISERROR(VLOOKUP(School_Code&amp;"White",School_Data,71,FALSE)),"",(VLOOKUP(School_Code&amp;"White",School_Data,71,FALSE)))</f>
        <v>--</v>
      </c>
      <c r="I61" s="110"/>
      <c r="J61" s="110" t="str">
        <f>IF(ISERROR(VLOOKUP(School_Code&amp;"White",School_Data,72,FALSE)),"",(VLOOKUP(School_Code&amp;"White",School_Data,72,FALSE)))</f>
        <v>--</v>
      </c>
      <c r="K61" s="110" t="str">
        <f>IF(ISERROR(VLOOKUP(School_Code&amp;"White",School_Data,73,FALSE)),"",(VLOOKUP(School_Code&amp;"White",School_Data,73,FALSE)))</f>
        <v>--</v>
      </c>
      <c r="L61" s="111" t="str">
        <f>IF(ISERROR(VLOOKUP(School_Code&amp;"White",School_Data,74,FALSE)),"",(VLOOKUP(School_Code&amp;"White",School_Data,74,FALSE)))</f>
        <v>--</v>
      </c>
      <c r="M61" s="285"/>
    </row>
    <row r="62" spans="2:13" s="16" customFormat="1" ht="131.25" customHeight="1">
      <c r="B62" s="74" t="s">
        <v>49</v>
      </c>
      <c r="C62" s="287">
        <f>IF(ISERROR(VLOOKUP(School_Code&amp;"All students",School_Data,75,FALSE)),"",(VLOOKUP(School_Code&amp;"All students",School_Data,75,FALSE)))</f>
        <v>67.5</v>
      </c>
      <c r="D62" s="289">
        <f>IF(ISERROR(VLOOKUP(School_Code&amp;"All students",School_Data,76,FALSE)),"",(VLOOKUP(School_Code&amp;"All students",School_Data,76,FALSE)))</f>
        <v>51</v>
      </c>
      <c r="E62" s="291">
        <f>IF(ISERROR(VLOOKUP(School_Code&amp;"All students",School_Data,77,FALSE)),"",(VLOOKUP(School_Code&amp;"All students",School_Data,77,FALSE)))</f>
        <v>62</v>
      </c>
      <c r="F62" s="289">
        <f>IF(ISERROR(VLOOKUP(School_Code&amp;"All students",School_Data,78,FALSE)),"",(VLOOKUP(School_Code&amp;"All students",School_Data,78,FALSE)))</f>
        <v>51</v>
      </c>
      <c r="G62" s="289">
        <f>IF(ISERROR(VLOOKUP(School_Code&amp;"All students",School_Data,79,FALSE)),"",(VLOOKUP(School_Code&amp;"All students",School_Data,79,FALSE)))</f>
        <v>49.5</v>
      </c>
      <c r="H62" s="281">
        <f>IF(ISERROR(VLOOKUP(School_Code&amp;"All students",School_Data,80,FALSE)),"",(VLOOKUP(School_Code&amp;"All students",School_Data,80,FALSE)))</f>
        <v>51</v>
      </c>
      <c r="I62" s="134"/>
      <c r="J62" s="281">
        <f>IF(ISERROR(VLOOKUP(School_Code&amp;"All students",School_Data,81,FALSE)),"",(VLOOKUP(School_Code&amp;"All students",School_Data,81,FALSE)))</f>
        <v>51</v>
      </c>
      <c r="K62" s="281">
        <f>IF(ISERROR(VLOOKUP(School_Code&amp;"All students",School_Data,82,FALSE)),"",(VLOOKUP(School_Code&amp;"All students",School_Data,82,FALSE)))</f>
        <v>51</v>
      </c>
      <c r="L62" s="283">
        <f>IF(ISERROR(VLOOKUP(School_Code&amp;"All students",School_Data,83,FALSE)),"",(VLOOKUP(School_Code&amp;"All students",School_Data,83,FALSE)))</f>
        <v>51</v>
      </c>
      <c r="M62" s="293"/>
    </row>
    <row r="63" spans="2:13" s="16" customFormat="1" ht="25.5" hidden="1">
      <c r="B63" s="13" t="s">
        <v>24</v>
      </c>
      <c r="C63" s="288"/>
      <c r="D63" s="290"/>
      <c r="E63" s="292"/>
      <c r="F63" s="290"/>
      <c r="G63" s="290"/>
      <c r="H63" s="282"/>
      <c r="I63" s="135"/>
      <c r="J63" s="282"/>
      <c r="K63" s="282"/>
      <c r="L63" s="284"/>
      <c r="M63" s="285"/>
    </row>
    <row r="64" spans="2:13" s="16" customFormat="1" ht="15" customHeight="1">
      <c r="B64" s="77" t="s">
        <v>25</v>
      </c>
      <c r="C64" s="153">
        <f>IF(ISERROR(VLOOKUP(School_Code&amp;"High needs",School_Data,75,FALSE)),"",(VLOOKUP(School_Code&amp;"High needs",School_Data,75,FALSE)))</f>
        <v>68</v>
      </c>
      <c r="D64" s="189">
        <f>IF(ISERROR(VLOOKUP(School_Code&amp;"High needs",School_Data,76,FALSE)),"",(VLOOKUP(School_Code&amp;"High needs",School_Data,76,FALSE)))</f>
        <v>51</v>
      </c>
      <c r="E64" s="154">
        <f>IF(ISERROR(VLOOKUP(School_Code&amp;"High needs",School_Data,77,FALSE)),"",(VLOOKUP(School_Code&amp;"High needs",School_Data,77,FALSE)))</f>
        <v>60.5</v>
      </c>
      <c r="F64" s="189">
        <f>IF(ISERROR(VLOOKUP(School_Code&amp;"High needs",School_Data,78,FALSE)),"",(VLOOKUP(School_Code&amp;"High needs",School_Data,78,FALSE)))</f>
        <v>51</v>
      </c>
      <c r="G64" s="189">
        <f>IF(ISERROR(VLOOKUP(School_Code&amp;"High needs",School_Data,79,FALSE)),"",(VLOOKUP(School_Code&amp;"High needs",School_Data,79,FALSE)))</f>
        <v>50</v>
      </c>
      <c r="H64" s="79">
        <f>IF(ISERROR(VLOOKUP(School_Code&amp;"High needs",School_Data,80,FALSE)),"",(VLOOKUP(School_Code&amp;"High needs",School_Data,80,FALSE)))</f>
        <v>51</v>
      </c>
      <c r="I64" s="135"/>
      <c r="J64" s="79">
        <f>IF(ISERROR(VLOOKUP(School_Code&amp;"High needs",School_Data,81,FALSE)),"",(VLOOKUP(School_Code&amp;"High needs",School_Data,81,FALSE)))</f>
        <v>51</v>
      </c>
      <c r="K64" s="79">
        <f>IF(ISERROR(VLOOKUP(School_Code&amp;"High needs",School_Data,82,FALSE)),"",(VLOOKUP(School_Code&amp;"High needs",School_Data,82,FALSE)))</f>
        <v>51</v>
      </c>
      <c r="L64" s="80">
        <f>IF(ISERROR(VLOOKUP(School_Code&amp;"High needs",School_Data,83,FALSE)),"",(VLOOKUP(School_Code&amp;"High needs",School_Data,83,FALSE)))</f>
        <v>51</v>
      </c>
      <c r="M64" s="285"/>
    </row>
    <row r="65" spans="2:13" s="16" customFormat="1" ht="15" customHeight="1">
      <c r="B65" s="77" t="s">
        <v>26</v>
      </c>
      <c r="C65" s="153">
        <f>IF(ISERROR(VLOOKUP(School_Code&amp;"Low income",School_Data,75,FALSE)),"",(VLOOKUP(School_Code&amp;"Low income",School_Data,75,FALSE)))</f>
        <v>67.5</v>
      </c>
      <c r="D65" s="189">
        <f>IF(ISERROR(VLOOKUP(School_Code&amp;"Low income",School_Data,76,FALSE)),"",(VLOOKUP(School_Code&amp;"Low income",School_Data,76,FALSE)))</f>
        <v>51</v>
      </c>
      <c r="E65" s="154">
        <f>IF(ISERROR(VLOOKUP(School_Code&amp;"Low income",School_Data,77,FALSE)),"",(VLOOKUP(School_Code&amp;"Low income",School_Data,77,FALSE)))</f>
        <v>58.5</v>
      </c>
      <c r="F65" s="189">
        <f>IF(ISERROR(VLOOKUP(School_Code&amp;"Low income",School_Data,78,FALSE)),"",(VLOOKUP(School_Code&amp;"Low income",School_Data,78,FALSE)))</f>
        <v>51</v>
      </c>
      <c r="G65" s="189">
        <f>IF(ISERROR(VLOOKUP(School_Code&amp;"Low income",School_Data,79,FALSE)),"",(VLOOKUP(School_Code&amp;"Low income",School_Data,79,FALSE)))</f>
        <v>49</v>
      </c>
      <c r="H65" s="79">
        <f>IF(ISERROR(VLOOKUP(School_Code&amp;"Low income",School_Data,80,FALSE)),"",(VLOOKUP(School_Code&amp;"Low income",School_Data,80,FALSE)))</f>
        <v>51</v>
      </c>
      <c r="I65" s="135"/>
      <c r="J65" s="79">
        <f>IF(ISERROR(VLOOKUP(School_Code&amp;"Low income",School_Data,81,FALSE)),"",(VLOOKUP(School_Code&amp;"Low income",School_Data,81,FALSE)))</f>
        <v>51</v>
      </c>
      <c r="K65" s="79">
        <f>IF(ISERROR(VLOOKUP(School_Code&amp;"Low income",School_Data,82,FALSE)),"",(VLOOKUP(School_Code&amp;"Low income",School_Data,82,FALSE)))</f>
        <v>51</v>
      </c>
      <c r="L65" s="80">
        <f>IF(ISERROR(VLOOKUP(School_Code&amp;"Low income",School_Data,83,FALSE)),"",(VLOOKUP(School_Code&amp;"Low income",School_Data,83,FALSE)))</f>
        <v>51</v>
      </c>
      <c r="M65" s="285"/>
    </row>
    <row r="66" spans="2:13" s="16" customFormat="1" ht="15" customHeight="1">
      <c r="B66" s="77" t="s">
        <v>27</v>
      </c>
      <c r="C66" s="153">
        <f>IF(ISERROR(VLOOKUP(School_Code&amp;"ELL and Former ELL",School_Data,75,FALSE)),"",(VLOOKUP(School_Code&amp;"ELL and Former ELL",School_Data,75,FALSE)))</f>
        <v>65</v>
      </c>
      <c r="D66" s="189">
        <f>IF(ISERROR(VLOOKUP(School_Code&amp;"ELL and Former ELL",School_Data,76,FALSE)),"",(VLOOKUP(School_Code&amp;"ELL and Former ELL",School_Data,76,FALSE)))</f>
        <v>51</v>
      </c>
      <c r="E66" s="154">
        <f>IF(ISERROR(VLOOKUP(School_Code&amp;"ELL and Former ELL",School_Data,77,FALSE)),"",(VLOOKUP(School_Code&amp;"ELL and Former ELL",School_Data,77,FALSE)))</f>
        <v>63</v>
      </c>
      <c r="F66" s="189">
        <f>IF(ISERROR(VLOOKUP(School_Code&amp;"ELL and Former ELL",School_Data,78,FALSE)),"",(VLOOKUP(School_Code&amp;"ELL and Former ELL",School_Data,78,FALSE)))</f>
        <v>51</v>
      </c>
      <c r="G66" s="189">
        <f>IF(ISERROR(VLOOKUP(School_Code&amp;"ELL and Former ELL",School_Data,79,FALSE)),"",(VLOOKUP(School_Code&amp;"ELL and Former ELL",School_Data,79,FALSE)))</f>
        <v>59</v>
      </c>
      <c r="H66" s="79">
        <f>IF(ISERROR(VLOOKUP(School_Code&amp;"ELL and Former ELL",School_Data,80,FALSE)),"",(VLOOKUP(School_Code&amp;"ELL and Former ELL",School_Data,80,FALSE)))</f>
        <v>51</v>
      </c>
      <c r="I66" s="135"/>
      <c r="J66" s="79">
        <f>IF(ISERROR(VLOOKUP(School_Code&amp;"ELL and Former ELL",School_Data,81,FALSE)),"",(VLOOKUP(School_Code&amp;"ELL and Former ELL",School_Data,81,FALSE)))</f>
        <v>51</v>
      </c>
      <c r="K66" s="79">
        <f>IF(ISERROR(VLOOKUP(School_Code&amp;"ELL and Former ELL",School_Data,82,FALSE)),"",(VLOOKUP(School_Code&amp;"ELL and Former ELL",School_Data,82,FALSE)))</f>
        <v>51</v>
      </c>
      <c r="L66" s="80">
        <f>IF(ISERROR(VLOOKUP(School_Code&amp;"ELL and Former ELL",School_Data,83,FALSE)),"",(VLOOKUP(School_Code&amp;"ELL and Former ELL",School_Data,83,FALSE)))</f>
        <v>51</v>
      </c>
      <c r="M66" s="285"/>
    </row>
    <row r="67" spans="2:13" s="16" customFormat="1" ht="15" customHeight="1">
      <c r="B67" s="77" t="s">
        <v>28</v>
      </c>
      <c r="C67" s="153">
        <f>IF(ISERROR(VLOOKUP(School_Code&amp;"Students w/disabilities",School_Data,75,FALSE)),"",(VLOOKUP(School_Code&amp;"Students w/disabilities",School_Data,75,FALSE)))</f>
        <v>63</v>
      </c>
      <c r="D67" s="189">
        <f>IF(ISERROR(VLOOKUP(School_Code&amp;"Students w/disabilities",School_Data,76,FALSE)),"",(VLOOKUP(School_Code&amp;"Students w/disabilities",School_Data,76,FALSE)))</f>
        <v>51</v>
      </c>
      <c r="E67" s="154">
        <f>IF(ISERROR(VLOOKUP(School_Code&amp;"Students w/disabilities",School_Data,77,FALSE)),"",(VLOOKUP(School_Code&amp;"Students w/disabilities",School_Data,77,FALSE)))</f>
        <v>46.5</v>
      </c>
      <c r="F67" s="189">
        <f>IF(ISERROR(VLOOKUP(School_Code&amp;"Students w/disabilities",School_Data,78,FALSE)),"",(VLOOKUP(School_Code&amp;"Students w/disabilities",School_Data,78,FALSE)))</f>
        <v>51</v>
      </c>
      <c r="G67" s="189">
        <f>IF(ISERROR(VLOOKUP(School_Code&amp;"Students w/disabilities",School_Data,79,FALSE)),"",(VLOOKUP(School_Code&amp;"Students w/disabilities",School_Data,79,FALSE)))</f>
        <v>47</v>
      </c>
      <c r="H67" s="79">
        <f>IF(ISERROR(VLOOKUP(School_Code&amp;"Students w/disabilities",School_Data,80,FALSE)),"",(VLOOKUP(School_Code&amp;"Students w/disabilities",School_Data,80,FALSE)))</f>
        <v>51</v>
      </c>
      <c r="I67" s="135"/>
      <c r="J67" s="79">
        <f>IF(ISERROR(VLOOKUP(School_Code&amp;"Students w/disabilities",School_Data,81,FALSE)),"",(VLOOKUP(School_Code&amp;"Students w/disabilities",School_Data,81,FALSE)))</f>
        <v>51</v>
      </c>
      <c r="K67" s="79">
        <f>IF(ISERROR(VLOOKUP(School_Code&amp;"Students w/disabilities",School_Data,82,FALSE)),"",(VLOOKUP(School_Code&amp;"Students w/disabilities",School_Data,82,FALSE)))</f>
        <v>51</v>
      </c>
      <c r="L67" s="80">
        <f>IF(ISERROR(VLOOKUP(School_Code&amp;"Students w/disabilities",School_Data,83,FALSE)),"",(VLOOKUP(School_Code&amp;"Students w/disabilities",School_Data,83,FALSE)))</f>
        <v>51</v>
      </c>
      <c r="M67" s="285"/>
    </row>
    <row r="68" spans="2:13" s="16" customFormat="1" ht="15" customHeight="1">
      <c r="B68" s="77" t="s">
        <v>29</v>
      </c>
      <c r="C68" s="153" t="str">
        <f>IF(ISERROR(VLOOKUP(School_Code&amp;"Amer. Ind. or Alaska Nat.",School_Data,75,FALSE)),"",(VLOOKUP(School_Code&amp;"Amer. Ind. or Alaska Nat.",School_Data,75,FALSE)))</f>
        <v>--</v>
      </c>
      <c r="D68" s="189" t="str">
        <f>IF(ISERROR(VLOOKUP(School_Code&amp;"Amer. Ind. or Alaska Nat.",School_Data,76,FALSE)),"",(VLOOKUP(School_Code&amp;"Amer. Ind. or Alaska Nat.",School_Data,76,FALSE)))</f>
        <v>--</v>
      </c>
      <c r="E68" s="154" t="str">
        <f>IF(ISERROR(VLOOKUP(School_Code&amp;"Amer. Ind. or Alaska Nat.",School_Data,77,FALSE)),"",(VLOOKUP(School_Code&amp;"Amer. Ind. or Alaska Nat.",School_Data,77,FALSE)))</f>
        <v>--</v>
      </c>
      <c r="F68" s="189" t="str">
        <f>IF(ISERROR(VLOOKUP(School_Code&amp;"Amer. Ind. or Alaska Nat.",School_Data,78,FALSE)),"",(VLOOKUP(School_Code&amp;"Amer. Ind. or Alaska Nat.",School_Data,78,FALSE)))</f>
        <v>--</v>
      </c>
      <c r="G68" s="189" t="str">
        <f>IF(ISERROR(VLOOKUP(School_Code&amp;"Amer. Ind. or Alaska Nat.",School_Data,79,FALSE)),"",(VLOOKUP(School_Code&amp;"Amer. Ind. or Alaska Nat.",School_Data,79,FALSE)))</f>
        <v>--</v>
      </c>
      <c r="H68" s="79" t="str">
        <f>IF(ISERROR(VLOOKUP(School_Code&amp;"Amer. Ind. or Alaska Nat.",School_Data,80,FALSE)),"",(VLOOKUP(School_Code&amp;"Amer. Ind. or Alaska Nat.",School_Data,80,FALSE)))</f>
        <v>--</v>
      </c>
      <c r="I68" s="135"/>
      <c r="J68" s="79" t="str">
        <f>IF(ISERROR(VLOOKUP(School_Code&amp;"Amer. Ind. or Alaska Nat.",School_Data,81,FALSE)),"",(VLOOKUP(School_Code&amp;"Amer. Ind. or Alaska Nat.",School_Data,81,FALSE)))</f>
        <v>--</v>
      </c>
      <c r="K68" s="79" t="str">
        <f>IF(ISERROR(VLOOKUP(School_Code&amp;"Amer. Ind. or Alaska Nat.",School_Data,82,FALSE)),"",(VLOOKUP(School_Code&amp;"Amer. Ind. or Alaska Nat.",School_Data,82,FALSE)))</f>
        <v>--</v>
      </c>
      <c r="L68" s="80" t="str">
        <f>IF(ISERROR(VLOOKUP(School_Code&amp;"Amer. Ind. or Alaska Nat.",School_Data,83,FALSE)),"",(VLOOKUP(School_Code&amp;"Amer. Ind. or Alaska Nat.",School_Data,83,FALSE)))</f>
        <v>--</v>
      </c>
      <c r="M68" s="285"/>
    </row>
    <row r="69" spans="2:13" s="16" customFormat="1" ht="15" customHeight="1">
      <c r="B69" s="77" t="s">
        <v>30</v>
      </c>
      <c r="C69" s="153" t="str">
        <f>IF(ISERROR(VLOOKUP(School_Code&amp;"Asian",School_Data,75,FALSE)),"",(VLOOKUP(School_Code&amp;"Asian",School_Data,75,FALSE)))</f>
        <v>--</v>
      </c>
      <c r="D69" s="189" t="str">
        <f>IF(ISERROR(VLOOKUP(School_Code&amp;"Asian",School_Data,76,FALSE)),"",(VLOOKUP(School_Code&amp;"Asian",School_Data,76,FALSE)))</f>
        <v>--</v>
      </c>
      <c r="E69" s="154" t="str">
        <f>IF(ISERROR(VLOOKUP(School_Code&amp;"Asian",School_Data,77,FALSE)),"",(VLOOKUP(School_Code&amp;"Asian",School_Data,77,FALSE)))</f>
        <v>--</v>
      </c>
      <c r="F69" s="189" t="str">
        <f>IF(ISERROR(VLOOKUP(School_Code&amp;"Asian",School_Data,78,FALSE)),"",(VLOOKUP(School_Code&amp;"Asian",School_Data,78,FALSE)))</f>
        <v>--</v>
      </c>
      <c r="G69" s="189" t="str">
        <f>IF(ISERROR(VLOOKUP(School_Code&amp;"Asian",School_Data,79,FALSE)),"",(VLOOKUP(School_Code&amp;"Asian",School_Data,79,FALSE)))</f>
        <v>--</v>
      </c>
      <c r="H69" s="79" t="str">
        <f>IF(ISERROR(VLOOKUP(School_Code&amp;"Asian",School_Data,80,FALSE)),"",(VLOOKUP(School_Code&amp;"Asian",School_Data,80,FALSE)))</f>
        <v>--</v>
      </c>
      <c r="I69" s="135"/>
      <c r="J69" s="79" t="str">
        <f>IF(ISERROR(VLOOKUP(School_Code&amp;"Asian",School_Data,81,FALSE)),"",(VLOOKUP(School_Code&amp;"Asian",School_Data,81,FALSE)))</f>
        <v>--</v>
      </c>
      <c r="K69" s="79" t="str">
        <f>IF(ISERROR(VLOOKUP(School_Code&amp;"Asian",School_Data,82,FALSE)),"",(VLOOKUP(School_Code&amp;"Asian",School_Data,82,FALSE)))</f>
        <v>--</v>
      </c>
      <c r="L69" s="80" t="str">
        <f>IF(ISERROR(VLOOKUP(School_Code&amp;"Asian",School_Data,83,FALSE)),"",(VLOOKUP(School_Code&amp;"Asian",School_Data,83,FALSE)))</f>
        <v>--</v>
      </c>
      <c r="M69" s="285"/>
    </row>
    <row r="70" spans="2:13" s="16" customFormat="1" ht="15" customHeight="1">
      <c r="B70" s="77" t="s">
        <v>45</v>
      </c>
      <c r="C70" s="153" t="str">
        <f>IF(ISERROR(VLOOKUP(School_Code&amp;"Afr. Amer/Black",School_Data,75,FALSE)),"",(VLOOKUP(School_Code&amp;"Afr. Amer/Black",School_Data,75,FALSE)))</f>
        <v>--</v>
      </c>
      <c r="D70" s="189" t="str">
        <f>IF(ISERROR(VLOOKUP(School_Code&amp;"Afr. Amer/Black",School_Data,76,FALSE)),"",(VLOOKUP(School_Code&amp;"Afr. Amer/Black",School_Data,76,FALSE)))</f>
        <v>--</v>
      </c>
      <c r="E70" s="154" t="str">
        <f>IF(ISERROR(VLOOKUP(School_Code&amp;"Afr. Amer/Black",School_Data,77,FALSE)),"",(VLOOKUP(School_Code&amp;"Afr. Amer/Black",School_Data,77,FALSE)))</f>
        <v>--</v>
      </c>
      <c r="F70" s="189" t="str">
        <f>IF(ISERROR(VLOOKUP(School_Code&amp;"Afr. Amer/Black",School_Data,78,FALSE)),"",(VLOOKUP(School_Code&amp;"Afr. Amer/Black",School_Data,78,FALSE)))</f>
        <v>--</v>
      </c>
      <c r="G70" s="189" t="str">
        <f>IF(ISERROR(VLOOKUP(School_Code&amp;"Afr. Amer/Black",School_Data,79,FALSE)),"",(VLOOKUP(School_Code&amp;"Afr. Amer/Black",School_Data,79,FALSE)))</f>
        <v>--</v>
      </c>
      <c r="H70" s="79" t="str">
        <f>IF(ISERROR(VLOOKUP(School_Code&amp;"Afr. Amer/Black",School_Data,80,FALSE)),"",(VLOOKUP(School_Code&amp;"Afr. Amer/Black",School_Data,80,FALSE)))</f>
        <v>--</v>
      </c>
      <c r="I70" s="135"/>
      <c r="J70" s="79" t="str">
        <f>IF(ISERROR(VLOOKUP(School_Code&amp;"Afr. Amer/Black",School_Data,81,FALSE)),"",(VLOOKUP(School_Code&amp;"Afr. Amer/Black",School_Data,81,FALSE)))</f>
        <v>--</v>
      </c>
      <c r="K70" s="79" t="str">
        <f>IF(ISERROR(VLOOKUP(School_Code&amp;"Afr. Amer/Black",School_Data,82,FALSE)),"",(VLOOKUP(School_Code&amp;"Afr. Amer/Black",School_Data,82,FALSE)))</f>
        <v>--</v>
      </c>
      <c r="L70" s="80" t="str">
        <f>IF(ISERROR(VLOOKUP(School_Code&amp;"Afr. Amer/Black",School_Data,83,FALSE)),"",(VLOOKUP(School_Code&amp;"Afr. Amer/Black",School_Data,83,FALSE)))</f>
        <v>--</v>
      </c>
      <c r="M70" s="285"/>
    </row>
    <row r="71" spans="2:13" s="16" customFormat="1" ht="15" customHeight="1">
      <c r="B71" s="77" t="s">
        <v>32</v>
      </c>
      <c r="C71" s="153">
        <f>IF(ISERROR(VLOOKUP(School_Code&amp;"Hispanic/Latino",School_Data,75,FALSE)),"",(VLOOKUP(School_Code&amp;"Hispanic/Latino",School_Data,75,FALSE)))</f>
        <v>69.5</v>
      </c>
      <c r="D71" s="189">
        <f>IF(ISERROR(VLOOKUP(School_Code&amp;"Hispanic/Latino",School_Data,76,FALSE)),"",(VLOOKUP(School_Code&amp;"Hispanic/Latino",School_Data,76,FALSE)))</f>
        <v>51</v>
      </c>
      <c r="E71" s="154">
        <f>IF(ISERROR(VLOOKUP(School_Code&amp;"Hispanic/Latino",School_Data,77,FALSE)),"",(VLOOKUP(School_Code&amp;"Hispanic/Latino",School_Data,77,FALSE)))</f>
        <v>63</v>
      </c>
      <c r="F71" s="189">
        <f>IF(ISERROR(VLOOKUP(School_Code&amp;"Hispanic/Latino",School_Data,78,FALSE)),"",(VLOOKUP(School_Code&amp;"Hispanic/Latino",School_Data,78,FALSE)))</f>
        <v>51</v>
      </c>
      <c r="G71" s="189">
        <f>IF(ISERROR(VLOOKUP(School_Code&amp;"Hispanic/Latino",School_Data,79,FALSE)),"",(VLOOKUP(School_Code&amp;"Hispanic/Latino",School_Data,79,FALSE)))</f>
        <v>50.5</v>
      </c>
      <c r="H71" s="79">
        <f>IF(ISERROR(VLOOKUP(School_Code&amp;"Hispanic/Latino",School_Data,80,FALSE)),"",(VLOOKUP(School_Code&amp;"Hispanic/Latino",School_Data,80,FALSE)))</f>
        <v>51</v>
      </c>
      <c r="I71" s="135"/>
      <c r="J71" s="79">
        <f>IF(ISERROR(VLOOKUP(School_Code&amp;"Hispanic/Latino",School_Data,81,FALSE)),"",(VLOOKUP(School_Code&amp;"Hispanic/Latino",School_Data,81,FALSE)))</f>
        <v>51</v>
      </c>
      <c r="K71" s="79">
        <f>IF(ISERROR(VLOOKUP(School_Code&amp;"Hispanic/Latino",School_Data,82,FALSE)),"",(VLOOKUP(School_Code&amp;"Hispanic/Latino",School_Data,82,FALSE)))</f>
        <v>51</v>
      </c>
      <c r="L71" s="80">
        <f>IF(ISERROR(VLOOKUP(School_Code&amp;"Hispanic/Latino",School_Data,83,FALSE)),"",(VLOOKUP(School_Code&amp;"Hispanic/Latino",School_Data,83,FALSE)))</f>
        <v>51</v>
      </c>
      <c r="M71" s="285"/>
    </row>
    <row r="72" spans="2:13" s="16" customFormat="1" ht="15" customHeight="1">
      <c r="B72" s="77" t="s">
        <v>33</v>
      </c>
      <c r="C72" s="153" t="str">
        <f>IF(ISERROR(VLOOKUP(School_Code&amp;"Multi-race, Non-Hisp./Lat.",School_Data,75,FALSE)),"",(VLOOKUP(School_Code&amp;"Multi-race, Non-Hisp./Lat.",School_Data,75,FALSE)))</f>
        <v>--</v>
      </c>
      <c r="D72" s="189" t="str">
        <f>IF(ISERROR(VLOOKUP(School_Code&amp;"Multi-race, Non-Hisp./Lat.",School_Data,76,FALSE)),"",(VLOOKUP(School_Code&amp;"Multi-race, Non-Hisp./Lat.",School_Data,76,FALSE)))</f>
        <v>--</v>
      </c>
      <c r="E72" s="154" t="str">
        <f>IF(ISERROR(VLOOKUP(School_Code&amp;"Multi-race, Non-Hisp./Lat.",School_Data,77,FALSE)),"",(VLOOKUP(School_Code&amp;"Multi-race, Non-Hisp./Lat.",School_Data,77,FALSE)))</f>
        <v>--</v>
      </c>
      <c r="F72" s="189" t="str">
        <f>IF(ISERROR(VLOOKUP(School_Code&amp;"Multi-race, Non-Hisp./Lat.",School_Data,78,FALSE)),"",(VLOOKUP(School_Code&amp;"Multi-race, Non-Hisp./Lat.",School_Data,78,FALSE)))</f>
        <v>--</v>
      </c>
      <c r="G72" s="189" t="str">
        <f>IF(ISERROR(VLOOKUP(School_Code&amp;"Multi-race, Non-Hisp./Lat.",School_Data,79,FALSE)),"",(VLOOKUP(School_Code&amp;"Multi-race, Non-Hisp./Lat.",School_Data,79,FALSE)))</f>
        <v>--</v>
      </c>
      <c r="H72" s="79" t="str">
        <f>IF(ISERROR(VLOOKUP(School_Code&amp;"Multi-race, Non-Hisp./Lat.",School_Data,80,FALSE)),"",(VLOOKUP(School_Code&amp;"Multi-race, Non-Hisp./Lat.",School_Data,80,FALSE)))</f>
        <v>--</v>
      </c>
      <c r="I72" s="135"/>
      <c r="J72" s="79" t="str">
        <f>IF(ISERROR(VLOOKUP(School_Code&amp;"Multi-race, Non-Hisp./Lat.",School_Data,81,FALSE)),"",(VLOOKUP(School_Code&amp;"Multi-race, Non-Hisp./Lat.",School_Data,81,FALSE)))</f>
        <v>--</v>
      </c>
      <c r="K72" s="79" t="str">
        <f>IF(ISERROR(VLOOKUP(School_Code&amp;"Multi-race, Non-Hisp./Lat.",School_Data,82,FALSE)),"",(VLOOKUP(School_Code&amp;"Multi-race, Non-Hisp./Lat.",School_Data,82,FALSE)))</f>
        <v>--</v>
      </c>
      <c r="L72" s="80" t="str">
        <f>IF(ISERROR(VLOOKUP(School_Code&amp;"Multi-race, Non-Hisp./Lat.",School_Data,83,FALSE)),"",(VLOOKUP(School_Code&amp;"Multi-race, Non-Hisp./Lat.",School_Data,83,FALSE)))</f>
        <v>--</v>
      </c>
      <c r="M72" s="285"/>
    </row>
    <row r="73" spans="2:13" s="16" customFormat="1" ht="15" customHeight="1">
      <c r="B73" s="77" t="s">
        <v>34</v>
      </c>
      <c r="C73" s="153" t="str">
        <f>IF(ISERROR(VLOOKUP(School_Code&amp;"Nat. Haw. or Pacif. Isl.",School_Data,75,FALSE)),"",(VLOOKUP(School_Code&amp;"Nat. Haw. or Pacif. Isl.",School_Data,75,FALSE)))</f>
        <v>--</v>
      </c>
      <c r="D73" s="189" t="str">
        <f>IF(ISERROR(VLOOKUP(School_Code&amp;"Nat. Haw. or Pacif. Isl.",School_Data,76,FALSE)),"",(VLOOKUP(School_Code&amp;"Nat. Haw. or Pacif. Isl.",School_Data,76,FALSE)))</f>
        <v>--</v>
      </c>
      <c r="E73" s="154" t="str">
        <f>IF(ISERROR(VLOOKUP(School_Code&amp;"Nat. Haw. or Pacif. Isl.",School_Data,77,FALSE)),"",(VLOOKUP(School_Code&amp;"Nat. Haw. or Pacif. Isl.",School_Data,77,FALSE)))</f>
        <v>--</v>
      </c>
      <c r="F73" s="189" t="str">
        <f>IF(ISERROR(VLOOKUP(School_Code&amp;"Nat. Haw. or Pacif. Isl.",School_Data,78,FALSE)),"",(VLOOKUP(School_Code&amp;"Nat. Haw. or Pacif. Isl.",School_Data,78,FALSE)))</f>
        <v>--</v>
      </c>
      <c r="G73" s="189" t="str">
        <f>IF(ISERROR(VLOOKUP(School_Code&amp;"Nat. Haw. or Pacif. Isl.",School_Data,79,FALSE)),"",(VLOOKUP(School_Code&amp;"Nat. Haw. or Pacif. Isl.",School_Data,79,FALSE)))</f>
        <v>--</v>
      </c>
      <c r="H73" s="79" t="str">
        <f>IF(ISERROR(VLOOKUP(School_Code&amp;"Nat. Haw. or Pacif. Isl.",School_Data,80,FALSE)),"",(VLOOKUP(School_Code&amp;"Nat. Haw. or Pacif. Isl.",School_Data,80,FALSE)))</f>
        <v>--</v>
      </c>
      <c r="I73" s="135"/>
      <c r="J73" s="79" t="str">
        <f>IF(ISERROR(VLOOKUP(School_Code&amp;"Nat. Haw. or Pacif. Isl.",School_Data,81,FALSE)),"",(VLOOKUP(School_Code&amp;"Nat. Haw. or Pacif. Isl.",School_Data,81,FALSE)))</f>
        <v>--</v>
      </c>
      <c r="K73" s="79" t="str">
        <f>IF(ISERROR(VLOOKUP(School_Code&amp;"Nat. Haw. or Pacif. Isl.",School_Data,82,FALSE)),"",(VLOOKUP(School_Code&amp;"Nat. Haw. or Pacif. Isl.",School_Data,82,FALSE)))</f>
        <v>--</v>
      </c>
      <c r="L73" s="80" t="str">
        <f>IF(ISERROR(VLOOKUP(School_Code&amp;"Nat. Haw. or Pacif. Isl.",School_Data,83,FALSE)),"",(VLOOKUP(School_Code&amp;"Nat. Haw. or Pacif. Isl.",School_Data,83,FALSE)))</f>
        <v>--</v>
      </c>
      <c r="M73" s="285"/>
    </row>
    <row r="74" spans="2:13" s="16" customFormat="1" ht="15" customHeight="1">
      <c r="B74" s="97" t="s">
        <v>35</v>
      </c>
      <c r="C74" s="191" t="str">
        <f>IF(ISERROR(VLOOKUP(School_Code&amp;"White",School_Data,75,FALSE)),"",(VLOOKUP(School_Code&amp;"White",School_Data,75,FALSE)))</f>
        <v>--</v>
      </c>
      <c r="D74" s="192" t="str">
        <f>IF(ISERROR(VLOOKUP(School_Code&amp;"White",School_Data,76,FALSE)),"",(VLOOKUP(School_Code&amp;"White",School_Data,76,FALSE)))</f>
        <v>--</v>
      </c>
      <c r="E74" s="193" t="str">
        <f>IF(ISERROR(VLOOKUP(School_Code&amp;"White",School_Data,77,FALSE)),"",(VLOOKUP(School_Code&amp;"White",School_Data,77,FALSE)))</f>
        <v>--</v>
      </c>
      <c r="F74" s="192" t="str">
        <f>IF(ISERROR(VLOOKUP(School_Code&amp;"White",School_Data,78,FALSE)),"",(VLOOKUP(School_Code&amp;"White",School_Data,78,FALSE)))</f>
        <v>--</v>
      </c>
      <c r="G74" s="192" t="str">
        <f>IF(ISERROR(VLOOKUP(School_Code&amp;"White",School_Data,79,FALSE)),"",(VLOOKUP(School_Code&amp;"White",School_Data,79,FALSE)))</f>
        <v>--</v>
      </c>
      <c r="H74" s="81" t="str">
        <f>IF(ISERROR(VLOOKUP(School_Code&amp;"White",School_Data,80,FALSE)),"",(VLOOKUP(School_Code&amp;"White",School_Data,80,FALSE)))</f>
        <v>--</v>
      </c>
      <c r="I74" s="81"/>
      <c r="J74" s="81" t="str">
        <f>IF(ISERROR(VLOOKUP(School_Code&amp;"White",School_Data,81,FALSE)),"",(VLOOKUP(School_Code&amp;"White",School_Data,81,FALSE)))</f>
        <v>--</v>
      </c>
      <c r="K74" s="81" t="str">
        <f>IF(ISERROR(VLOOKUP(School_Code&amp;"White",School_Data,82,FALSE)),"",(VLOOKUP(School_Code&amp;"White",School_Data,82,FALSE)))</f>
        <v>--</v>
      </c>
      <c r="L74" s="82" t="str">
        <f>IF(ISERROR(VLOOKUP(School_Code&amp;"White",School_Data,83,FALSE)),"",(VLOOKUP(School_Code&amp;"White",School_Data,83,FALSE)))</f>
        <v>--</v>
      </c>
      <c r="M74" s="286"/>
    </row>
    <row r="75" spans="2:13" ht="67.5" customHeight="1">
      <c r="B75" s="83" t="s">
        <v>50</v>
      </c>
      <c r="C75" s="143"/>
      <c r="D75" s="144"/>
      <c r="E75" s="144"/>
      <c r="F75" s="144"/>
      <c r="G75" s="144"/>
      <c r="H75" s="84"/>
      <c r="I75" s="84"/>
      <c r="J75" s="84"/>
      <c r="K75" s="84"/>
      <c r="L75" s="85"/>
      <c r="M75" s="86"/>
    </row>
    <row r="76" spans="2:13" s="16" customFormat="1" ht="38.25">
      <c r="B76" s="242" t="s">
        <v>272</v>
      </c>
      <c r="C76" s="287" t="str">
        <f>IF(ISERROR(VLOOKUP(School_Code&amp;"All students",School_Data,84,FALSE)),"",(VLOOKUP(School_Code&amp;"All students",School_Data,84,FALSE)))</f>
        <v>--</v>
      </c>
      <c r="D76" s="289" t="str">
        <f>IF(ISERROR(VLOOKUP(School_Code&amp;"All students",School_Data,85,FALSE)),"",(VLOOKUP(School_Code&amp;"All students",School_Data,85,FALSE)))</f>
        <v>--</v>
      </c>
      <c r="E76" s="291" t="str">
        <f>IF(ISERROR(VLOOKUP(School_Code&amp;"All students",School_Data,86,FALSE)),"",(VLOOKUP(School_Code&amp;"All students",School_Data,86,FALSE)))</f>
        <v>--</v>
      </c>
      <c r="F76" s="289" t="str">
        <f>IF(ISERROR(VLOOKUP(School_Code&amp;"All students",School_Data,87,FALSE)),"",(VLOOKUP(School_Code&amp;"All students",School_Data,87,FALSE)))</f>
        <v>--</v>
      </c>
      <c r="G76" s="289">
        <f>IF(ISERROR(VLOOKUP(School_Code&amp;"All students",School_Data,88,FALSE)),"",(VLOOKUP(School_Code&amp;"All students",School_Data,88,FALSE)))</f>
        <v>41.4</v>
      </c>
      <c r="H76" s="281" t="str">
        <f>IF(ISERROR(VLOOKUP(School_Code&amp;"All students",School_Data,89,FALSE)),"",(VLOOKUP(School_Code&amp;"All students",School_Data,89,FALSE)))</f>
        <v>TBD</v>
      </c>
      <c r="I76" s="134"/>
      <c r="J76" s="281" t="str">
        <f>IF(ISERROR(VLOOKUP(School_Code&amp;"All students",School_Data,90,FALSE)),"",(VLOOKUP(School_Code&amp;"All students",School_Data,90,FALSE)))</f>
        <v>TBD</v>
      </c>
      <c r="K76" s="281" t="str">
        <f>IF(ISERROR(VLOOKUP(School_Code&amp;"All students",School_Data,91,FALSE)),"",(VLOOKUP(School_Code&amp;"All students",School_Data,91,FALSE)))</f>
        <v>TBD</v>
      </c>
      <c r="L76" s="283" t="str">
        <f>IF(ISERROR(VLOOKUP(School_Code&amp;"All students",School_Data,92,FALSE)),"",(VLOOKUP(School_Code&amp;"All students",School_Data,92,FALSE)))</f>
        <v>TBD</v>
      </c>
      <c r="M76" s="293"/>
    </row>
    <row r="77" spans="2:13" s="16" customFormat="1" ht="25.5" hidden="1">
      <c r="B77" s="13" t="s">
        <v>24</v>
      </c>
      <c r="C77" s="288"/>
      <c r="D77" s="290"/>
      <c r="E77" s="292"/>
      <c r="F77" s="290"/>
      <c r="G77" s="290"/>
      <c r="H77" s="282"/>
      <c r="I77" s="135"/>
      <c r="J77" s="282"/>
      <c r="K77" s="282"/>
      <c r="L77" s="284"/>
      <c r="M77" s="285"/>
    </row>
    <row r="78" spans="2:13" s="16" customFormat="1" ht="15" customHeight="1">
      <c r="B78" s="77" t="s">
        <v>25</v>
      </c>
      <c r="C78" s="153" t="str">
        <f>IF(ISERROR(VLOOKUP(School_Code&amp;"High needs",School_Data,84,FALSE)),"",(VLOOKUP(School_Code&amp;"High needs",School_Data,84,FALSE)))</f>
        <v>--</v>
      </c>
      <c r="D78" s="189" t="str">
        <f>IF(ISERROR(VLOOKUP(School_Code&amp;"High needs",School_Data,85,FALSE)),"",(VLOOKUP(School_Code&amp;"High needs",School_Data,85,FALSE)))</f>
        <v>--</v>
      </c>
      <c r="E78" s="154" t="str">
        <f>IF(ISERROR(VLOOKUP(School_Code&amp;"High needs",School_Data,86,FALSE)),"",(VLOOKUP(School_Code&amp;"High needs",School_Data,86,FALSE)))</f>
        <v>--</v>
      </c>
      <c r="F78" s="189" t="str">
        <f>IF(ISERROR(VLOOKUP(School_Code&amp;"High needs",School_Data,87,FALSE)),"",(VLOOKUP(School_Code&amp;"High needs",School_Data,87,FALSE)))</f>
        <v>--</v>
      </c>
      <c r="G78" s="189">
        <f>IF(ISERROR(VLOOKUP(School_Code&amp;"High needs",School_Data,88,FALSE)),"",(VLOOKUP(School_Code&amp;"High needs",School_Data,88,FALSE)))</f>
        <v>41.9</v>
      </c>
      <c r="H78" s="79" t="str">
        <f>IF(ISERROR(VLOOKUP(School_Code&amp;"High needs",School_Data,89,FALSE)),"",(VLOOKUP(School_Code&amp;"High needs",School_Data,89,FALSE)))</f>
        <v>TBD</v>
      </c>
      <c r="I78" s="135"/>
      <c r="J78" s="79" t="str">
        <f>IF(ISERROR(VLOOKUP(School_Code&amp;"High needs",School_Data,90,FALSE)),"",(VLOOKUP(School_Code&amp;"High needs",School_Data,90,FALSE)))</f>
        <v>TBD</v>
      </c>
      <c r="K78" s="79" t="str">
        <f>IF(ISERROR(VLOOKUP(School_Code&amp;"High needs",School_Data,91,FALSE)),"",(VLOOKUP(School_Code&amp;"High needs",School_Data,91,FALSE)))</f>
        <v>TBD</v>
      </c>
      <c r="L78" s="80" t="str">
        <f>IF(ISERROR(VLOOKUP(School_Code&amp;"High needs",School_Data,92,FALSE)),"",(VLOOKUP(School_Code&amp;"High needs",School_Data,92,FALSE)))</f>
        <v>TBD</v>
      </c>
      <c r="M78" s="285"/>
    </row>
    <row r="79" spans="2:13" s="16" customFormat="1" ht="15" customHeight="1">
      <c r="B79" s="77" t="s">
        <v>26</v>
      </c>
      <c r="C79" s="153" t="str">
        <f>IF(ISERROR(VLOOKUP(School_Code&amp;"Low income",School_Data,84,FALSE)),"",(VLOOKUP(School_Code&amp;"Low income",School_Data,84,FALSE)))</f>
        <v>--</v>
      </c>
      <c r="D79" s="189" t="str">
        <f>IF(ISERROR(VLOOKUP(School_Code&amp;"Low income",School_Data,85,FALSE)),"",(VLOOKUP(School_Code&amp;"Low income",School_Data,85,FALSE)))</f>
        <v>--</v>
      </c>
      <c r="E79" s="154" t="str">
        <f>IF(ISERROR(VLOOKUP(School_Code&amp;"Low income",School_Data,86,FALSE)),"",(VLOOKUP(School_Code&amp;"Low income",School_Data,86,FALSE)))</f>
        <v>--</v>
      </c>
      <c r="F79" s="189" t="str">
        <f>IF(ISERROR(VLOOKUP(School_Code&amp;"Low income",School_Data,87,FALSE)),"",(VLOOKUP(School_Code&amp;"Low income",School_Data,87,FALSE)))</f>
        <v>--</v>
      </c>
      <c r="G79" s="189">
        <f>IF(ISERROR(VLOOKUP(School_Code&amp;"Low income",School_Data,88,FALSE)),"",(VLOOKUP(School_Code&amp;"Low income",School_Data,88,FALSE)))</f>
        <v>42</v>
      </c>
      <c r="H79" s="79" t="str">
        <f>IF(ISERROR(VLOOKUP(School_Code&amp;"Low income",School_Data,89,FALSE)),"",(VLOOKUP(School_Code&amp;"Low income",School_Data,89,FALSE)))</f>
        <v>TBD</v>
      </c>
      <c r="I79" s="135"/>
      <c r="J79" s="79" t="str">
        <f>IF(ISERROR(VLOOKUP(School_Code&amp;"Low income",School_Data,90,FALSE)),"",(VLOOKUP(School_Code&amp;"Low income",School_Data,90,FALSE)))</f>
        <v>TBD</v>
      </c>
      <c r="K79" s="79" t="str">
        <f>IF(ISERROR(VLOOKUP(School_Code&amp;"Low income",School_Data,91,FALSE)),"",(VLOOKUP(School_Code&amp;"Low income",School_Data,91,FALSE)))</f>
        <v>TBD</v>
      </c>
      <c r="L79" s="80" t="str">
        <f>IF(ISERROR(VLOOKUP(School_Code&amp;"Low income",School_Data,92,FALSE)),"",(VLOOKUP(School_Code&amp;"Low income",School_Data,92,FALSE)))</f>
        <v>TBD</v>
      </c>
      <c r="M79" s="285"/>
    </row>
    <row r="80" spans="2:13" s="16" customFormat="1" ht="15" customHeight="1">
      <c r="B80" s="77" t="s">
        <v>27</v>
      </c>
      <c r="C80" s="153" t="str">
        <f>IF(ISERROR(VLOOKUP(School_Code&amp;"ELL and Former ELL",School_Data,84,FALSE)),"",(VLOOKUP(School_Code&amp;"ELL and Former ELL",School_Data,84,FALSE)))</f>
        <v>--</v>
      </c>
      <c r="D80" s="189" t="str">
        <f>IF(ISERROR(VLOOKUP(School_Code&amp;"ELL and Former ELL",School_Data,85,FALSE)),"",(VLOOKUP(School_Code&amp;"ELL and Former ELL",School_Data,85,FALSE)))</f>
        <v>--</v>
      </c>
      <c r="E80" s="154" t="str">
        <f>IF(ISERROR(VLOOKUP(School_Code&amp;"ELL and Former ELL",School_Data,86,FALSE)),"",(VLOOKUP(School_Code&amp;"ELL and Former ELL",School_Data,86,FALSE)))</f>
        <v>--</v>
      </c>
      <c r="F80" s="189" t="str">
        <f>IF(ISERROR(VLOOKUP(School_Code&amp;"ELL and Former ELL",School_Data,87,FALSE)),"",(VLOOKUP(School_Code&amp;"ELL and Former ELL",School_Data,87,FALSE)))</f>
        <v>--</v>
      </c>
      <c r="G80" s="189">
        <f>IF(ISERROR(VLOOKUP(School_Code&amp;"ELL and Former ELL",School_Data,88,FALSE)),"",(VLOOKUP(School_Code&amp;"ELL and Former ELL",School_Data,88,FALSE)))</f>
        <v>55.2</v>
      </c>
      <c r="H80" s="79" t="str">
        <f>IF(ISERROR(VLOOKUP(School_Code&amp;"ELL and Former ELL",School_Data,89,FALSE)),"",(VLOOKUP(School_Code&amp;"ELL and Former ELL",School_Data,89,FALSE)))</f>
        <v>TBD</v>
      </c>
      <c r="I80" s="135"/>
      <c r="J80" s="79" t="str">
        <f>IF(ISERROR(VLOOKUP(School_Code&amp;"ELL and Former ELL",School_Data,90,FALSE)),"",(VLOOKUP(School_Code&amp;"ELL and Former ELL",School_Data,90,FALSE)))</f>
        <v>TBD</v>
      </c>
      <c r="K80" s="79" t="str">
        <f>IF(ISERROR(VLOOKUP(School_Code&amp;"ELL and Former ELL",School_Data,91,FALSE)),"",(VLOOKUP(School_Code&amp;"ELL and Former ELL",School_Data,91,FALSE)))</f>
        <v>TBD</v>
      </c>
      <c r="L80" s="80" t="str">
        <f>IF(ISERROR(VLOOKUP(School_Code&amp;"ELL and Former ELL",School_Data,92,FALSE)),"",(VLOOKUP(School_Code&amp;"ELL and Former ELL",School_Data,92,FALSE)))</f>
        <v>TBD</v>
      </c>
      <c r="M80" s="285"/>
    </row>
    <row r="81" spans="2:13" s="16" customFormat="1" ht="15" customHeight="1">
      <c r="B81" s="77" t="s">
        <v>28</v>
      </c>
      <c r="C81" s="153" t="str">
        <f>IF(ISERROR(VLOOKUP(School_Code&amp;"Students w/disabilities",School_Data,84,FALSE)),"",(VLOOKUP(School_Code&amp;"Students w/disabilities",School_Data,84,FALSE)))</f>
        <v>--</v>
      </c>
      <c r="D81" s="189" t="str">
        <f>IF(ISERROR(VLOOKUP(School_Code&amp;"Students w/disabilities",School_Data,85,FALSE)),"",(VLOOKUP(School_Code&amp;"Students w/disabilities",School_Data,85,FALSE)))</f>
        <v>--</v>
      </c>
      <c r="E81" s="154" t="str">
        <f>IF(ISERROR(VLOOKUP(School_Code&amp;"Students w/disabilities",School_Data,86,FALSE)),"",(VLOOKUP(School_Code&amp;"Students w/disabilities",School_Data,86,FALSE)))</f>
        <v>--</v>
      </c>
      <c r="F81" s="189" t="str">
        <f>IF(ISERROR(VLOOKUP(School_Code&amp;"Students w/disabilities",School_Data,87,FALSE)),"",(VLOOKUP(School_Code&amp;"Students w/disabilities",School_Data,87,FALSE)))</f>
        <v>--</v>
      </c>
      <c r="G81" s="189">
        <f>IF(ISERROR(VLOOKUP(School_Code&amp;"Students w/disabilities",School_Data,88,FALSE)),"",(VLOOKUP(School_Code&amp;"Students w/disabilities",School_Data,88,FALSE)))</f>
        <v>74.5</v>
      </c>
      <c r="H81" s="79" t="str">
        <f>IF(ISERROR(VLOOKUP(School_Code&amp;"Students w/disabilities",School_Data,89,FALSE)),"",(VLOOKUP(School_Code&amp;"Students w/disabilities",School_Data,89,FALSE)))</f>
        <v>TBD</v>
      </c>
      <c r="I81" s="135"/>
      <c r="J81" s="79" t="str">
        <f>IF(ISERROR(VLOOKUP(School_Code&amp;"Students w/disabilities",School_Data,90,FALSE)),"",(VLOOKUP(School_Code&amp;"Students w/disabilities",School_Data,90,FALSE)))</f>
        <v>TBD</v>
      </c>
      <c r="K81" s="79" t="str">
        <f>IF(ISERROR(VLOOKUP(School_Code&amp;"Students w/disabilities",School_Data,91,FALSE)),"",(VLOOKUP(School_Code&amp;"Students w/disabilities",School_Data,91,FALSE)))</f>
        <v>TBD</v>
      </c>
      <c r="L81" s="80" t="str">
        <f>IF(ISERROR(VLOOKUP(School_Code&amp;"Students w/disabilities",School_Data,92,FALSE)),"",(VLOOKUP(School_Code&amp;"Students w/disabilities",School_Data,92,FALSE)))</f>
        <v>TBD</v>
      </c>
      <c r="M81" s="285"/>
    </row>
    <row r="82" spans="2:13" s="16" customFormat="1" ht="15" customHeight="1">
      <c r="B82" s="77" t="s">
        <v>29</v>
      </c>
      <c r="C82" s="153" t="str">
        <f>IF(ISERROR(VLOOKUP(School_Code&amp;"Amer. Ind. or Alaska Nat.",School_Data,84,FALSE)),"",(VLOOKUP(School_Code&amp;"Amer. Ind. or Alaska Nat.",School_Data,84,FALSE)))</f>
        <v>--</v>
      </c>
      <c r="D82" s="189" t="str">
        <f>IF(ISERROR(VLOOKUP(School_Code&amp;"Amer. Ind. or Alaska Nat.",School_Data,85,FALSE)),"",(VLOOKUP(School_Code&amp;"Amer. Ind. or Alaska Nat.",School_Data,85,FALSE)))</f>
        <v>--</v>
      </c>
      <c r="E82" s="154" t="str">
        <f>IF(ISERROR(VLOOKUP(School_Code&amp;"Amer. Ind. or Alaska Nat.",School_Data,86,FALSE)),"",(VLOOKUP(School_Code&amp;"Amer. Ind. or Alaska Nat.",School_Data,86,FALSE)))</f>
        <v>--</v>
      </c>
      <c r="F82" s="189" t="str">
        <f>IF(ISERROR(VLOOKUP(School_Code&amp;"Amer. Ind. or Alaska Nat.",School_Data,87,FALSE)),"",(VLOOKUP(School_Code&amp;"Amer. Ind. or Alaska Nat.",School_Data,87,FALSE)))</f>
        <v>--</v>
      </c>
      <c r="G82" s="189" t="str">
        <f>IF(ISERROR(VLOOKUP(School_Code&amp;"Amer. Ind. or Alaska Nat.",School_Data,88,FALSE)),"",(VLOOKUP(School_Code&amp;"Amer. Ind. or Alaska Nat.",School_Data,88,FALSE)))</f>
        <v>--</v>
      </c>
      <c r="H82" s="79" t="str">
        <f>IF(ISERROR(VLOOKUP(School_Code&amp;"Amer. Ind. or Alaska Nat.",School_Data,89,FALSE)),"",(VLOOKUP(School_Code&amp;"Amer. Ind. or Alaska Nat.",School_Data,89,FALSE)))</f>
        <v>--</v>
      </c>
      <c r="I82" s="135"/>
      <c r="J82" s="79" t="str">
        <f>IF(ISERROR(VLOOKUP(School_Code&amp;"Amer. Ind. or Alaska Nat.",School_Data,90,FALSE)),"",(VLOOKUP(School_Code&amp;"Amer. Ind. or Alaska Nat.",School_Data,90,FALSE)))</f>
        <v>--</v>
      </c>
      <c r="K82" s="79" t="str">
        <f>IF(ISERROR(VLOOKUP(School_Code&amp;"Amer. Ind. or Alaska Nat.",School_Data,91,FALSE)),"",(VLOOKUP(School_Code&amp;"Amer. Ind. or Alaska Nat.",School_Data,91,FALSE)))</f>
        <v>--</v>
      </c>
      <c r="L82" s="80" t="str">
        <f>IF(ISERROR(VLOOKUP(School_Code&amp;"Amer. Ind. or Alaska Nat.",School_Data,92,FALSE)),"",(VLOOKUP(School_Code&amp;"Amer. Ind. or Alaska Nat.",School_Data,92,FALSE)))</f>
        <v>--</v>
      </c>
      <c r="M82" s="285"/>
    </row>
    <row r="83" spans="2:13" s="16" customFormat="1" ht="15" customHeight="1">
      <c r="B83" s="77" t="s">
        <v>30</v>
      </c>
      <c r="C83" s="153" t="str">
        <f>IF(ISERROR(VLOOKUP(School_Code&amp;"Asian",School_Data,84,FALSE)),"",(VLOOKUP(School_Code&amp;"Asian",School_Data,84,FALSE)))</f>
        <v>--</v>
      </c>
      <c r="D83" s="189" t="str">
        <f>IF(ISERROR(VLOOKUP(School_Code&amp;"Asian",School_Data,85,FALSE)),"",(VLOOKUP(School_Code&amp;"Asian",School_Data,85,FALSE)))</f>
        <v>--</v>
      </c>
      <c r="E83" s="154" t="str">
        <f>IF(ISERROR(VLOOKUP(School_Code&amp;"Asian",School_Data,86,FALSE)),"",(VLOOKUP(School_Code&amp;"Asian",School_Data,86,FALSE)))</f>
        <v>--</v>
      </c>
      <c r="F83" s="189" t="str">
        <f>IF(ISERROR(VLOOKUP(School_Code&amp;"Asian",School_Data,87,FALSE)),"",(VLOOKUP(School_Code&amp;"Asian",School_Data,87,FALSE)))</f>
        <v>--</v>
      </c>
      <c r="G83" s="189" t="str">
        <f>IF(ISERROR(VLOOKUP(School_Code&amp;"Asian",School_Data,88,FALSE)),"",(VLOOKUP(School_Code&amp;"Asian",School_Data,88,FALSE)))</f>
        <v>--</v>
      </c>
      <c r="H83" s="79" t="str">
        <f>IF(ISERROR(VLOOKUP(School_Code&amp;"Asian",School_Data,89,FALSE)),"",(VLOOKUP(School_Code&amp;"Asian",School_Data,89,FALSE)))</f>
        <v>--</v>
      </c>
      <c r="I83" s="135"/>
      <c r="J83" s="79" t="str">
        <f>IF(ISERROR(VLOOKUP(School_Code&amp;"Asian",School_Data,90,FALSE)),"",(VLOOKUP(School_Code&amp;"Asian",School_Data,90,FALSE)))</f>
        <v>--</v>
      </c>
      <c r="K83" s="79" t="str">
        <f>IF(ISERROR(VLOOKUP(School_Code&amp;"Asian",School_Data,91,FALSE)),"",(VLOOKUP(School_Code&amp;"Asian",School_Data,91,FALSE)))</f>
        <v>--</v>
      </c>
      <c r="L83" s="80" t="str">
        <f>IF(ISERROR(VLOOKUP(School_Code&amp;"Asian",School_Data,92,FALSE)),"",(VLOOKUP(School_Code&amp;"Asian",School_Data,92,FALSE)))</f>
        <v>--</v>
      </c>
      <c r="M83" s="285"/>
    </row>
    <row r="84" spans="2:13" s="16" customFormat="1" ht="15" customHeight="1">
      <c r="B84" s="77" t="s">
        <v>45</v>
      </c>
      <c r="C84" s="153" t="str">
        <f>IF(ISERROR(VLOOKUP(School_Code&amp;"Afr. Amer/Black",School_Data,84,FALSE)),"",(VLOOKUP(School_Code&amp;"Afr. Amer/Black",School_Data,84,FALSE)))</f>
        <v>--</v>
      </c>
      <c r="D84" s="189" t="str">
        <f>IF(ISERROR(VLOOKUP(School_Code&amp;"Afr. Amer/Black",School_Data,85,FALSE)),"",(VLOOKUP(School_Code&amp;"Afr. Amer/Black",School_Data,85,FALSE)))</f>
        <v>--</v>
      </c>
      <c r="E84" s="154" t="str">
        <f>IF(ISERROR(VLOOKUP(School_Code&amp;"Afr. Amer/Black",School_Data,86,FALSE)),"",(VLOOKUP(School_Code&amp;"Afr. Amer/Black",School_Data,86,FALSE)))</f>
        <v>--</v>
      </c>
      <c r="F84" s="189" t="str">
        <f>IF(ISERROR(VLOOKUP(School_Code&amp;"Afr. Amer/Black",School_Data,87,FALSE)),"",(VLOOKUP(School_Code&amp;"Afr. Amer/Black",School_Data,87,FALSE)))</f>
        <v>--</v>
      </c>
      <c r="G84" s="189" t="str">
        <f>IF(ISERROR(VLOOKUP(School_Code&amp;"Afr. Amer/Black",School_Data,88,FALSE)),"",(VLOOKUP(School_Code&amp;"Afr. Amer/Black",School_Data,88,FALSE)))</f>
        <v>--</v>
      </c>
      <c r="H84" s="79" t="str">
        <f>IF(ISERROR(VLOOKUP(School_Code&amp;"Afr. Amer/Black",School_Data,89,FALSE)),"",(VLOOKUP(School_Code&amp;"Afr. Amer/Black",School_Data,89,FALSE)))</f>
        <v>--</v>
      </c>
      <c r="I84" s="135"/>
      <c r="J84" s="79" t="str">
        <f>IF(ISERROR(VLOOKUP(School_Code&amp;"Afr. Amer/Black",School_Data,90,FALSE)),"",(VLOOKUP(School_Code&amp;"Afr. Amer/Black",School_Data,90,FALSE)))</f>
        <v>--</v>
      </c>
      <c r="K84" s="79" t="str">
        <f>IF(ISERROR(VLOOKUP(School_Code&amp;"Afr. Amer/Black",School_Data,91,FALSE)),"",(VLOOKUP(School_Code&amp;"Afr. Amer/Black",School_Data,91,FALSE)))</f>
        <v>--</v>
      </c>
      <c r="L84" s="80" t="str">
        <f>IF(ISERROR(VLOOKUP(School_Code&amp;"Afr. Amer/Black",School_Data,92,FALSE)),"",(VLOOKUP(School_Code&amp;"Afr. Amer/Black",School_Data,92,FALSE)))</f>
        <v>--</v>
      </c>
      <c r="M84" s="285"/>
    </row>
    <row r="85" spans="2:13" s="16" customFormat="1" ht="15" customHeight="1">
      <c r="B85" s="77" t="s">
        <v>32</v>
      </c>
      <c r="C85" s="153" t="str">
        <f>IF(ISERROR(VLOOKUP(School_Code&amp;"Hispanic/Latino",School_Data,84,FALSE)),"",(VLOOKUP(School_Code&amp;"Hispanic/Latino",School_Data,84,FALSE)))</f>
        <v>--</v>
      </c>
      <c r="D85" s="189" t="str">
        <f>IF(ISERROR(VLOOKUP(School_Code&amp;"Hispanic/Latino",School_Data,85,FALSE)),"",(VLOOKUP(School_Code&amp;"Hispanic/Latino",School_Data,85,FALSE)))</f>
        <v>--</v>
      </c>
      <c r="E85" s="154" t="str">
        <f>IF(ISERROR(VLOOKUP(School_Code&amp;"Hispanic/Latino",School_Data,86,FALSE)),"",(VLOOKUP(School_Code&amp;"Hispanic/Latino",School_Data,86,FALSE)))</f>
        <v>--</v>
      </c>
      <c r="F85" s="189" t="str">
        <f>IF(ISERROR(VLOOKUP(School_Code&amp;"Hispanic/Latino",School_Data,87,FALSE)),"",(VLOOKUP(School_Code&amp;"Hispanic/Latino",School_Data,87,FALSE)))</f>
        <v>--</v>
      </c>
      <c r="G85" s="189">
        <f>IF(ISERROR(VLOOKUP(School_Code&amp;"Hispanic/Latino",School_Data,88,FALSE)),"",(VLOOKUP(School_Code&amp;"Hispanic/Latino",School_Data,88,FALSE)))</f>
        <v>43.8</v>
      </c>
      <c r="H85" s="79" t="str">
        <f>IF(ISERROR(VLOOKUP(School_Code&amp;"Hispanic/Latino",School_Data,89,FALSE)),"",(VLOOKUP(School_Code&amp;"Hispanic/Latino",School_Data,89,FALSE)))</f>
        <v>TBD</v>
      </c>
      <c r="I85" s="135"/>
      <c r="J85" s="79" t="str">
        <f>IF(ISERROR(VLOOKUP(School_Code&amp;"Hispanic/Latino",School_Data,90,FALSE)),"",(VLOOKUP(School_Code&amp;"Hispanic/Latino",School_Data,90,FALSE)))</f>
        <v>TBD</v>
      </c>
      <c r="K85" s="79" t="str">
        <f>IF(ISERROR(VLOOKUP(School_Code&amp;"Hispanic/Latino",School_Data,91,FALSE)),"",(VLOOKUP(School_Code&amp;"Hispanic/Latino",School_Data,91,FALSE)))</f>
        <v>TBD</v>
      </c>
      <c r="L85" s="80" t="str">
        <f>IF(ISERROR(VLOOKUP(School_Code&amp;"Hispanic/Latino",School_Data,92,FALSE)),"",(VLOOKUP(School_Code&amp;"Hispanic/Latino",School_Data,92,FALSE)))</f>
        <v>TBD</v>
      </c>
      <c r="M85" s="285"/>
    </row>
    <row r="86" spans="2:13" s="16" customFormat="1" ht="15" customHeight="1">
      <c r="B86" s="77" t="s">
        <v>33</v>
      </c>
      <c r="C86" s="153" t="str">
        <f>IF(ISERROR(VLOOKUP(School_Code&amp;"Multi-race, Non-Hisp./Lat.",School_Data,84,FALSE)),"",(VLOOKUP(School_Code&amp;"Multi-race, Non-Hisp./Lat.",School_Data,84,FALSE)))</f>
        <v>--</v>
      </c>
      <c r="D86" s="189" t="str">
        <f>IF(ISERROR(VLOOKUP(School_Code&amp;"Multi-race, Non-Hisp./Lat.",School_Data,85,FALSE)),"",(VLOOKUP(School_Code&amp;"Multi-race, Non-Hisp./Lat.",School_Data,85,FALSE)))</f>
        <v>--</v>
      </c>
      <c r="E86" s="154" t="str">
        <f>IF(ISERROR(VLOOKUP(School_Code&amp;"Multi-race, Non-Hisp./Lat.",School_Data,86,FALSE)),"",(VLOOKUP(School_Code&amp;"Multi-race, Non-Hisp./Lat.",School_Data,86,FALSE)))</f>
        <v>--</v>
      </c>
      <c r="F86" s="189" t="str">
        <f>IF(ISERROR(VLOOKUP(School_Code&amp;"Multi-race, Non-Hisp./Lat.",School_Data,87,FALSE)),"",(VLOOKUP(School_Code&amp;"Multi-race, Non-Hisp./Lat.",School_Data,87,FALSE)))</f>
        <v>--</v>
      </c>
      <c r="G86" s="189" t="str">
        <f>IF(ISERROR(VLOOKUP(School_Code&amp;"Multi-race, Non-Hisp./Lat.",School_Data,88,FALSE)),"",(VLOOKUP(School_Code&amp;"Multi-race, Non-Hisp./Lat.",School_Data,88,FALSE)))</f>
        <v>--</v>
      </c>
      <c r="H86" s="79" t="str">
        <f>IF(ISERROR(VLOOKUP(School_Code&amp;"Multi-race, Non-Hisp./Lat.",School_Data,89,FALSE)),"",(VLOOKUP(School_Code&amp;"Multi-race, Non-Hisp./Lat.",School_Data,89,FALSE)))</f>
        <v>--</v>
      </c>
      <c r="I86" s="135"/>
      <c r="J86" s="79" t="str">
        <f>IF(ISERROR(VLOOKUP(School_Code&amp;"Multi-race, Non-Hisp./Lat.",School_Data,90,FALSE)),"",(VLOOKUP(School_Code&amp;"Multi-race, Non-Hisp./Lat.",School_Data,90,FALSE)))</f>
        <v>--</v>
      </c>
      <c r="K86" s="79" t="str">
        <f>IF(ISERROR(VLOOKUP(School_Code&amp;"Multi-race, Non-Hisp./Lat.",School_Data,91,FALSE)),"",(VLOOKUP(School_Code&amp;"Multi-race, Non-Hisp./Lat.",School_Data,91,FALSE)))</f>
        <v>--</v>
      </c>
      <c r="L86" s="80" t="str">
        <f>IF(ISERROR(VLOOKUP(School_Code&amp;"Multi-race, Non-Hisp./Lat.",School_Data,92,FALSE)),"",(VLOOKUP(School_Code&amp;"Multi-race, Non-Hisp./Lat.",School_Data,92,FALSE)))</f>
        <v>--</v>
      </c>
      <c r="M86" s="285"/>
    </row>
    <row r="87" spans="2:13" s="16" customFormat="1" ht="15" customHeight="1">
      <c r="B87" s="77" t="s">
        <v>34</v>
      </c>
      <c r="C87" s="153" t="str">
        <f>IF(ISERROR(VLOOKUP(School_Code&amp;"Nat. Haw. or Pacif. Isl.",School_Data,84,FALSE)),"",(VLOOKUP(School_Code&amp;"Nat. Haw. or Pacif. Isl.",School_Data,84,FALSE)))</f>
        <v>--</v>
      </c>
      <c r="D87" s="189" t="str">
        <f>IF(ISERROR(VLOOKUP(School_Code&amp;"Nat. Haw. or Pacif. Isl.",School_Data,85,FALSE)),"",(VLOOKUP(School_Code&amp;"Nat. Haw. or Pacif. Isl.",School_Data,85,FALSE)))</f>
        <v>--</v>
      </c>
      <c r="E87" s="154" t="str">
        <f>IF(ISERROR(VLOOKUP(School_Code&amp;"Nat. Haw. or Pacif. Isl.",School_Data,86,FALSE)),"",(VLOOKUP(School_Code&amp;"Nat. Haw. or Pacif. Isl.",School_Data,86,FALSE)))</f>
        <v>--</v>
      </c>
      <c r="F87" s="189" t="str">
        <f>IF(ISERROR(VLOOKUP(School_Code&amp;"Nat. Haw. or Pacif. Isl.",School_Data,87,FALSE)),"",(VLOOKUP(School_Code&amp;"Nat. Haw. or Pacif. Isl.",School_Data,87,FALSE)))</f>
        <v>--</v>
      </c>
      <c r="G87" s="189" t="str">
        <f>IF(ISERROR(VLOOKUP(School_Code&amp;"Nat. Haw. or Pacif. Isl.",School_Data,88,FALSE)),"",(VLOOKUP(School_Code&amp;"Nat. Haw. or Pacif. Isl.",School_Data,88,FALSE)))</f>
        <v>--</v>
      </c>
      <c r="H87" s="79" t="str">
        <f>IF(ISERROR(VLOOKUP(School_Code&amp;"Nat. Haw. or Pacif. Isl.",School_Data,89,FALSE)),"",(VLOOKUP(School_Code&amp;"Nat. Haw. or Pacif. Isl.",School_Data,89,FALSE)))</f>
        <v>--</v>
      </c>
      <c r="I87" s="135"/>
      <c r="J87" s="79" t="str">
        <f>IF(ISERROR(VLOOKUP(School_Code&amp;"Nat. Haw. or Pacif. Isl.",School_Data,90,FALSE)),"",(VLOOKUP(School_Code&amp;"Nat. Haw. or Pacif. Isl.",School_Data,90,FALSE)))</f>
        <v>--</v>
      </c>
      <c r="K87" s="79" t="str">
        <f>IF(ISERROR(VLOOKUP(School_Code&amp;"Nat. Haw. or Pacif. Isl.",School_Data,91,FALSE)),"",(VLOOKUP(School_Code&amp;"Nat. Haw. or Pacif. Isl.",School_Data,91,FALSE)))</f>
        <v>--</v>
      </c>
      <c r="L87" s="80" t="str">
        <f>IF(ISERROR(VLOOKUP(School_Code&amp;"Nat. Haw. or Pacif. Isl.",School_Data,92,FALSE)),"",(VLOOKUP(School_Code&amp;"Nat. Haw. or Pacif. Isl.",School_Data,92,FALSE)))</f>
        <v>--</v>
      </c>
      <c r="M87" s="285"/>
    </row>
    <row r="88" spans="2:13" s="16" customFormat="1" ht="15" customHeight="1">
      <c r="B88" s="78" t="s">
        <v>35</v>
      </c>
      <c r="C88" s="191" t="str">
        <f>IF(ISERROR(VLOOKUP(School_Code&amp;"White",School_Data,84,FALSE)),"",(VLOOKUP(School_Code&amp;"White",School_Data,84,FALSE)))</f>
        <v>--</v>
      </c>
      <c r="D88" s="192" t="str">
        <f>IF(ISERROR(VLOOKUP(School_Code&amp;"White",School_Data,85,FALSE)),"",(VLOOKUP(School_Code&amp;"White",School_Data,85,FALSE)))</f>
        <v>--</v>
      </c>
      <c r="E88" s="193" t="str">
        <f>IF(ISERROR(VLOOKUP(School_Code&amp;"White",School_Data,86,FALSE)),"",(VLOOKUP(School_Code&amp;"White",School_Data,86,FALSE)))</f>
        <v>--</v>
      </c>
      <c r="F88" s="192" t="str">
        <f>IF(ISERROR(VLOOKUP(School_Code&amp;"White",School_Data,87,FALSE)),"",(VLOOKUP(School_Code&amp;"White",School_Data,87,FALSE)))</f>
        <v>--</v>
      </c>
      <c r="G88" s="192" t="str">
        <f>IF(ISERROR(VLOOKUP(School_Code&amp;"White",School_Data,88,FALSE)),"",(VLOOKUP(School_Code&amp;"White",School_Data,88,FALSE)))</f>
        <v>--</v>
      </c>
      <c r="H88" s="81" t="str">
        <f>IF(ISERROR(VLOOKUP(School_Code&amp;"White",School_Data,89,FALSE)),"",(VLOOKUP(School_Code&amp;"White",School_Data,89,FALSE)))</f>
        <v>--</v>
      </c>
      <c r="I88" s="81"/>
      <c r="J88" s="81" t="str">
        <f>IF(ISERROR(VLOOKUP(School_Code&amp;"White",School_Data,90,FALSE)),"",(VLOOKUP(School_Code&amp;"White",School_Data,90,FALSE)))</f>
        <v>--</v>
      </c>
      <c r="K88" s="81" t="str">
        <f>IF(ISERROR(VLOOKUP(School_Code&amp;"White",School_Data,91,FALSE)),"",(VLOOKUP(School_Code&amp;"White",School_Data,91,FALSE)))</f>
        <v>--</v>
      </c>
      <c r="L88" s="82" t="str">
        <f>IF(ISERROR(VLOOKUP(School_Code&amp;"White",School_Data,92,FALSE)),"",(VLOOKUP(School_Code&amp;"White",School_Data,92,FALSE)))</f>
        <v>--</v>
      </c>
      <c r="M88" s="285"/>
    </row>
    <row r="89" spans="2:13" s="16" customFormat="1" ht="38.25">
      <c r="B89" s="242" t="s">
        <v>273</v>
      </c>
      <c r="C89" s="287" t="str">
        <f>IF(ISERROR(VLOOKUP(School_Code&amp;"All students",School_Data,93,FALSE)),"",(VLOOKUP(School_Code&amp;"All students",School_Data,93,FALSE)))</f>
        <v>--</v>
      </c>
      <c r="D89" s="289" t="str">
        <f>IF(ISERROR(VLOOKUP(School_Code&amp;"All students",School_Data,94,FALSE)),"",(VLOOKUP(School_Code&amp;"All students",School_Data,94,FALSE)))</f>
        <v>--</v>
      </c>
      <c r="E89" s="291" t="str">
        <f>IF(ISERROR(VLOOKUP(School_Code&amp;"All students",School_Data,95,FALSE)),"",(VLOOKUP(School_Code&amp;"All students",School_Data,95,FALSE)))</f>
        <v>--</v>
      </c>
      <c r="F89" s="289" t="str">
        <f>IF(ISERROR(VLOOKUP(School_Code&amp;"All students",School_Data,96,FALSE)),"",(VLOOKUP(School_Code&amp;"All students",School_Data,96,FALSE)))</f>
        <v>--</v>
      </c>
      <c r="G89" s="289">
        <f>IF(ISERROR(VLOOKUP(School_Code&amp;"All students",School_Data,97,FALSE)),"",(VLOOKUP(School_Code&amp;"All students",School_Data,97,FALSE)))</f>
        <v>56.9</v>
      </c>
      <c r="H89" s="281" t="str">
        <f>IF(ISERROR(VLOOKUP(School_Code&amp;"All students",School_Data,98,FALSE)),"",(VLOOKUP(School_Code&amp;"All students",School_Data,98,FALSE)))</f>
        <v>TBD</v>
      </c>
      <c r="I89" s="134"/>
      <c r="J89" s="281" t="str">
        <f>IF(ISERROR(VLOOKUP(School_Code&amp;"All students",School_Data,99,FALSE)),"",(VLOOKUP(School_Code&amp;"All students",School_Data,99,FALSE)))</f>
        <v>TBD</v>
      </c>
      <c r="K89" s="281" t="str">
        <f>IF(ISERROR(VLOOKUP(School_Code&amp;"All students",School_Data,100,FALSE)),"",(VLOOKUP(School_Code&amp;"All students",School_Data,100,FALSE)))</f>
        <v>TBD</v>
      </c>
      <c r="L89" s="283" t="str">
        <f>IF(ISERROR(VLOOKUP(School_Code&amp;"All students",School_Data,101,FALSE)),"",(VLOOKUP(School_Code&amp;"All students",School_Data,101,FALSE)))</f>
        <v>TBD</v>
      </c>
      <c r="M89" s="293"/>
    </row>
    <row r="90" spans="2:13" s="16" customFormat="1" ht="25.5" hidden="1">
      <c r="B90" s="13" t="s">
        <v>24</v>
      </c>
      <c r="C90" s="288"/>
      <c r="D90" s="290"/>
      <c r="E90" s="292"/>
      <c r="F90" s="290"/>
      <c r="G90" s="290"/>
      <c r="H90" s="282"/>
      <c r="I90" s="135"/>
      <c r="J90" s="282"/>
      <c r="K90" s="282"/>
      <c r="L90" s="284"/>
      <c r="M90" s="285"/>
    </row>
    <row r="91" spans="2:13" s="16" customFormat="1" ht="15" customHeight="1">
      <c r="B91" s="77" t="s">
        <v>25</v>
      </c>
      <c r="C91" s="153" t="str">
        <f>IF(ISERROR(VLOOKUP(School_Code&amp;"High needs",School_Data,93,FALSE)),"",(VLOOKUP(School_Code&amp;"High needs",School_Data,93,FALSE)))</f>
        <v>--</v>
      </c>
      <c r="D91" s="189" t="str">
        <f>IF(ISERROR(VLOOKUP(School_Code&amp;"High needs",School_Data,94,FALSE)),"",(VLOOKUP(School_Code&amp;"High needs",School_Data,94,FALSE)))</f>
        <v>--</v>
      </c>
      <c r="E91" s="154" t="str">
        <f>IF(ISERROR(VLOOKUP(School_Code&amp;"High needs",School_Data,95,FALSE)),"",(VLOOKUP(School_Code&amp;"High needs",School_Data,95,FALSE)))</f>
        <v>--</v>
      </c>
      <c r="F91" s="189" t="str">
        <f>IF(ISERROR(VLOOKUP(School_Code&amp;"High needs",School_Data,96,FALSE)),"",(VLOOKUP(School_Code&amp;"High needs",School_Data,96,FALSE)))</f>
        <v>--</v>
      </c>
      <c r="G91" s="189">
        <f>IF(ISERROR(VLOOKUP(School_Code&amp;"High needs",School_Data,97,FALSE)),"",(VLOOKUP(School_Code&amp;"High needs",School_Data,97,FALSE)))</f>
        <v>57.6</v>
      </c>
      <c r="H91" s="79" t="str">
        <f>IF(ISERROR(VLOOKUP(School_Code&amp;"High needs",School_Data,98,FALSE)),"",(VLOOKUP(School_Code&amp;"High needs",School_Data,98,FALSE)))</f>
        <v>TBD</v>
      </c>
      <c r="I91" s="135"/>
      <c r="J91" s="79" t="str">
        <f>IF(ISERROR(VLOOKUP(School_Code&amp;"High needs",School_Data,99,FALSE)),"",(VLOOKUP(School_Code&amp;"High needs",School_Data,99,FALSE)))</f>
        <v>TBD</v>
      </c>
      <c r="K91" s="79" t="str">
        <f>IF(ISERROR(VLOOKUP(School_Code&amp;"High needs",School_Data,100,FALSE)),"",(VLOOKUP(School_Code&amp;"High needs",School_Data,100,FALSE)))</f>
        <v>TBD</v>
      </c>
      <c r="L91" s="80" t="str">
        <f>IF(ISERROR(VLOOKUP(School_Code&amp;"High needs",School_Data,101,FALSE)),"",(VLOOKUP(School_Code&amp;"High needs",School_Data,101,FALSE)))</f>
        <v>TBD</v>
      </c>
      <c r="M91" s="285"/>
    </row>
    <row r="92" spans="2:13" s="16" customFormat="1" ht="15" customHeight="1">
      <c r="B92" s="77" t="s">
        <v>26</v>
      </c>
      <c r="C92" s="153" t="str">
        <f>IF(ISERROR(VLOOKUP(School_Code&amp;"Low income",School_Data,93,FALSE)),"",(VLOOKUP(School_Code&amp;"Low income",School_Data,93,FALSE)))</f>
        <v>--</v>
      </c>
      <c r="D92" s="189" t="str">
        <f>IF(ISERROR(VLOOKUP(School_Code&amp;"Low income",School_Data,94,FALSE)),"",(VLOOKUP(School_Code&amp;"Low income",School_Data,94,FALSE)))</f>
        <v>--</v>
      </c>
      <c r="E92" s="154" t="str">
        <f>IF(ISERROR(VLOOKUP(School_Code&amp;"Low income",School_Data,95,FALSE)),"",(VLOOKUP(School_Code&amp;"Low income",School_Data,95,FALSE)))</f>
        <v>--</v>
      </c>
      <c r="F92" s="189" t="str">
        <f>IF(ISERROR(VLOOKUP(School_Code&amp;"Low income",School_Data,96,FALSE)),"",(VLOOKUP(School_Code&amp;"Low income",School_Data,96,FALSE)))</f>
        <v>--</v>
      </c>
      <c r="G92" s="189">
        <f>IF(ISERROR(VLOOKUP(School_Code&amp;"Low income",School_Data,97,FALSE)),"",(VLOOKUP(School_Code&amp;"Low income",School_Data,97,FALSE)))</f>
        <v>57.9</v>
      </c>
      <c r="H92" s="79" t="str">
        <f>IF(ISERROR(VLOOKUP(School_Code&amp;"Low income",School_Data,98,FALSE)),"",(VLOOKUP(School_Code&amp;"Low income",School_Data,98,FALSE)))</f>
        <v>TBD</v>
      </c>
      <c r="I92" s="135"/>
      <c r="J92" s="79" t="str">
        <f>IF(ISERROR(VLOOKUP(School_Code&amp;"Low income",School_Data,99,FALSE)),"",(VLOOKUP(School_Code&amp;"Low income",School_Data,99,FALSE)))</f>
        <v>TBD</v>
      </c>
      <c r="K92" s="79" t="str">
        <f>IF(ISERROR(VLOOKUP(School_Code&amp;"Low income",School_Data,100,FALSE)),"",(VLOOKUP(School_Code&amp;"Low income",School_Data,100,FALSE)))</f>
        <v>TBD</v>
      </c>
      <c r="L92" s="80" t="str">
        <f>IF(ISERROR(VLOOKUP(School_Code&amp;"Low income",School_Data,101,FALSE)),"",(VLOOKUP(School_Code&amp;"Low income",School_Data,101,FALSE)))</f>
        <v>TBD</v>
      </c>
      <c r="M92" s="285"/>
    </row>
    <row r="93" spans="2:13" s="16" customFormat="1" ht="15" customHeight="1">
      <c r="B93" s="77" t="s">
        <v>27</v>
      </c>
      <c r="C93" s="153" t="str">
        <f>IF(ISERROR(VLOOKUP(School_Code&amp;"ELL and Former ELL",School_Data,93,FALSE)),"",(VLOOKUP(School_Code&amp;"ELL and Former ELL",School_Data,93,FALSE)))</f>
        <v>--</v>
      </c>
      <c r="D93" s="189" t="str">
        <f>IF(ISERROR(VLOOKUP(School_Code&amp;"ELL and Former ELL",School_Data,94,FALSE)),"",(VLOOKUP(School_Code&amp;"ELL and Former ELL",School_Data,94,FALSE)))</f>
        <v>--</v>
      </c>
      <c r="E93" s="154" t="str">
        <f>IF(ISERROR(VLOOKUP(School_Code&amp;"ELL and Former ELL",School_Data,95,FALSE)),"",(VLOOKUP(School_Code&amp;"ELL and Former ELL",School_Data,95,FALSE)))</f>
        <v>--</v>
      </c>
      <c r="F93" s="189" t="str">
        <f>IF(ISERROR(VLOOKUP(School_Code&amp;"ELL and Former ELL",School_Data,96,FALSE)),"",(VLOOKUP(School_Code&amp;"ELL and Former ELL",School_Data,96,FALSE)))</f>
        <v>--</v>
      </c>
      <c r="G93" s="189">
        <f>IF(ISERROR(VLOOKUP(School_Code&amp;"ELL and Former ELL",School_Data,97,FALSE)),"",(VLOOKUP(School_Code&amp;"ELL and Former ELL",School_Data,97,FALSE)))</f>
        <v>61.5</v>
      </c>
      <c r="H93" s="79" t="str">
        <f>IF(ISERROR(VLOOKUP(School_Code&amp;"ELL and Former ELL",School_Data,98,FALSE)),"",(VLOOKUP(School_Code&amp;"ELL and Former ELL",School_Data,98,FALSE)))</f>
        <v>TBD</v>
      </c>
      <c r="I93" s="135"/>
      <c r="J93" s="79" t="str">
        <f>IF(ISERROR(VLOOKUP(School_Code&amp;"ELL and Former ELL",School_Data,99,FALSE)),"",(VLOOKUP(School_Code&amp;"ELL and Former ELL",School_Data,99,FALSE)))</f>
        <v>TBD</v>
      </c>
      <c r="K93" s="79" t="str">
        <f>IF(ISERROR(VLOOKUP(School_Code&amp;"ELL and Former ELL",School_Data,100,FALSE)),"",(VLOOKUP(School_Code&amp;"ELL and Former ELL",School_Data,100,FALSE)))</f>
        <v>TBD</v>
      </c>
      <c r="L93" s="80" t="str">
        <f>IF(ISERROR(VLOOKUP(School_Code&amp;"ELL and Former ELL",School_Data,101,FALSE)),"",(VLOOKUP(School_Code&amp;"ELL and Former ELL",School_Data,101,FALSE)))</f>
        <v>TBD</v>
      </c>
      <c r="M93" s="285"/>
    </row>
    <row r="94" spans="2:13" s="16" customFormat="1" ht="15" customHeight="1">
      <c r="B94" s="77" t="s">
        <v>28</v>
      </c>
      <c r="C94" s="153" t="str">
        <f>IF(ISERROR(VLOOKUP(School_Code&amp;"Students w/disabilities",School_Data,93,FALSE)),"",(VLOOKUP(School_Code&amp;"Students w/disabilities",School_Data,93,FALSE)))</f>
        <v>--</v>
      </c>
      <c r="D94" s="189" t="str">
        <f>IF(ISERROR(VLOOKUP(School_Code&amp;"Students w/disabilities",School_Data,94,FALSE)),"",(VLOOKUP(School_Code&amp;"Students w/disabilities",School_Data,94,FALSE)))</f>
        <v>--</v>
      </c>
      <c r="E94" s="154" t="str">
        <f>IF(ISERROR(VLOOKUP(School_Code&amp;"Students w/disabilities",School_Data,95,FALSE)),"",(VLOOKUP(School_Code&amp;"Students w/disabilities",School_Data,95,FALSE)))</f>
        <v>--</v>
      </c>
      <c r="F94" s="189" t="str">
        <f>IF(ISERROR(VLOOKUP(School_Code&amp;"Students w/disabilities",School_Data,96,FALSE)),"",(VLOOKUP(School_Code&amp;"Students w/disabilities",School_Data,96,FALSE)))</f>
        <v>--</v>
      </c>
      <c r="G94" s="189">
        <f>IF(ISERROR(VLOOKUP(School_Code&amp;"Students w/disabilities",School_Data,97,FALSE)),"",(VLOOKUP(School_Code&amp;"Students w/disabilities",School_Data,97,FALSE)))</f>
        <v>89.5</v>
      </c>
      <c r="H94" s="79" t="str">
        <f>IF(ISERROR(VLOOKUP(School_Code&amp;"Students w/disabilities",School_Data,98,FALSE)),"",(VLOOKUP(School_Code&amp;"Students w/disabilities",School_Data,98,FALSE)))</f>
        <v>TBD</v>
      </c>
      <c r="I94" s="135"/>
      <c r="J94" s="79" t="str">
        <f>IF(ISERROR(VLOOKUP(School_Code&amp;"Students w/disabilities",School_Data,99,FALSE)),"",(VLOOKUP(School_Code&amp;"Students w/disabilities",School_Data,99,FALSE)))</f>
        <v>TBD</v>
      </c>
      <c r="K94" s="79" t="str">
        <f>IF(ISERROR(VLOOKUP(School_Code&amp;"Students w/disabilities",School_Data,100,FALSE)),"",(VLOOKUP(School_Code&amp;"Students w/disabilities",School_Data,100,FALSE)))</f>
        <v>TBD</v>
      </c>
      <c r="L94" s="80" t="str">
        <f>IF(ISERROR(VLOOKUP(School_Code&amp;"Students w/disabilities",School_Data,101,FALSE)),"",(VLOOKUP(School_Code&amp;"Students w/disabilities",School_Data,101,FALSE)))</f>
        <v>TBD</v>
      </c>
      <c r="M94" s="285"/>
    </row>
    <row r="95" spans="2:13" s="16" customFormat="1" ht="15" customHeight="1">
      <c r="B95" s="77" t="s">
        <v>29</v>
      </c>
      <c r="C95" s="153" t="str">
        <f>IF(ISERROR(VLOOKUP(School_Code&amp;"Amer. Ind. or Alaska Nat.",School_Data,93,FALSE)),"",(VLOOKUP(School_Code&amp;"Amer. Ind. or Alaska Nat.",School_Data,93,FALSE)))</f>
        <v>--</v>
      </c>
      <c r="D95" s="189" t="str">
        <f>IF(ISERROR(VLOOKUP(School_Code&amp;"Amer. Ind. or Alaska Nat.",School_Data,94,FALSE)),"",(VLOOKUP(School_Code&amp;"Amer. Ind. or Alaska Nat.",School_Data,94,FALSE)))</f>
        <v>--</v>
      </c>
      <c r="E95" s="154" t="str">
        <f>IF(ISERROR(VLOOKUP(School_Code&amp;"Amer. Ind. or Alaska Nat.",School_Data,95,FALSE)),"",(VLOOKUP(School_Code&amp;"Amer. Ind. or Alaska Nat.",School_Data,95,FALSE)))</f>
        <v>--</v>
      </c>
      <c r="F95" s="189" t="str">
        <f>IF(ISERROR(VLOOKUP(School_Code&amp;"Amer. Ind. or Alaska Nat.",School_Data,96,FALSE)),"",(VLOOKUP(School_Code&amp;"Amer. Ind. or Alaska Nat.",School_Data,96,FALSE)))</f>
        <v>--</v>
      </c>
      <c r="G95" s="189" t="str">
        <f>IF(ISERROR(VLOOKUP(School_Code&amp;"Amer. Ind. or Alaska Nat.",School_Data,97,FALSE)),"",(VLOOKUP(School_Code&amp;"Amer. Ind. or Alaska Nat.",School_Data,97,FALSE)))</f>
        <v>--</v>
      </c>
      <c r="H95" s="79" t="str">
        <f>IF(ISERROR(VLOOKUP(School_Code&amp;"Amer. Ind. or Alaska Nat.",School_Data,98,FALSE)),"",(VLOOKUP(School_Code&amp;"Amer. Ind. or Alaska Nat.",School_Data,98,FALSE)))</f>
        <v>--</v>
      </c>
      <c r="I95" s="135"/>
      <c r="J95" s="79" t="str">
        <f>IF(ISERROR(VLOOKUP(School_Code&amp;"Amer. Ind. or Alaska Nat.",School_Data,99,FALSE)),"",(VLOOKUP(School_Code&amp;"Amer. Ind. or Alaska Nat.",School_Data,99,FALSE)))</f>
        <v>--</v>
      </c>
      <c r="K95" s="79" t="str">
        <f>IF(ISERROR(VLOOKUP(School_Code&amp;"Amer. Ind. or Alaska Nat.",School_Data,100,FALSE)),"",(VLOOKUP(School_Code&amp;"Amer. Ind. or Alaska Nat.",School_Data,100,FALSE)))</f>
        <v>--</v>
      </c>
      <c r="L95" s="80" t="str">
        <f>IF(ISERROR(VLOOKUP(School_Code&amp;"Amer. Ind. or Alaska Nat.",School_Data,101,FALSE)),"",(VLOOKUP(School_Code&amp;"Amer. Ind. or Alaska Nat.",School_Data,101,FALSE)))</f>
        <v>--</v>
      </c>
      <c r="M95" s="285"/>
    </row>
    <row r="96" spans="2:13" s="16" customFormat="1" ht="15" customHeight="1">
      <c r="B96" s="77" t="s">
        <v>30</v>
      </c>
      <c r="C96" s="153" t="str">
        <f>IF(ISERROR(VLOOKUP(School_Code&amp;"Asian",School_Data,93,FALSE)),"",(VLOOKUP(School_Code&amp;"Asian",School_Data,93,FALSE)))</f>
        <v>--</v>
      </c>
      <c r="D96" s="189" t="str">
        <f>IF(ISERROR(VLOOKUP(School_Code&amp;"Asian",School_Data,94,FALSE)),"",(VLOOKUP(School_Code&amp;"Asian",School_Data,94,FALSE)))</f>
        <v>--</v>
      </c>
      <c r="E96" s="154" t="str">
        <f>IF(ISERROR(VLOOKUP(School_Code&amp;"Asian",School_Data,95,FALSE)),"",(VLOOKUP(School_Code&amp;"Asian",School_Data,95,FALSE)))</f>
        <v>--</v>
      </c>
      <c r="F96" s="189" t="str">
        <f>IF(ISERROR(VLOOKUP(School_Code&amp;"Asian",School_Data,96,FALSE)),"",(VLOOKUP(School_Code&amp;"Asian",School_Data,96,FALSE)))</f>
        <v>--</v>
      </c>
      <c r="G96" s="189" t="str">
        <f>IF(ISERROR(VLOOKUP(School_Code&amp;"Asian",School_Data,97,FALSE)),"",(VLOOKUP(School_Code&amp;"Asian",School_Data,97,FALSE)))</f>
        <v>--</v>
      </c>
      <c r="H96" s="79" t="str">
        <f>IF(ISERROR(VLOOKUP(School_Code&amp;"Asian",School_Data,98,FALSE)),"",(VLOOKUP(School_Code&amp;"Asian",School_Data,98,FALSE)))</f>
        <v>--</v>
      </c>
      <c r="I96" s="135"/>
      <c r="J96" s="79" t="str">
        <f>IF(ISERROR(VLOOKUP(School_Code&amp;"Asian",School_Data,99,FALSE)),"",(VLOOKUP(School_Code&amp;"Asian",School_Data,99,FALSE)))</f>
        <v>--</v>
      </c>
      <c r="K96" s="79" t="str">
        <f>IF(ISERROR(VLOOKUP(School_Code&amp;"Asian",School_Data,100,FALSE)),"",(VLOOKUP(School_Code&amp;"Asian",School_Data,100,FALSE)))</f>
        <v>--</v>
      </c>
      <c r="L96" s="80" t="str">
        <f>IF(ISERROR(VLOOKUP(School_Code&amp;"Asian",School_Data,101,FALSE)),"",(VLOOKUP(School_Code&amp;"Asian",School_Data,101,FALSE)))</f>
        <v>--</v>
      </c>
      <c r="M96" s="285"/>
    </row>
    <row r="97" spans="2:13" s="16" customFormat="1" ht="15" customHeight="1">
      <c r="B97" s="77" t="s">
        <v>45</v>
      </c>
      <c r="C97" s="153" t="str">
        <f>IF(ISERROR(VLOOKUP(School_Code&amp;"Afr. Amer/Black",School_Data,93,FALSE)),"",(VLOOKUP(School_Code&amp;"Afr. Amer/Black",School_Data,93,FALSE)))</f>
        <v>--</v>
      </c>
      <c r="D97" s="189" t="str">
        <f>IF(ISERROR(VLOOKUP(School_Code&amp;"Afr. Amer/Black",School_Data,94,FALSE)),"",(VLOOKUP(School_Code&amp;"Afr. Amer/Black",School_Data,94,FALSE)))</f>
        <v>--</v>
      </c>
      <c r="E97" s="154" t="str">
        <f>IF(ISERROR(VLOOKUP(School_Code&amp;"Afr. Amer/Black",School_Data,95,FALSE)),"",(VLOOKUP(School_Code&amp;"Afr. Amer/Black",School_Data,95,FALSE)))</f>
        <v>--</v>
      </c>
      <c r="F97" s="189" t="str">
        <f>IF(ISERROR(VLOOKUP(School_Code&amp;"Afr. Amer/Black",School_Data,96,FALSE)),"",(VLOOKUP(School_Code&amp;"Afr. Amer/Black",School_Data,96,FALSE)))</f>
        <v>--</v>
      </c>
      <c r="G97" s="189" t="str">
        <f>IF(ISERROR(VLOOKUP(School_Code&amp;"Afr. Amer/Black",School_Data,97,FALSE)),"",(VLOOKUP(School_Code&amp;"Afr. Amer/Black",School_Data,97,FALSE)))</f>
        <v>--</v>
      </c>
      <c r="H97" s="79" t="str">
        <f>IF(ISERROR(VLOOKUP(School_Code&amp;"Afr. Amer/Black",School_Data,98,FALSE)),"",(VLOOKUP(School_Code&amp;"Afr. Amer/Black",School_Data,98,FALSE)))</f>
        <v>--</v>
      </c>
      <c r="I97" s="135"/>
      <c r="J97" s="79" t="str">
        <f>IF(ISERROR(VLOOKUP(School_Code&amp;"Afr. Amer/Black",School_Data,99,FALSE)),"",(VLOOKUP(School_Code&amp;"Afr. Amer/Black",School_Data,99,FALSE)))</f>
        <v>--</v>
      </c>
      <c r="K97" s="79" t="str">
        <f>IF(ISERROR(VLOOKUP(School_Code&amp;"Afr. Amer/Black",School_Data,100,FALSE)),"",(VLOOKUP(School_Code&amp;"Afr. Amer/Black",School_Data,100,FALSE)))</f>
        <v>--</v>
      </c>
      <c r="L97" s="80" t="str">
        <f>IF(ISERROR(VLOOKUP(School_Code&amp;"Afr. Amer/Black",School_Data,101,FALSE)),"",(VLOOKUP(School_Code&amp;"Afr. Amer/Black",School_Data,101,FALSE)))</f>
        <v>--</v>
      </c>
      <c r="M97" s="285"/>
    </row>
    <row r="98" spans="2:13" s="16" customFormat="1" ht="15" customHeight="1">
      <c r="B98" s="77" t="s">
        <v>32</v>
      </c>
      <c r="C98" s="153" t="str">
        <f>IF(ISERROR(VLOOKUP(School_Code&amp;"Hispanic/Latino",School_Data,93,FALSE)),"",(VLOOKUP(School_Code&amp;"Hispanic/Latino",School_Data,93,FALSE)))</f>
        <v>--</v>
      </c>
      <c r="D98" s="189" t="str">
        <f>IF(ISERROR(VLOOKUP(School_Code&amp;"Hispanic/Latino",School_Data,94,FALSE)),"",(VLOOKUP(School_Code&amp;"Hispanic/Latino",School_Data,94,FALSE)))</f>
        <v>--</v>
      </c>
      <c r="E98" s="154" t="str">
        <f>IF(ISERROR(VLOOKUP(School_Code&amp;"Hispanic/Latino",School_Data,95,FALSE)),"",(VLOOKUP(School_Code&amp;"Hispanic/Latino",School_Data,95,FALSE)))</f>
        <v>--</v>
      </c>
      <c r="F98" s="189" t="str">
        <f>IF(ISERROR(VLOOKUP(School_Code&amp;"Hispanic/Latino",School_Data,96,FALSE)),"",(VLOOKUP(School_Code&amp;"Hispanic/Latino",School_Data,96,FALSE)))</f>
        <v>--</v>
      </c>
      <c r="G98" s="189">
        <f>IF(ISERROR(VLOOKUP(School_Code&amp;"Hispanic/Latino",School_Data,97,FALSE)),"",(VLOOKUP(School_Code&amp;"Hispanic/Latino",School_Data,97,FALSE)))</f>
        <v>58.6</v>
      </c>
      <c r="H98" s="79" t="str">
        <f>IF(ISERROR(VLOOKUP(School_Code&amp;"Hispanic/Latino",School_Data,98,FALSE)),"",(VLOOKUP(School_Code&amp;"Hispanic/Latino",School_Data,98,FALSE)))</f>
        <v>TBD</v>
      </c>
      <c r="I98" s="135"/>
      <c r="J98" s="79" t="str">
        <f>IF(ISERROR(VLOOKUP(School_Code&amp;"Hispanic/Latino",School_Data,99,FALSE)),"",(VLOOKUP(School_Code&amp;"Hispanic/Latino",School_Data,99,FALSE)))</f>
        <v>TBD</v>
      </c>
      <c r="K98" s="79" t="str">
        <f>IF(ISERROR(VLOOKUP(School_Code&amp;"Hispanic/Latino",School_Data,100,FALSE)),"",(VLOOKUP(School_Code&amp;"Hispanic/Latino",School_Data,100,FALSE)))</f>
        <v>TBD</v>
      </c>
      <c r="L98" s="80" t="str">
        <f>IF(ISERROR(VLOOKUP(School_Code&amp;"Hispanic/Latino",School_Data,101,FALSE)),"",(VLOOKUP(School_Code&amp;"Hispanic/Latino",School_Data,101,FALSE)))</f>
        <v>TBD</v>
      </c>
      <c r="M98" s="285"/>
    </row>
    <row r="99" spans="2:13" s="16" customFormat="1" ht="15" customHeight="1">
      <c r="B99" s="77" t="s">
        <v>33</v>
      </c>
      <c r="C99" s="153" t="str">
        <f>IF(ISERROR(VLOOKUP(School_Code&amp;"Multi-race, Non-Hisp./Lat.",School_Data,93,FALSE)),"",(VLOOKUP(School_Code&amp;"Multi-race, Non-Hisp./Lat.",School_Data,93,FALSE)))</f>
        <v>--</v>
      </c>
      <c r="D99" s="189" t="str">
        <f>IF(ISERROR(VLOOKUP(School_Code&amp;"Multi-race, Non-Hisp./Lat.",School_Data,94,FALSE)),"",(VLOOKUP(School_Code&amp;"Multi-race, Non-Hisp./Lat.",School_Data,94,FALSE)))</f>
        <v>--</v>
      </c>
      <c r="E99" s="154" t="str">
        <f>IF(ISERROR(VLOOKUP(School_Code&amp;"Multi-race, Non-Hisp./Lat.",School_Data,95,FALSE)),"",(VLOOKUP(School_Code&amp;"Multi-race, Non-Hisp./Lat.",School_Data,95,FALSE)))</f>
        <v>--</v>
      </c>
      <c r="F99" s="189" t="str">
        <f>IF(ISERROR(VLOOKUP(School_Code&amp;"Multi-race, Non-Hisp./Lat.",School_Data,96,FALSE)),"",(VLOOKUP(School_Code&amp;"Multi-race, Non-Hisp./Lat.",School_Data,96,FALSE)))</f>
        <v>--</v>
      </c>
      <c r="G99" s="189" t="str">
        <f>IF(ISERROR(VLOOKUP(School_Code&amp;"Multi-race, Non-Hisp./Lat.",School_Data,97,FALSE)),"",(VLOOKUP(School_Code&amp;"Multi-race, Non-Hisp./Lat.",School_Data,97,FALSE)))</f>
        <v>--</v>
      </c>
      <c r="H99" s="79" t="str">
        <f>IF(ISERROR(VLOOKUP(School_Code&amp;"Multi-race, Non-Hisp./Lat.",School_Data,98,FALSE)),"",(VLOOKUP(School_Code&amp;"Multi-race, Non-Hisp./Lat.",School_Data,98,FALSE)))</f>
        <v>--</v>
      </c>
      <c r="I99" s="135"/>
      <c r="J99" s="79" t="str">
        <f>IF(ISERROR(VLOOKUP(School_Code&amp;"Multi-race, Non-Hisp./Lat.",School_Data,99,FALSE)),"",(VLOOKUP(School_Code&amp;"Multi-race, Non-Hisp./Lat.",School_Data,99,FALSE)))</f>
        <v>--</v>
      </c>
      <c r="K99" s="79" t="str">
        <f>IF(ISERROR(VLOOKUP(School_Code&amp;"Multi-race, Non-Hisp./Lat.",School_Data,100,FALSE)),"",(VLOOKUP(School_Code&amp;"Multi-race, Non-Hisp./Lat.",School_Data,100,FALSE)))</f>
        <v>--</v>
      </c>
      <c r="L99" s="80" t="str">
        <f>IF(ISERROR(VLOOKUP(School_Code&amp;"Multi-race, Non-Hisp./Lat.",School_Data,101,FALSE)),"",(VLOOKUP(School_Code&amp;"Multi-race, Non-Hisp./Lat.",School_Data,101,FALSE)))</f>
        <v>--</v>
      </c>
      <c r="M99" s="285"/>
    </row>
    <row r="100" spans="2:13" s="16" customFormat="1" ht="15" customHeight="1">
      <c r="B100" s="77" t="s">
        <v>34</v>
      </c>
      <c r="C100" s="153" t="str">
        <f>IF(ISERROR(VLOOKUP(School_Code&amp;"Nat. Haw. or Pacif. Isl.",School_Data,93,FALSE)),"",(VLOOKUP(School_Code&amp;"Nat. Haw. or Pacif. Isl.",School_Data,93,FALSE)))</f>
        <v>--</v>
      </c>
      <c r="D100" s="189" t="str">
        <f>IF(ISERROR(VLOOKUP(School_Code&amp;"Nat. Haw. or Pacif. Isl.",School_Data,94,FALSE)),"",(VLOOKUP(School_Code&amp;"Nat. Haw. or Pacif. Isl.",School_Data,94,FALSE)))</f>
        <v>--</v>
      </c>
      <c r="E100" s="154" t="str">
        <f>IF(ISERROR(VLOOKUP(School_Code&amp;"Nat. Haw. or Pacif. Isl.",School_Data,95,FALSE)),"",(VLOOKUP(School_Code&amp;"Nat. Haw. or Pacif. Isl.",School_Data,95,FALSE)))</f>
        <v>--</v>
      </c>
      <c r="F100" s="189" t="str">
        <f>IF(ISERROR(VLOOKUP(School_Code&amp;"Nat. Haw. or Pacif. Isl.",School_Data,96,FALSE)),"",(VLOOKUP(School_Code&amp;"Nat. Haw. or Pacif. Isl.",School_Data,96,FALSE)))</f>
        <v>--</v>
      </c>
      <c r="G100" s="189" t="str">
        <f>IF(ISERROR(VLOOKUP(School_Code&amp;"Nat. Haw. or Pacif. Isl.",School_Data,97,FALSE)),"",(VLOOKUP(School_Code&amp;"Nat. Haw. or Pacif. Isl.",School_Data,97,FALSE)))</f>
        <v>--</v>
      </c>
      <c r="H100" s="79" t="str">
        <f>IF(ISERROR(VLOOKUP(School_Code&amp;"Nat. Haw. or Pacif. Isl.",School_Data,98,FALSE)),"",(VLOOKUP(School_Code&amp;"Nat. Haw. or Pacif. Isl.",School_Data,98,FALSE)))</f>
        <v>--</v>
      </c>
      <c r="I100" s="135"/>
      <c r="J100" s="79" t="str">
        <f>IF(ISERROR(VLOOKUP(School_Code&amp;"Nat. Haw. or Pacif. Isl.",School_Data,99,FALSE)),"",(VLOOKUP(School_Code&amp;"Nat. Haw. or Pacif. Isl.",School_Data,99,FALSE)))</f>
        <v>--</v>
      </c>
      <c r="K100" s="79" t="str">
        <f>IF(ISERROR(VLOOKUP(School_Code&amp;"Nat. Haw. or Pacif. Isl.",School_Data,100,FALSE)),"",(VLOOKUP(School_Code&amp;"Nat. Haw. or Pacif. Isl.",School_Data,100,FALSE)))</f>
        <v>--</v>
      </c>
      <c r="L100" s="80" t="str">
        <f>IF(ISERROR(VLOOKUP(School_Code&amp;"Nat. Haw. or Pacif. Isl.",School_Data,101,FALSE)),"",(VLOOKUP(School_Code&amp;"Nat. Haw. or Pacif. Isl.",School_Data,101,FALSE)))</f>
        <v>--</v>
      </c>
      <c r="M100" s="285"/>
    </row>
    <row r="101" spans="2:13" s="16" customFormat="1" ht="15" customHeight="1">
      <c r="B101" s="78" t="s">
        <v>35</v>
      </c>
      <c r="C101" s="191" t="str">
        <f>IF(ISERROR(VLOOKUP(School_Code&amp;"White",School_Data,93,FALSE)),"",(VLOOKUP(School_Code&amp;"White",School_Data,93,FALSE)))</f>
        <v>--</v>
      </c>
      <c r="D101" s="192" t="str">
        <f>IF(ISERROR(VLOOKUP(School_Code&amp;"White",School_Data,94,FALSE)),"",(VLOOKUP(School_Code&amp;"White",School_Data,94,FALSE)))</f>
        <v>--</v>
      </c>
      <c r="E101" s="193" t="str">
        <f>IF(ISERROR(VLOOKUP(School_Code&amp;"White",School_Data,95,FALSE)),"",(VLOOKUP(School_Code&amp;"White",School_Data,95,FALSE)))</f>
        <v>--</v>
      </c>
      <c r="F101" s="192" t="str">
        <f>IF(ISERROR(VLOOKUP(School_Code&amp;"White",School_Data,96,FALSE)),"",(VLOOKUP(School_Code&amp;"White",School_Data,96,FALSE)))</f>
        <v>--</v>
      </c>
      <c r="G101" s="192" t="str">
        <f>IF(ISERROR(VLOOKUP(School_Code&amp;"White",School_Data,97,FALSE)),"",(VLOOKUP(School_Code&amp;"White",School_Data,97,FALSE)))</f>
        <v>--</v>
      </c>
      <c r="H101" s="81" t="str">
        <f>IF(ISERROR(VLOOKUP(School_Code&amp;"White",School_Data,98,FALSE)),"",(VLOOKUP(School_Code&amp;"White",School_Data,98,FALSE)))</f>
        <v>--</v>
      </c>
      <c r="I101" s="81"/>
      <c r="J101" s="81" t="str">
        <f>IF(ISERROR(VLOOKUP(School_Code&amp;"White",School_Data,99,FALSE)),"",(VLOOKUP(School_Code&amp;"White",School_Data,99,FALSE)))</f>
        <v>--</v>
      </c>
      <c r="K101" s="81" t="str">
        <f>IF(ISERROR(VLOOKUP(School_Code&amp;"White",School_Data,100,FALSE)),"",(VLOOKUP(School_Code&amp;"White",School_Data,100,FALSE)))</f>
        <v>--</v>
      </c>
      <c r="L101" s="82" t="str">
        <f>IF(ISERROR(VLOOKUP(School_Code&amp;"White",School_Data,101,FALSE)),"",(VLOOKUP(School_Code&amp;"White",School_Data,101,FALSE)))</f>
        <v>--</v>
      </c>
      <c r="M101" s="286"/>
    </row>
    <row r="102" spans="2:13" s="16" customFormat="1" ht="38.25">
      <c r="B102" s="242" t="s">
        <v>274</v>
      </c>
      <c r="C102" s="287" t="str">
        <f>IF(ISERROR(VLOOKUP(School_Code&amp;"All students",School_Data,102,FALSE)),"",(VLOOKUP(School_Code&amp;"All students",School_Data,102,FALSE)))</f>
        <v>--</v>
      </c>
      <c r="D102" s="289" t="str">
        <f>IF(ISERROR(VLOOKUP(School_Code&amp;"All students",School_Data,103,FALSE)),"",(VLOOKUP(School_Code&amp;"All students",School_Data,103,FALSE)))</f>
        <v>--</v>
      </c>
      <c r="E102" s="291" t="str">
        <f>IF(ISERROR(VLOOKUP(School_Code&amp;"All students",School_Data,104,FALSE)),"",(VLOOKUP(School_Code&amp;"All students",School_Data,104,FALSE)))</f>
        <v>--</v>
      </c>
      <c r="F102" s="289" t="str">
        <f>IF(ISERROR(VLOOKUP(School_Code&amp;"All students",School_Data,105,FALSE)),"",(VLOOKUP(School_Code&amp;"All students",School_Data,105,FALSE)))</f>
        <v>--</v>
      </c>
      <c r="G102" s="289">
        <f>IF(ISERROR(VLOOKUP(School_Code&amp;"All students",School_Data,106,FALSE)),"",(VLOOKUP(School_Code&amp;"All students",School_Data,106,FALSE)))</f>
        <v>61.5</v>
      </c>
      <c r="H102" s="281" t="str">
        <f>IF(ISERROR(VLOOKUP(School_Code&amp;"All students",School_Data,107,FALSE)),"",(VLOOKUP(School_Code&amp;"All students",School_Data,107,FALSE)))</f>
        <v>TBD</v>
      </c>
      <c r="I102" s="134"/>
      <c r="J102" s="281" t="str">
        <f>IF(ISERROR(VLOOKUP(School_Code&amp;"All students",School_Data,108,FALSE)),"",(VLOOKUP(School_Code&amp;"All students",School_Data,108,FALSE)))</f>
        <v>TBD</v>
      </c>
      <c r="K102" s="281" t="str">
        <f>IF(ISERROR(VLOOKUP(School_Code&amp;"All students",School_Data,109,FALSE)),"",(VLOOKUP(School_Code&amp;"All students",School_Data,109,FALSE)))</f>
        <v>TBD</v>
      </c>
      <c r="L102" s="283" t="str">
        <f>IF(ISERROR(VLOOKUP(School_Code&amp;"All students",School_Data,110,FALSE)),"",(VLOOKUP(School_Code&amp;"All students",School_Data,110,FALSE)))</f>
        <v>TBD</v>
      </c>
      <c r="M102" s="293"/>
    </row>
    <row r="103" spans="2:13" s="16" customFormat="1" ht="25.5" hidden="1">
      <c r="B103" s="13" t="s">
        <v>24</v>
      </c>
      <c r="C103" s="288"/>
      <c r="D103" s="290"/>
      <c r="E103" s="292"/>
      <c r="F103" s="290"/>
      <c r="G103" s="290"/>
      <c r="H103" s="282"/>
      <c r="I103" s="135"/>
      <c r="J103" s="282"/>
      <c r="K103" s="282"/>
      <c r="L103" s="284"/>
      <c r="M103" s="285"/>
    </row>
    <row r="104" spans="2:13" s="16" customFormat="1" ht="15" customHeight="1">
      <c r="B104" s="77" t="s">
        <v>25</v>
      </c>
      <c r="C104" s="153" t="str">
        <f>IF(ISERROR(VLOOKUP(School_Code&amp;"High needs",School_Data,102,FALSE)),"",(VLOOKUP(School_Code&amp;"High needs",School_Data,102,FALSE)))</f>
        <v>--</v>
      </c>
      <c r="D104" s="189" t="str">
        <f>IF(ISERROR(VLOOKUP(School_Code&amp;"High needs",School_Data,103,FALSE)),"",(VLOOKUP(School_Code&amp;"High needs",School_Data,103,FALSE)))</f>
        <v>--</v>
      </c>
      <c r="E104" s="154" t="str">
        <f>IF(ISERROR(VLOOKUP(School_Code&amp;"High needs",School_Data,104,FALSE)),"",(VLOOKUP(School_Code&amp;"High needs",School_Data,104,FALSE)))</f>
        <v>--</v>
      </c>
      <c r="F104" s="189" t="str">
        <f>IF(ISERROR(VLOOKUP(School_Code&amp;"High needs",School_Data,105,FALSE)),"",(VLOOKUP(School_Code&amp;"High needs",School_Data,105,FALSE)))</f>
        <v>--</v>
      </c>
      <c r="G104" s="189">
        <f>IF(ISERROR(VLOOKUP(School_Code&amp;"High needs",School_Data,106,FALSE)),"",(VLOOKUP(School_Code&amp;"High needs",School_Data,106,FALSE)))</f>
        <v>60.5</v>
      </c>
      <c r="H104" s="79" t="str">
        <f>IF(ISERROR(VLOOKUP(School_Code&amp;"High needs",School_Data,107,FALSE)),"",(VLOOKUP(School_Code&amp;"High needs",School_Data,107,FALSE)))</f>
        <v>TBD</v>
      </c>
      <c r="I104" s="135"/>
      <c r="J104" s="79" t="str">
        <f>IF(ISERROR(VLOOKUP(School_Code&amp;"High needs",School_Data,108,FALSE)),"",(VLOOKUP(School_Code&amp;"High needs",School_Data,108,FALSE)))</f>
        <v>TBD</v>
      </c>
      <c r="K104" s="79" t="str">
        <f>IF(ISERROR(VLOOKUP(School_Code&amp;"High needs",School_Data,109,FALSE)),"",(VLOOKUP(School_Code&amp;"High needs",School_Data,109,FALSE)))</f>
        <v>TBD</v>
      </c>
      <c r="L104" s="80" t="str">
        <f>IF(ISERROR(VLOOKUP(School_Code&amp;"High needs",School_Data,110,FALSE)),"",(VLOOKUP(School_Code&amp;"High needs",School_Data,110,FALSE)))</f>
        <v>TBD</v>
      </c>
      <c r="M104" s="285"/>
    </row>
    <row r="105" spans="2:13" s="16" customFormat="1" ht="15" customHeight="1">
      <c r="B105" s="77" t="s">
        <v>26</v>
      </c>
      <c r="C105" s="153" t="str">
        <f>IF(ISERROR(VLOOKUP(School_Code&amp;"Low income",School_Data,102,FALSE)),"",(VLOOKUP(School_Code&amp;"Low income",School_Data,102,FALSE)))</f>
        <v>--</v>
      </c>
      <c r="D105" s="189" t="str">
        <f>IF(ISERROR(VLOOKUP(School_Code&amp;"Low income",School_Data,103,FALSE)),"",(VLOOKUP(School_Code&amp;"Low income",School_Data,103,FALSE)))</f>
        <v>--</v>
      </c>
      <c r="E105" s="154" t="str">
        <f>IF(ISERROR(VLOOKUP(School_Code&amp;"Low income",School_Data,104,FALSE)),"",(VLOOKUP(School_Code&amp;"Low income",School_Data,104,FALSE)))</f>
        <v>--</v>
      </c>
      <c r="F105" s="189" t="str">
        <f>IF(ISERROR(VLOOKUP(School_Code&amp;"Low income",School_Data,105,FALSE)),"",(VLOOKUP(School_Code&amp;"Low income",School_Data,105,FALSE)))</f>
        <v>--</v>
      </c>
      <c r="G105" s="189">
        <f>IF(ISERROR(VLOOKUP(School_Code&amp;"Low income",School_Data,106,FALSE)),"",(VLOOKUP(School_Code&amp;"Low income",School_Data,106,FALSE)))</f>
        <v>60</v>
      </c>
      <c r="H105" s="79" t="str">
        <f>IF(ISERROR(VLOOKUP(School_Code&amp;"Low income",School_Data,107,FALSE)),"",(VLOOKUP(School_Code&amp;"Low income",School_Data,107,FALSE)))</f>
        <v>TBD</v>
      </c>
      <c r="I105" s="135"/>
      <c r="J105" s="79" t="str">
        <f>IF(ISERROR(VLOOKUP(School_Code&amp;"Low income",School_Data,108,FALSE)),"",(VLOOKUP(School_Code&amp;"Low income",School_Data,108,FALSE)))</f>
        <v>TBD</v>
      </c>
      <c r="K105" s="79" t="str">
        <f>IF(ISERROR(VLOOKUP(School_Code&amp;"Low income",School_Data,109,FALSE)),"",(VLOOKUP(School_Code&amp;"Low income",School_Data,109,FALSE)))</f>
        <v>TBD</v>
      </c>
      <c r="L105" s="80" t="str">
        <f>IF(ISERROR(VLOOKUP(School_Code&amp;"Low income",School_Data,110,FALSE)),"",(VLOOKUP(School_Code&amp;"Low income",School_Data,110,FALSE)))</f>
        <v>TBD</v>
      </c>
      <c r="M105" s="285"/>
    </row>
    <row r="106" spans="2:13" s="16" customFormat="1" ht="15" customHeight="1">
      <c r="B106" s="77" t="s">
        <v>27</v>
      </c>
      <c r="C106" s="153" t="str">
        <f>IF(ISERROR(VLOOKUP(School_Code&amp;"ELL and Former ELL",School_Data,102,FALSE)),"",(VLOOKUP(School_Code&amp;"ELL and Former ELL",School_Data,102,FALSE)))</f>
        <v>--</v>
      </c>
      <c r="D106" s="189" t="str">
        <f>IF(ISERROR(VLOOKUP(School_Code&amp;"ELL and Former ELL",School_Data,103,FALSE)),"",(VLOOKUP(School_Code&amp;"ELL and Former ELL",School_Data,103,FALSE)))</f>
        <v>--</v>
      </c>
      <c r="E106" s="154" t="str">
        <f>IF(ISERROR(VLOOKUP(School_Code&amp;"ELL and Former ELL",School_Data,104,FALSE)),"",(VLOOKUP(School_Code&amp;"ELL and Former ELL",School_Data,104,FALSE)))</f>
        <v>--</v>
      </c>
      <c r="F106" s="189" t="str">
        <f>IF(ISERROR(VLOOKUP(School_Code&amp;"ELL and Former ELL",School_Data,105,FALSE)),"",(VLOOKUP(School_Code&amp;"ELL and Former ELL",School_Data,105,FALSE)))</f>
        <v>--</v>
      </c>
      <c r="G106" s="189">
        <f>IF(ISERROR(VLOOKUP(School_Code&amp;"ELL and Former ELL",School_Data,106,FALSE)),"",(VLOOKUP(School_Code&amp;"ELL and Former ELL",School_Data,106,FALSE)))</f>
        <v>76.5</v>
      </c>
      <c r="H106" s="79" t="str">
        <f>IF(ISERROR(VLOOKUP(School_Code&amp;"ELL and Former ELL",School_Data,107,FALSE)),"",(VLOOKUP(School_Code&amp;"ELL and Former ELL",School_Data,107,FALSE)))</f>
        <v>TBD</v>
      </c>
      <c r="I106" s="135"/>
      <c r="J106" s="79" t="str">
        <f>IF(ISERROR(VLOOKUP(School_Code&amp;"ELL and Former ELL",School_Data,108,FALSE)),"",(VLOOKUP(School_Code&amp;"ELL and Former ELL",School_Data,108,FALSE)))</f>
        <v>TBD</v>
      </c>
      <c r="K106" s="79" t="str">
        <f>IF(ISERROR(VLOOKUP(School_Code&amp;"ELL and Former ELL",School_Data,109,FALSE)),"",(VLOOKUP(School_Code&amp;"ELL and Former ELL",School_Data,109,FALSE)))</f>
        <v>TBD</v>
      </c>
      <c r="L106" s="80" t="str">
        <f>IF(ISERROR(VLOOKUP(School_Code&amp;"ELL and Former ELL",School_Data,110,FALSE)),"",(VLOOKUP(School_Code&amp;"ELL and Former ELL",School_Data,110,FALSE)))</f>
        <v>TBD</v>
      </c>
      <c r="M106" s="285"/>
    </row>
    <row r="107" spans="2:13" s="16" customFormat="1" ht="15" customHeight="1">
      <c r="B107" s="77" t="s">
        <v>28</v>
      </c>
      <c r="C107" s="153" t="str">
        <f>IF(ISERROR(VLOOKUP(School_Code&amp;"Students w/disabilities",School_Data,102,FALSE)),"",(VLOOKUP(School_Code&amp;"Students w/disabilities",School_Data,102,FALSE)))</f>
        <v>--</v>
      </c>
      <c r="D107" s="189" t="str">
        <f>IF(ISERROR(VLOOKUP(School_Code&amp;"Students w/disabilities",School_Data,103,FALSE)),"",(VLOOKUP(School_Code&amp;"Students w/disabilities",School_Data,103,FALSE)))</f>
        <v>--</v>
      </c>
      <c r="E107" s="154" t="str">
        <f>IF(ISERROR(VLOOKUP(School_Code&amp;"Students w/disabilities",School_Data,104,FALSE)),"",(VLOOKUP(School_Code&amp;"Students w/disabilities",School_Data,104,FALSE)))</f>
        <v>--</v>
      </c>
      <c r="F107" s="189" t="str">
        <f>IF(ISERROR(VLOOKUP(School_Code&amp;"Students w/disabilities",School_Data,105,FALSE)),"",(VLOOKUP(School_Code&amp;"Students w/disabilities",School_Data,105,FALSE)))</f>
        <v>--</v>
      </c>
      <c r="G107" s="189">
        <f>IF(ISERROR(VLOOKUP(School_Code&amp;"Students w/disabilities",School_Data,106,FALSE)),"",(VLOOKUP(School_Code&amp;"Students w/disabilities",School_Data,106,FALSE)))</f>
        <v>78.900000000000006</v>
      </c>
      <c r="H107" s="79" t="str">
        <f>IF(ISERROR(VLOOKUP(School_Code&amp;"Students w/disabilities",School_Data,107,FALSE)),"",(VLOOKUP(School_Code&amp;"Students w/disabilities",School_Data,107,FALSE)))</f>
        <v>TBD</v>
      </c>
      <c r="I107" s="135"/>
      <c r="J107" s="79" t="str">
        <f>IF(ISERROR(VLOOKUP(School_Code&amp;"Students w/disabilities",School_Data,108,FALSE)),"",(VLOOKUP(School_Code&amp;"Students w/disabilities",School_Data,108,FALSE)))</f>
        <v>TBD</v>
      </c>
      <c r="K107" s="79" t="str">
        <f>IF(ISERROR(VLOOKUP(School_Code&amp;"Students w/disabilities",School_Data,109,FALSE)),"",(VLOOKUP(School_Code&amp;"Students w/disabilities",School_Data,109,FALSE)))</f>
        <v>TBD</v>
      </c>
      <c r="L107" s="80" t="str">
        <f>IF(ISERROR(VLOOKUP(School_Code&amp;"Students w/disabilities",School_Data,110,FALSE)),"",(VLOOKUP(School_Code&amp;"Students w/disabilities",School_Data,110,FALSE)))</f>
        <v>TBD</v>
      </c>
      <c r="M107" s="285"/>
    </row>
    <row r="108" spans="2:13" s="16" customFormat="1" ht="15" customHeight="1">
      <c r="B108" s="77" t="s">
        <v>29</v>
      </c>
      <c r="C108" s="153" t="str">
        <f>IF(ISERROR(VLOOKUP(School_Code&amp;"Amer. Ind. or Alaska Nat.",School_Data,102,FALSE)),"",(VLOOKUP(School_Code&amp;"Amer. Ind. or Alaska Nat.",School_Data,102,FALSE)))</f>
        <v>--</v>
      </c>
      <c r="D108" s="189" t="str">
        <f>IF(ISERROR(VLOOKUP(School_Code&amp;"Amer. Ind. or Alaska Nat.",School_Data,103,FALSE)),"",(VLOOKUP(School_Code&amp;"Amer. Ind. or Alaska Nat.",School_Data,103,FALSE)))</f>
        <v>--</v>
      </c>
      <c r="E108" s="154" t="str">
        <f>IF(ISERROR(VLOOKUP(School_Code&amp;"Amer. Ind. or Alaska Nat.",School_Data,104,FALSE)),"",(VLOOKUP(School_Code&amp;"Amer. Ind. or Alaska Nat.",School_Data,104,FALSE)))</f>
        <v>--</v>
      </c>
      <c r="F108" s="189" t="str">
        <f>IF(ISERROR(VLOOKUP(School_Code&amp;"Amer. Ind. or Alaska Nat.",School_Data,105,FALSE)),"",(VLOOKUP(School_Code&amp;"Amer. Ind. or Alaska Nat.",School_Data,105,FALSE)))</f>
        <v>--</v>
      </c>
      <c r="G108" s="189" t="str">
        <f>IF(ISERROR(VLOOKUP(School_Code&amp;"Amer. Ind. or Alaska Nat.",School_Data,106,FALSE)),"",(VLOOKUP(School_Code&amp;"Amer. Ind. or Alaska Nat.",School_Data,106,FALSE)))</f>
        <v>--</v>
      </c>
      <c r="H108" s="79" t="str">
        <f>IF(ISERROR(VLOOKUP(School_Code&amp;"Amer. Ind. or Alaska Nat.",School_Data,107,FALSE)),"",(VLOOKUP(School_Code&amp;"Amer. Ind. or Alaska Nat.",School_Data,107,FALSE)))</f>
        <v>--</v>
      </c>
      <c r="I108" s="135"/>
      <c r="J108" s="79" t="str">
        <f>IF(ISERROR(VLOOKUP(School_Code&amp;"Amer. Ind. or Alaska Nat.",School_Data,108,FALSE)),"",(VLOOKUP(School_Code&amp;"Amer. Ind. or Alaska Nat.",School_Data,108,FALSE)))</f>
        <v>--</v>
      </c>
      <c r="K108" s="79" t="str">
        <f>IF(ISERROR(VLOOKUP(School_Code&amp;"Amer. Ind. or Alaska Nat.",School_Data,109,FALSE)),"",(VLOOKUP(School_Code&amp;"Amer. Ind. or Alaska Nat.",School_Data,109,FALSE)))</f>
        <v>--</v>
      </c>
      <c r="L108" s="80" t="str">
        <f>IF(ISERROR(VLOOKUP(School_Code&amp;"Amer. Ind. or Alaska Nat.",School_Data,110,FALSE)),"",(VLOOKUP(School_Code&amp;"Amer. Ind. or Alaska Nat.",School_Data,110,FALSE)))</f>
        <v>--</v>
      </c>
      <c r="M108" s="285"/>
    </row>
    <row r="109" spans="2:13" s="16" customFormat="1" ht="15" customHeight="1">
      <c r="B109" s="77" t="s">
        <v>30</v>
      </c>
      <c r="C109" s="153" t="str">
        <f>IF(ISERROR(VLOOKUP(School_Code&amp;"Asian",School_Data,102,FALSE)),"",(VLOOKUP(School_Code&amp;"Asian",School_Data,102,FALSE)))</f>
        <v>--</v>
      </c>
      <c r="D109" s="189" t="str">
        <f>IF(ISERROR(VLOOKUP(School_Code&amp;"Asian",School_Data,103,FALSE)),"",(VLOOKUP(School_Code&amp;"Asian",School_Data,103,FALSE)))</f>
        <v>--</v>
      </c>
      <c r="E109" s="154" t="str">
        <f>IF(ISERROR(VLOOKUP(School_Code&amp;"Asian",School_Data,104,FALSE)),"",(VLOOKUP(School_Code&amp;"Asian",School_Data,104,FALSE)))</f>
        <v>--</v>
      </c>
      <c r="F109" s="189" t="str">
        <f>IF(ISERROR(VLOOKUP(School_Code&amp;"Asian",School_Data,105,FALSE)),"",(VLOOKUP(School_Code&amp;"Asian",School_Data,105,FALSE)))</f>
        <v>--</v>
      </c>
      <c r="G109" s="189" t="str">
        <f>IF(ISERROR(VLOOKUP(School_Code&amp;"Asian",School_Data,106,FALSE)),"",(VLOOKUP(School_Code&amp;"Asian",School_Data,106,FALSE)))</f>
        <v>--</v>
      </c>
      <c r="H109" s="79" t="str">
        <f>IF(ISERROR(VLOOKUP(School_Code&amp;"Asian",School_Data,107,FALSE)),"",(VLOOKUP(School_Code&amp;"Asian",School_Data,107,FALSE)))</f>
        <v>--</v>
      </c>
      <c r="I109" s="135"/>
      <c r="J109" s="79" t="str">
        <f>IF(ISERROR(VLOOKUP(School_Code&amp;"Asian",School_Data,108,FALSE)),"",(VLOOKUP(School_Code&amp;"Asian",School_Data,108,FALSE)))</f>
        <v>--</v>
      </c>
      <c r="K109" s="79" t="str">
        <f>IF(ISERROR(VLOOKUP(School_Code&amp;"Asian",School_Data,109,FALSE)),"",(VLOOKUP(School_Code&amp;"Asian",School_Data,109,FALSE)))</f>
        <v>--</v>
      </c>
      <c r="L109" s="80" t="str">
        <f>IF(ISERROR(VLOOKUP(School_Code&amp;"Asian",School_Data,110,FALSE)),"",(VLOOKUP(School_Code&amp;"Asian",School_Data,110,FALSE)))</f>
        <v>--</v>
      </c>
      <c r="M109" s="285"/>
    </row>
    <row r="110" spans="2:13" s="16" customFormat="1" ht="15" customHeight="1">
      <c r="B110" s="77" t="s">
        <v>45</v>
      </c>
      <c r="C110" s="153" t="str">
        <f>IF(ISERROR(VLOOKUP(School_Code&amp;"Afr. Amer/Black",School_Data,102,FALSE)),"",(VLOOKUP(School_Code&amp;"Afr. Amer/Black",School_Data,102,FALSE)))</f>
        <v>--</v>
      </c>
      <c r="D110" s="189" t="str">
        <f>IF(ISERROR(VLOOKUP(School_Code&amp;"Afr. Amer/Black",School_Data,103,FALSE)),"",(VLOOKUP(School_Code&amp;"Afr. Amer/Black",School_Data,103,FALSE)))</f>
        <v>--</v>
      </c>
      <c r="E110" s="154" t="str">
        <f>IF(ISERROR(VLOOKUP(School_Code&amp;"Afr. Amer/Black",School_Data,104,FALSE)),"",(VLOOKUP(School_Code&amp;"Afr. Amer/Black",School_Data,104,FALSE)))</f>
        <v>--</v>
      </c>
      <c r="F110" s="189" t="str">
        <f>IF(ISERROR(VLOOKUP(School_Code&amp;"Afr. Amer/Black",School_Data,105,FALSE)),"",(VLOOKUP(School_Code&amp;"Afr. Amer/Black",School_Data,105,FALSE)))</f>
        <v>--</v>
      </c>
      <c r="G110" s="189" t="str">
        <f>IF(ISERROR(VLOOKUP(School_Code&amp;"Afr. Amer/Black",School_Data,106,FALSE)),"",(VLOOKUP(School_Code&amp;"Afr. Amer/Black",School_Data,106,FALSE)))</f>
        <v>--</v>
      </c>
      <c r="H110" s="79" t="str">
        <f>IF(ISERROR(VLOOKUP(School_Code&amp;"Afr. Amer/Black",School_Data,107,FALSE)),"",(VLOOKUP(School_Code&amp;"Afr. Amer/Black",School_Data,107,FALSE)))</f>
        <v>--</v>
      </c>
      <c r="I110" s="135"/>
      <c r="J110" s="79" t="str">
        <f>IF(ISERROR(VLOOKUP(School_Code&amp;"Afr. Amer/Black",School_Data,108,FALSE)),"",(VLOOKUP(School_Code&amp;"Afr. Amer/Black",School_Data,108,FALSE)))</f>
        <v>--</v>
      </c>
      <c r="K110" s="79" t="str">
        <f>IF(ISERROR(VLOOKUP(School_Code&amp;"Afr. Amer/Black",School_Data,109,FALSE)),"",(VLOOKUP(School_Code&amp;"Afr. Amer/Black",School_Data,109,FALSE)))</f>
        <v>--</v>
      </c>
      <c r="L110" s="80" t="str">
        <f>IF(ISERROR(VLOOKUP(School_Code&amp;"Afr. Amer/Black",School_Data,110,FALSE)),"",(VLOOKUP(School_Code&amp;"Afr. Amer/Black",School_Data,110,FALSE)))</f>
        <v>--</v>
      </c>
      <c r="M110" s="285"/>
    </row>
    <row r="111" spans="2:13" s="16" customFormat="1" ht="15" customHeight="1">
      <c r="B111" s="77" t="s">
        <v>32</v>
      </c>
      <c r="C111" s="153" t="str">
        <f>IF(ISERROR(VLOOKUP(School_Code&amp;"Hispanic/Latino",School_Data,102,FALSE)),"",(VLOOKUP(School_Code&amp;"Hispanic/Latino",School_Data,102,FALSE)))</f>
        <v>--</v>
      </c>
      <c r="D111" s="189" t="str">
        <f>IF(ISERROR(VLOOKUP(School_Code&amp;"Hispanic/Latino",School_Data,103,FALSE)),"",(VLOOKUP(School_Code&amp;"Hispanic/Latino",School_Data,103,FALSE)))</f>
        <v>--</v>
      </c>
      <c r="E111" s="154" t="str">
        <f>IF(ISERROR(VLOOKUP(School_Code&amp;"Hispanic/Latino",School_Data,104,FALSE)),"",(VLOOKUP(School_Code&amp;"Hispanic/Latino",School_Data,104,FALSE)))</f>
        <v>--</v>
      </c>
      <c r="F111" s="189" t="str">
        <f>IF(ISERROR(VLOOKUP(School_Code&amp;"Hispanic/Latino",School_Data,105,FALSE)),"",(VLOOKUP(School_Code&amp;"Hispanic/Latino",School_Data,105,FALSE)))</f>
        <v>--</v>
      </c>
      <c r="G111" s="189">
        <f>IF(ISERROR(VLOOKUP(School_Code&amp;"Hispanic/Latino",School_Data,106,FALSE)),"",(VLOOKUP(School_Code&amp;"Hispanic/Latino",School_Data,106,FALSE)))</f>
        <v>65.7</v>
      </c>
      <c r="H111" s="79" t="str">
        <f>IF(ISERROR(VLOOKUP(School_Code&amp;"Hispanic/Latino",School_Data,107,FALSE)),"",(VLOOKUP(School_Code&amp;"Hispanic/Latino",School_Data,107,FALSE)))</f>
        <v>TBD</v>
      </c>
      <c r="I111" s="135"/>
      <c r="J111" s="79" t="str">
        <f>IF(ISERROR(VLOOKUP(School_Code&amp;"Hispanic/Latino",School_Data,108,FALSE)),"",(VLOOKUP(School_Code&amp;"Hispanic/Latino",School_Data,108,FALSE)))</f>
        <v>TBD</v>
      </c>
      <c r="K111" s="79" t="str">
        <f>IF(ISERROR(VLOOKUP(School_Code&amp;"Hispanic/Latino",School_Data,109,FALSE)),"",(VLOOKUP(School_Code&amp;"Hispanic/Latino",School_Data,109,FALSE)))</f>
        <v>TBD</v>
      </c>
      <c r="L111" s="80" t="str">
        <f>IF(ISERROR(VLOOKUP(School_Code&amp;"Hispanic/Latino",School_Data,110,FALSE)),"",(VLOOKUP(School_Code&amp;"Hispanic/Latino",School_Data,110,FALSE)))</f>
        <v>TBD</v>
      </c>
      <c r="M111" s="285"/>
    </row>
    <row r="112" spans="2:13" s="16" customFormat="1" ht="15" customHeight="1">
      <c r="B112" s="77" t="s">
        <v>33</v>
      </c>
      <c r="C112" s="153" t="str">
        <f>IF(ISERROR(VLOOKUP(School_Code&amp;"Multi-race, Non-Hisp./Lat.",School_Data,102,FALSE)),"",(VLOOKUP(School_Code&amp;"Multi-race, Non-Hisp./Lat.",School_Data,102,FALSE)))</f>
        <v>--</v>
      </c>
      <c r="D112" s="189" t="str">
        <f>IF(ISERROR(VLOOKUP(School_Code&amp;"Multi-race, Non-Hisp./Lat.",School_Data,103,FALSE)),"",(VLOOKUP(School_Code&amp;"Multi-race, Non-Hisp./Lat.",School_Data,103,FALSE)))</f>
        <v>--</v>
      </c>
      <c r="E112" s="154" t="str">
        <f>IF(ISERROR(VLOOKUP(School_Code&amp;"Multi-race, Non-Hisp./Lat.",School_Data,104,FALSE)),"",(VLOOKUP(School_Code&amp;"Multi-race, Non-Hisp./Lat.",School_Data,104,FALSE)))</f>
        <v>--</v>
      </c>
      <c r="F112" s="189" t="str">
        <f>IF(ISERROR(VLOOKUP(School_Code&amp;"Multi-race, Non-Hisp./Lat.",School_Data,105,FALSE)),"",(VLOOKUP(School_Code&amp;"Multi-race, Non-Hisp./Lat.",School_Data,105,FALSE)))</f>
        <v>--</v>
      </c>
      <c r="G112" s="189" t="str">
        <f>IF(ISERROR(VLOOKUP(School_Code&amp;"Multi-race, Non-Hisp./Lat.",School_Data,106,FALSE)),"",(VLOOKUP(School_Code&amp;"Multi-race, Non-Hisp./Lat.",School_Data,106,FALSE)))</f>
        <v>--</v>
      </c>
      <c r="H112" s="79" t="str">
        <f>IF(ISERROR(VLOOKUP(School_Code&amp;"Multi-race, Non-Hisp./Lat.",School_Data,107,FALSE)),"",(VLOOKUP(School_Code&amp;"Multi-race, Non-Hisp./Lat.",School_Data,107,FALSE)))</f>
        <v>--</v>
      </c>
      <c r="I112" s="135"/>
      <c r="J112" s="79" t="str">
        <f>IF(ISERROR(VLOOKUP(School_Code&amp;"Multi-race, Non-Hisp./Lat.",School_Data,108,FALSE)),"",(VLOOKUP(School_Code&amp;"Multi-race, Non-Hisp./Lat.",School_Data,108,FALSE)))</f>
        <v>--</v>
      </c>
      <c r="K112" s="79" t="str">
        <f>IF(ISERROR(VLOOKUP(School_Code&amp;"Multi-race, Non-Hisp./Lat.",School_Data,109,FALSE)),"",(VLOOKUP(School_Code&amp;"Multi-race, Non-Hisp./Lat.",School_Data,109,FALSE)))</f>
        <v>--</v>
      </c>
      <c r="L112" s="80" t="str">
        <f>IF(ISERROR(VLOOKUP(School_Code&amp;"Multi-race, Non-Hisp./Lat.",School_Data,110,FALSE)),"",(VLOOKUP(School_Code&amp;"Multi-race, Non-Hisp./Lat.",School_Data,110,FALSE)))</f>
        <v>--</v>
      </c>
      <c r="M112" s="285"/>
    </row>
    <row r="113" spans="2:13" s="16" customFormat="1" ht="15" customHeight="1">
      <c r="B113" s="77" t="s">
        <v>34</v>
      </c>
      <c r="C113" s="153" t="str">
        <f>IF(ISERROR(VLOOKUP(School_Code&amp;"Nat. Haw. or Pacif. Isl.",School_Data,102,FALSE)),"",(VLOOKUP(School_Code&amp;"Nat. Haw. or Pacif. Isl.",School_Data,102,FALSE)))</f>
        <v>--</v>
      </c>
      <c r="D113" s="189" t="str">
        <f>IF(ISERROR(VLOOKUP(School_Code&amp;"Nat. Haw. or Pacif. Isl.",School_Data,103,FALSE)),"",(VLOOKUP(School_Code&amp;"Nat. Haw. or Pacif. Isl.",School_Data,103,FALSE)))</f>
        <v>--</v>
      </c>
      <c r="E113" s="154" t="str">
        <f>IF(ISERROR(VLOOKUP(School_Code&amp;"Nat. Haw. or Pacif. Isl.",School_Data,104,FALSE)),"",(VLOOKUP(School_Code&amp;"Nat. Haw. or Pacif. Isl.",School_Data,104,FALSE)))</f>
        <v>--</v>
      </c>
      <c r="F113" s="189" t="str">
        <f>IF(ISERROR(VLOOKUP(School_Code&amp;"Nat. Haw. or Pacif. Isl.",School_Data,105,FALSE)),"",(VLOOKUP(School_Code&amp;"Nat. Haw. or Pacif. Isl.",School_Data,105,FALSE)))</f>
        <v>--</v>
      </c>
      <c r="G113" s="189" t="str">
        <f>IF(ISERROR(VLOOKUP(School_Code&amp;"Nat. Haw. or Pacif. Isl.",School_Data,106,FALSE)),"",(VLOOKUP(School_Code&amp;"Nat. Haw. or Pacif. Isl.",School_Data,106,FALSE)))</f>
        <v>--</v>
      </c>
      <c r="H113" s="79" t="str">
        <f>IF(ISERROR(VLOOKUP(School_Code&amp;"Nat. Haw. or Pacif. Isl.",School_Data,107,FALSE)),"",(VLOOKUP(School_Code&amp;"Nat. Haw. or Pacif. Isl.",School_Data,107,FALSE)))</f>
        <v>--</v>
      </c>
      <c r="I113" s="135"/>
      <c r="J113" s="79" t="str">
        <f>IF(ISERROR(VLOOKUP(School_Code&amp;"Nat. Haw. or Pacif. Isl.",School_Data,108,FALSE)),"",(VLOOKUP(School_Code&amp;"Nat. Haw. or Pacif. Isl.",School_Data,108,FALSE)))</f>
        <v>--</v>
      </c>
      <c r="K113" s="79" t="str">
        <f>IF(ISERROR(VLOOKUP(School_Code&amp;"Nat. Haw. or Pacif. Isl.",School_Data,109,FALSE)),"",(VLOOKUP(School_Code&amp;"Nat. Haw. or Pacif. Isl.",School_Data,109,FALSE)))</f>
        <v>--</v>
      </c>
      <c r="L113" s="80" t="str">
        <f>IF(ISERROR(VLOOKUP(School_Code&amp;"Nat. Haw. or Pacif. Isl.",School_Data,110,FALSE)),"",(VLOOKUP(School_Code&amp;"Nat. Haw. or Pacif. Isl.",School_Data,110,FALSE)))</f>
        <v>--</v>
      </c>
      <c r="M113" s="285"/>
    </row>
    <row r="114" spans="2:13" s="16" customFormat="1" ht="15" customHeight="1">
      <c r="B114" s="78" t="s">
        <v>35</v>
      </c>
      <c r="C114" s="191" t="str">
        <f>IF(ISERROR(VLOOKUP(School_Code&amp;"White",School_Data,102,FALSE)),"",(VLOOKUP(School_Code&amp;"White",School_Data,102,FALSE)))</f>
        <v>--</v>
      </c>
      <c r="D114" s="192" t="str">
        <f>IF(ISERROR(VLOOKUP(School_Code&amp;"White",School_Data,103,FALSE)),"",(VLOOKUP(School_Code&amp;"White",School_Data,103,FALSE)))</f>
        <v>--</v>
      </c>
      <c r="E114" s="193" t="str">
        <f>IF(ISERROR(VLOOKUP(School_Code&amp;"White",School_Data,104,FALSE)),"",(VLOOKUP(School_Code&amp;"White",School_Data,104,FALSE)))</f>
        <v>--</v>
      </c>
      <c r="F114" s="192" t="str">
        <f>IF(ISERROR(VLOOKUP(School_Code&amp;"White",School_Data,105,FALSE)),"",(VLOOKUP(School_Code&amp;"White",School_Data,105,FALSE)))</f>
        <v>--</v>
      </c>
      <c r="G114" s="192" t="str">
        <f>IF(ISERROR(VLOOKUP(School_Code&amp;"White",School_Data,106,FALSE)),"",(VLOOKUP(School_Code&amp;"White",School_Data,106,FALSE)))</f>
        <v>--</v>
      </c>
      <c r="H114" s="81" t="str">
        <f>IF(ISERROR(VLOOKUP(School_Code&amp;"White",School_Data,107,FALSE)),"",(VLOOKUP(School_Code&amp;"White",School_Data,107,FALSE)))</f>
        <v>--</v>
      </c>
      <c r="I114" s="81"/>
      <c r="J114" s="81" t="str">
        <f>IF(ISERROR(VLOOKUP(School_Code&amp;"White",School_Data,108,FALSE)),"",(VLOOKUP(School_Code&amp;"White",School_Data,108,FALSE)))</f>
        <v>--</v>
      </c>
      <c r="K114" s="81" t="str">
        <f>IF(ISERROR(VLOOKUP(School_Code&amp;"White",School_Data,109,FALSE)),"",(VLOOKUP(School_Code&amp;"White",School_Data,109,FALSE)))</f>
        <v>--</v>
      </c>
      <c r="L114" s="82" t="str">
        <f>IF(ISERROR(VLOOKUP(School_Code&amp;"White",School_Data,110,FALSE)),"",(VLOOKUP(School_Code&amp;"White",School_Data,110,FALSE)))</f>
        <v>--</v>
      </c>
      <c r="M114" s="286"/>
    </row>
    <row r="115" spans="2:13" s="16" customFormat="1" ht="38.25">
      <c r="B115" s="242" t="s">
        <v>275</v>
      </c>
      <c r="C115" s="287" t="str">
        <f>IF(ISERROR(VLOOKUP(School_Code&amp;"All students",School_Data,111,FALSE)),"",(VLOOKUP(School_Code&amp;"All students",School_Data,111,FALSE)))</f>
        <v>--</v>
      </c>
      <c r="D115" s="289" t="str">
        <f>IF(ISERROR(VLOOKUP(School_Code&amp;"All students",School_Data,112,FALSE)),"",(VLOOKUP(School_Code&amp;"All students",School_Data,112,FALSE)))</f>
        <v>--</v>
      </c>
      <c r="E115" s="291" t="str">
        <f>IF(ISERROR(VLOOKUP(School_Code&amp;"All students",School_Data,113,FALSE)),"",(VLOOKUP(School_Code&amp;"All students",School_Data,113,FALSE)))</f>
        <v>--</v>
      </c>
      <c r="F115" s="289" t="str">
        <f>IF(ISERROR(VLOOKUP(School_Code&amp;"All students",School_Data,114,FALSE)),"",(VLOOKUP(School_Code&amp;"All students",School_Data,114,FALSE)))</f>
        <v>--</v>
      </c>
      <c r="G115" s="289">
        <f>IF(ISERROR(VLOOKUP(School_Code&amp;"All students",School_Data,115,FALSE)),"",(VLOOKUP(School_Code&amp;"All students",School_Data,115,FALSE)))</f>
        <v>0</v>
      </c>
      <c r="H115" s="281" t="str">
        <f>IF(ISERROR(VLOOKUP(School_Code&amp;"All students",School_Data,116,FALSE)),"",(VLOOKUP(School_Code&amp;"All students",School_Data,116,FALSE)))</f>
        <v>TBD</v>
      </c>
      <c r="I115" s="134"/>
      <c r="J115" s="281" t="str">
        <f>IF(ISERROR(VLOOKUP(School_Code&amp;"All students",School_Data,117,FALSE)),"",(VLOOKUP(School_Code&amp;"All students",School_Data,117,FALSE)))</f>
        <v>TBD</v>
      </c>
      <c r="K115" s="281" t="str">
        <f>IF(ISERROR(VLOOKUP(School_Code&amp;"All students",School_Data,118,FALSE)),"",(VLOOKUP(School_Code&amp;"All students",School_Data,118,FALSE)))</f>
        <v>TBD</v>
      </c>
      <c r="L115" s="283" t="str">
        <f>IF(ISERROR(VLOOKUP(School_Code&amp;"All students",School_Data,119,FALSE)),"",(VLOOKUP(School_Code&amp;"All students",School_Data,119,FALSE)))</f>
        <v>TBD</v>
      </c>
      <c r="M115" s="285"/>
    </row>
    <row r="116" spans="2:13" s="16" customFormat="1" ht="25.5" hidden="1">
      <c r="B116" s="13" t="s">
        <v>24</v>
      </c>
      <c r="C116" s="288"/>
      <c r="D116" s="290"/>
      <c r="E116" s="292"/>
      <c r="F116" s="290"/>
      <c r="G116" s="290"/>
      <c r="H116" s="282"/>
      <c r="I116" s="135"/>
      <c r="J116" s="282"/>
      <c r="K116" s="282"/>
      <c r="L116" s="284"/>
      <c r="M116" s="285"/>
    </row>
    <row r="117" spans="2:13" s="16" customFormat="1" ht="15" customHeight="1">
      <c r="B117" s="77" t="s">
        <v>25</v>
      </c>
      <c r="C117" s="153" t="str">
        <f>IF(ISERROR(VLOOKUP(School_Code&amp;"High needs",School_Data,111,FALSE)),"",(VLOOKUP(School_Code&amp;"High needs",School_Data,111,FALSE)))</f>
        <v>--</v>
      </c>
      <c r="D117" s="189" t="str">
        <f>IF(ISERROR(VLOOKUP(School_Code&amp;"High needs",School_Data,112,FALSE)),"",(VLOOKUP(School_Code&amp;"High needs",School_Data,112,FALSE)))</f>
        <v>--</v>
      </c>
      <c r="E117" s="154" t="str">
        <f>IF(ISERROR(VLOOKUP(School_Code&amp;"High needs",School_Data,113,FALSE)),"",(VLOOKUP(School_Code&amp;"High needs",School_Data,113,FALSE)))</f>
        <v>--</v>
      </c>
      <c r="F117" s="189" t="str">
        <f>IF(ISERROR(VLOOKUP(School_Code&amp;"High needs",School_Data,114,FALSE)),"",(VLOOKUP(School_Code&amp;"High needs",School_Data,114,FALSE)))</f>
        <v>--</v>
      </c>
      <c r="G117" s="189">
        <f>IF(ISERROR(VLOOKUP(School_Code&amp;"High needs",School_Data,115,FALSE)),"",(VLOOKUP(School_Code&amp;"High needs",School_Data,115,FALSE)))</f>
        <v>0</v>
      </c>
      <c r="H117" s="79" t="str">
        <f>IF(ISERROR(VLOOKUP(School_Code&amp;"High needs",School_Data,116,FALSE)),"",(VLOOKUP(School_Code&amp;"High needs",School_Data,116,FALSE)))</f>
        <v>TBD</v>
      </c>
      <c r="I117" s="135"/>
      <c r="J117" s="79" t="str">
        <f>IF(ISERROR(VLOOKUP(School_Code&amp;"High needs",School_Data,117,FALSE)),"",(VLOOKUP(School_Code&amp;"High needs",School_Data,117,FALSE)))</f>
        <v>TBD</v>
      </c>
      <c r="K117" s="79" t="str">
        <f>IF(ISERROR(VLOOKUP(School_Code&amp;"High needs",School_Data,118,FALSE)),"",(VLOOKUP(School_Code&amp;"High needs",School_Data,118,FALSE)))</f>
        <v>TBD</v>
      </c>
      <c r="L117" s="80" t="str">
        <f>IF(ISERROR(VLOOKUP(School_Code&amp;"High needs",School_Data,119,FALSE)),"",(VLOOKUP(School_Code&amp;"High needs",School_Data,119,FALSE)))</f>
        <v>TBD</v>
      </c>
      <c r="M117" s="285"/>
    </row>
    <row r="118" spans="2:13" s="16" customFormat="1" ht="15" customHeight="1">
      <c r="B118" s="77" t="s">
        <v>26</v>
      </c>
      <c r="C118" s="153" t="str">
        <f>IF(ISERROR(VLOOKUP(School_Code&amp;"Low income",School_Data,111,FALSE)),"",(VLOOKUP(School_Code&amp;"Low income",School_Data,111,FALSE)))</f>
        <v>--</v>
      </c>
      <c r="D118" s="189" t="str">
        <f>IF(ISERROR(VLOOKUP(School_Code&amp;"Low income",School_Data,112,FALSE)),"",(VLOOKUP(School_Code&amp;"Low income",School_Data,112,FALSE)))</f>
        <v>--</v>
      </c>
      <c r="E118" s="154" t="str">
        <f>IF(ISERROR(VLOOKUP(School_Code&amp;"Low income",School_Data,113,FALSE)),"",(VLOOKUP(School_Code&amp;"Low income",School_Data,113,FALSE)))</f>
        <v>--</v>
      </c>
      <c r="F118" s="189" t="str">
        <f>IF(ISERROR(VLOOKUP(School_Code&amp;"Low income",School_Data,114,FALSE)),"",(VLOOKUP(School_Code&amp;"Low income",School_Data,114,FALSE)))</f>
        <v>--</v>
      </c>
      <c r="G118" s="189">
        <f>IF(ISERROR(VLOOKUP(School_Code&amp;"Low income",School_Data,115,FALSE)),"",(VLOOKUP(School_Code&amp;"Low income",School_Data,115,FALSE)))</f>
        <v>0</v>
      </c>
      <c r="H118" s="79" t="str">
        <f>IF(ISERROR(VLOOKUP(School_Code&amp;"Low income",School_Data,116,FALSE)),"",(VLOOKUP(School_Code&amp;"Low income",School_Data,116,FALSE)))</f>
        <v>TBD</v>
      </c>
      <c r="I118" s="135"/>
      <c r="J118" s="79" t="str">
        <f>IF(ISERROR(VLOOKUP(School_Code&amp;"Low income",School_Data,117,FALSE)),"",(VLOOKUP(School_Code&amp;"Low income",School_Data,117,FALSE)))</f>
        <v>TBD</v>
      </c>
      <c r="K118" s="79" t="str">
        <f>IF(ISERROR(VLOOKUP(School_Code&amp;"Low income",School_Data,118,FALSE)),"",(VLOOKUP(School_Code&amp;"Low income",School_Data,118,FALSE)))</f>
        <v>TBD</v>
      </c>
      <c r="L118" s="80" t="str">
        <f>IF(ISERROR(VLOOKUP(School_Code&amp;"Low income",School_Data,119,FALSE)),"",(VLOOKUP(School_Code&amp;"Low income",School_Data,119,FALSE)))</f>
        <v>TBD</v>
      </c>
      <c r="M118" s="285"/>
    </row>
    <row r="119" spans="2:13" s="16" customFormat="1" ht="15" customHeight="1">
      <c r="B119" s="77" t="s">
        <v>27</v>
      </c>
      <c r="C119" s="153" t="str">
        <f>IF(ISERROR(VLOOKUP(School_Code&amp;"ELL and Former ELL",School_Data,111,FALSE)),"",(VLOOKUP(School_Code&amp;"ELL and Former ELL",School_Data,111,FALSE)))</f>
        <v>--</v>
      </c>
      <c r="D119" s="189" t="str">
        <f>IF(ISERROR(VLOOKUP(School_Code&amp;"ELL and Former ELL",School_Data,112,FALSE)),"",(VLOOKUP(School_Code&amp;"ELL and Former ELL",School_Data,112,FALSE)))</f>
        <v>--</v>
      </c>
      <c r="E119" s="154" t="str">
        <f>IF(ISERROR(VLOOKUP(School_Code&amp;"ELL and Former ELL",School_Data,113,FALSE)),"",(VLOOKUP(School_Code&amp;"ELL and Former ELL",School_Data,113,FALSE)))</f>
        <v>--</v>
      </c>
      <c r="F119" s="189" t="str">
        <f>IF(ISERROR(VLOOKUP(School_Code&amp;"ELL and Former ELL",School_Data,114,FALSE)),"",(VLOOKUP(School_Code&amp;"ELL and Former ELL",School_Data,114,FALSE)))</f>
        <v>--</v>
      </c>
      <c r="G119" s="189">
        <f>IF(ISERROR(VLOOKUP(School_Code&amp;"ELL and Former ELL",School_Data,115,FALSE)),"",(VLOOKUP(School_Code&amp;"ELL and Former ELL",School_Data,115,FALSE)))</f>
        <v>0</v>
      </c>
      <c r="H119" s="79" t="str">
        <f>IF(ISERROR(VLOOKUP(School_Code&amp;"ELL and Former ELL",School_Data,116,FALSE)),"",(VLOOKUP(School_Code&amp;"ELL and Former ELL",School_Data,116,FALSE)))</f>
        <v>TBD</v>
      </c>
      <c r="I119" s="135"/>
      <c r="J119" s="79" t="str">
        <f>IF(ISERROR(VLOOKUP(School_Code&amp;"ELL and Former ELL",School_Data,117,FALSE)),"",(VLOOKUP(School_Code&amp;"ELL and Former ELL",School_Data,117,FALSE)))</f>
        <v>TBD</v>
      </c>
      <c r="K119" s="79" t="str">
        <f>IF(ISERROR(VLOOKUP(School_Code&amp;"ELL and Former ELL",School_Data,118,FALSE)),"",(VLOOKUP(School_Code&amp;"ELL and Former ELL",School_Data,118,FALSE)))</f>
        <v>TBD</v>
      </c>
      <c r="L119" s="80" t="str">
        <f>IF(ISERROR(VLOOKUP(School_Code&amp;"ELL and Former ELL",School_Data,119,FALSE)),"",(VLOOKUP(School_Code&amp;"ELL and Former ELL",School_Data,119,FALSE)))</f>
        <v>TBD</v>
      </c>
      <c r="M119" s="285"/>
    </row>
    <row r="120" spans="2:13" s="16" customFormat="1" ht="15" customHeight="1">
      <c r="B120" s="77" t="s">
        <v>28</v>
      </c>
      <c r="C120" s="153" t="str">
        <f>IF(ISERROR(VLOOKUP(School_Code&amp;"Students w/disabilities",School_Data,111,FALSE)),"",(VLOOKUP(School_Code&amp;"Students w/disabilities",School_Data,111,FALSE)))</f>
        <v>--</v>
      </c>
      <c r="D120" s="189" t="str">
        <f>IF(ISERROR(VLOOKUP(School_Code&amp;"Students w/disabilities",School_Data,112,FALSE)),"",(VLOOKUP(School_Code&amp;"Students w/disabilities",School_Data,112,FALSE)))</f>
        <v>--</v>
      </c>
      <c r="E120" s="154" t="str">
        <f>IF(ISERROR(VLOOKUP(School_Code&amp;"Students w/disabilities",School_Data,113,FALSE)),"",(VLOOKUP(School_Code&amp;"Students w/disabilities",School_Data,113,FALSE)))</f>
        <v>--</v>
      </c>
      <c r="F120" s="189" t="str">
        <f>IF(ISERROR(VLOOKUP(School_Code&amp;"Students w/disabilities",School_Data,114,FALSE)),"",(VLOOKUP(School_Code&amp;"Students w/disabilities",School_Data,114,FALSE)))</f>
        <v>--</v>
      </c>
      <c r="G120" s="189">
        <f>IF(ISERROR(VLOOKUP(School_Code&amp;"Students w/disabilities",School_Data,115,FALSE)),"",(VLOOKUP(School_Code&amp;"Students w/disabilities",School_Data,115,FALSE)))</f>
        <v>0</v>
      </c>
      <c r="H120" s="79" t="str">
        <f>IF(ISERROR(VLOOKUP(School_Code&amp;"Students w/disabilities",School_Data,116,FALSE)),"",(VLOOKUP(School_Code&amp;"Students w/disabilities",School_Data,116,FALSE)))</f>
        <v>TBD</v>
      </c>
      <c r="I120" s="135"/>
      <c r="J120" s="79" t="str">
        <f>IF(ISERROR(VLOOKUP(School_Code&amp;"Students w/disabilities",School_Data,117,FALSE)),"",(VLOOKUP(School_Code&amp;"Students w/disabilities",School_Data,117,FALSE)))</f>
        <v>TBD</v>
      </c>
      <c r="K120" s="79" t="str">
        <f>IF(ISERROR(VLOOKUP(School_Code&amp;"Students w/disabilities",School_Data,118,FALSE)),"",(VLOOKUP(School_Code&amp;"Students w/disabilities",School_Data,118,FALSE)))</f>
        <v>TBD</v>
      </c>
      <c r="L120" s="80" t="str">
        <f>IF(ISERROR(VLOOKUP(School_Code&amp;"Students w/disabilities",School_Data,119,FALSE)),"",(VLOOKUP(School_Code&amp;"Students w/disabilities",School_Data,119,FALSE)))</f>
        <v>TBD</v>
      </c>
      <c r="M120" s="285"/>
    </row>
    <row r="121" spans="2:13" s="16" customFormat="1" ht="15" customHeight="1">
      <c r="B121" s="77" t="s">
        <v>29</v>
      </c>
      <c r="C121" s="153" t="str">
        <f>IF(ISERROR(VLOOKUP(School_Code&amp;"Amer. Ind. or Alaska Nat.",School_Data,111,FALSE)),"",(VLOOKUP(School_Code&amp;"Amer. Ind. or Alaska Nat.",School_Data,111,FALSE)))</f>
        <v>--</v>
      </c>
      <c r="D121" s="189" t="str">
        <f>IF(ISERROR(VLOOKUP(School_Code&amp;"Amer. Ind. or Alaska Nat.",School_Data,112,FALSE)),"",(VLOOKUP(School_Code&amp;"Amer. Ind. or Alaska Nat.",School_Data,112,FALSE)))</f>
        <v>--</v>
      </c>
      <c r="E121" s="154" t="str">
        <f>IF(ISERROR(VLOOKUP(School_Code&amp;"Amer. Ind. or Alaska Nat.",School_Data,113,FALSE)),"",(VLOOKUP(School_Code&amp;"Amer. Ind. or Alaska Nat.",School_Data,113,FALSE)))</f>
        <v>--</v>
      </c>
      <c r="F121" s="189" t="str">
        <f>IF(ISERROR(VLOOKUP(School_Code&amp;"Amer. Ind. or Alaska Nat.",School_Data,114,FALSE)),"",(VLOOKUP(School_Code&amp;"Amer. Ind. or Alaska Nat.",School_Data,114,FALSE)))</f>
        <v>--</v>
      </c>
      <c r="G121" s="189" t="str">
        <f>IF(ISERROR(VLOOKUP(School_Code&amp;"Amer. Ind. or Alaska Nat.",School_Data,115,FALSE)),"",(VLOOKUP(School_Code&amp;"Amer. Ind. or Alaska Nat.",School_Data,115,FALSE)))</f>
        <v>--</v>
      </c>
      <c r="H121" s="79" t="str">
        <f>IF(ISERROR(VLOOKUP(School_Code&amp;"Amer. Ind. or Alaska Nat.",School_Data,116,FALSE)),"",(VLOOKUP(School_Code&amp;"Amer. Ind. or Alaska Nat.",School_Data,116,FALSE)))</f>
        <v>--</v>
      </c>
      <c r="I121" s="135"/>
      <c r="J121" s="79" t="str">
        <f>IF(ISERROR(VLOOKUP(School_Code&amp;"Amer. Ind. or Alaska Nat.",School_Data,117,FALSE)),"",(VLOOKUP(School_Code&amp;"Amer. Ind. or Alaska Nat.",School_Data,117,FALSE)))</f>
        <v>--</v>
      </c>
      <c r="K121" s="79" t="str">
        <f>IF(ISERROR(VLOOKUP(School_Code&amp;"Amer. Ind. or Alaska Nat.",School_Data,118,FALSE)),"",(VLOOKUP(School_Code&amp;"Amer. Ind. or Alaska Nat.",School_Data,118,FALSE)))</f>
        <v>--</v>
      </c>
      <c r="L121" s="80" t="str">
        <f>IF(ISERROR(VLOOKUP(School_Code&amp;"Amer. Ind. or Alaska Nat.",School_Data,119,FALSE)),"",(VLOOKUP(School_Code&amp;"Amer. Ind. or Alaska Nat.",School_Data,119,FALSE)))</f>
        <v>--</v>
      </c>
      <c r="M121" s="285"/>
    </row>
    <row r="122" spans="2:13" s="16" customFormat="1" ht="15" customHeight="1">
      <c r="B122" s="77" t="s">
        <v>30</v>
      </c>
      <c r="C122" s="153" t="str">
        <f>IF(ISERROR(VLOOKUP(School_Code&amp;"Asian",School_Data,111,FALSE)),"",(VLOOKUP(School_Code&amp;"Asian",School_Data,111,FALSE)))</f>
        <v>--</v>
      </c>
      <c r="D122" s="189" t="str">
        <f>IF(ISERROR(VLOOKUP(School_Code&amp;"Asian",School_Data,112,FALSE)),"",(VLOOKUP(School_Code&amp;"Asian",School_Data,112,FALSE)))</f>
        <v>--</v>
      </c>
      <c r="E122" s="154" t="str">
        <f>IF(ISERROR(VLOOKUP(School_Code&amp;"Asian",School_Data,113,FALSE)),"",(VLOOKUP(School_Code&amp;"Asian",School_Data,113,FALSE)))</f>
        <v>--</v>
      </c>
      <c r="F122" s="189" t="str">
        <f>IF(ISERROR(VLOOKUP(School_Code&amp;"Asian",School_Data,114,FALSE)),"",(VLOOKUP(School_Code&amp;"Asian",School_Data,114,FALSE)))</f>
        <v>--</v>
      </c>
      <c r="G122" s="189" t="str">
        <f>IF(ISERROR(VLOOKUP(School_Code&amp;"Asian",School_Data,115,FALSE)),"",(VLOOKUP(School_Code&amp;"Asian",School_Data,115,FALSE)))</f>
        <v>--</v>
      </c>
      <c r="H122" s="79" t="str">
        <f>IF(ISERROR(VLOOKUP(School_Code&amp;"Asian",School_Data,116,FALSE)),"",(VLOOKUP(School_Code&amp;"Asian",School_Data,116,FALSE)))</f>
        <v>--</v>
      </c>
      <c r="I122" s="135"/>
      <c r="J122" s="79" t="str">
        <f>IF(ISERROR(VLOOKUP(School_Code&amp;"Asian",School_Data,117,FALSE)),"",(VLOOKUP(School_Code&amp;"Asian",School_Data,117,FALSE)))</f>
        <v>--</v>
      </c>
      <c r="K122" s="79" t="str">
        <f>IF(ISERROR(VLOOKUP(School_Code&amp;"Asian",School_Data,118,FALSE)),"",(VLOOKUP(School_Code&amp;"Asian",School_Data,118,FALSE)))</f>
        <v>--</v>
      </c>
      <c r="L122" s="80" t="str">
        <f>IF(ISERROR(VLOOKUP(School_Code&amp;"Asian",School_Data,119,FALSE)),"",(VLOOKUP(School_Code&amp;"Asian",School_Data,119,FALSE)))</f>
        <v>--</v>
      </c>
      <c r="M122" s="285"/>
    </row>
    <row r="123" spans="2:13" s="16" customFormat="1" ht="15" customHeight="1">
      <c r="B123" s="77" t="s">
        <v>45</v>
      </c>
      <c r="C123" s="153" t="str">
        <f>IF(ISERROR(VLOOKUP(School_Code&amp;"Afr. Amer/Black",School_Data,111,FALSE)),"",(VLOOKUP(School_Code&amp;"Afr. Amer/Black",School_Data,111,FALSE)))</f>
        <v>--</v>
      </c>
      <c r="D123" s="189" t="str">
        <f>IF(ISERROR(VLOOKUP(School_Code&amp;"Afr. Amer/Black",School_Data,112,FALSE)),"",(VLOOKUP(School_Code&amp;"Afr. Amer/Black",School_Data,112,FALSE)))</f>
        <v>--</v>
      </c>
      <c r="E123" s="154" t="str">
        <f>IF(ISERROR(VLOOKUP(School_Code&amp;"Afr. Amer/Black",School_Data,113,FALSE)),"",(VLOOKUP(School_Code&amp;"Afr. Amer/Black",School_Data,113,FALSE)))</f>
        <v>--</v>
      </c>
      <c r="F123" s="189" t="str">
        <f>IF(ISERROR(VLOOKUP(School_Code&amp;"Afr. Amer/Black",School_Data,114,FALSE)),"",(VLOOKUP(School_Code&amp;"Afr. Amer/Black",School_Data,114,FALSE)))</f>
        <v>--</v>
      </c>
      <c r="G123" s="189" t="str">
        <f>IF(ISERROR(VLOOKUP(School_Code&amp;"Afr. Amer/Black",School_Data,115,FALSE)),"",(VLOOKUP(School_Code&amp;"Afr. Amer/Black",School_Data,115,FALSE)))</f>
        <v>--</v>
      </c>
      <c r="H123" s="79" t="str">
        <f>IF(ISERROR(VLOOKUP(School_Code&amp;"Afr. Amer/Black",School_Data,116,FALSE)),"",(VLOOKUP(School_Code&amp;"Afr. Amer/Black",School_Data,116,FALSE)))</f>
        <v>--</v>
      </c>
      <c r="I123" s="135"/>
      <c r="J123" s="79" t="str">
        <f>IF(ISERROR(VLOOKUP(School_Code&amp;"Afr. Amer/Black",School_Data,117,FALSE)),"",(VLOOKUP(School_Code&amp;"Afr. Amer/Black",School_Data,117,FALSE)))</f>
        <v>--</v>
      </c>
      <c r="K123" s="79" t="str">
        <f>IF(ISERROR(VLOOKUP(School_Code&amp;"Afr. Amer/Black",School_Data,118,FALSE)),"",(VLOOKUP(School_Code&amp;"Afr. Amer/Black",School_Data,118,FALSE)))</f>
        <v>--</v>
      </c>
      <c r="L123" s="80" t="str">
        <f>IF(ISERROR(VLOOKUP(School_Code&amp;"Afr. Amer/Black",School_Data,119,FALSE)),"",(VLOOKUP(School_Code&amp;"Afr. Amer/Black",School_Data,119,FALSE)))</f>
        <v>--</v>
      </c>
      <c r="M123" s="285"/>
    </row>
    <row r="124" spans="2:13" s="16" customFormat="1" ht="15" customHeight="1">
      <c r="B124" s="77" t="s">
        <v>32</v>
      </c>
      <c r="C124" s="153" t="str">
        <f>IF(ISERROR(VLOOKUP(School_Code&amp;"Hispanic/Latino",School_Data,111,FALSE)),"",(VLOOKUP(School_Code&amp;"Hispanic/Latino",School_Data,111,FALSE)))</f>
        <v>--</v>
      </c>
      <c r="D124" s="189" t="str">
        <f>IF(ISERROR(VLOOKUP(School_Code&amp;"Hispanic/Latino",School_Data,112,FALSE)),"",(VLOOKUP(School_Code&amp;"Hispanic/Latino",School_Data,112,FALSE)))</f>
        <v>--</v>
      </c>
      <c r="E124" s="154" t="str">
        <f>IF(ISERROR(VLOOKUP(School_Code&amp;"Hispanic/Latino",School_Data,113,FALSE)),"",(VLOOKUP(School_Code&amp;"Hispanic/Latino",School_Data,113,FALSE)))</f>
        <v>--</v>
      </c>
      <c r="F124" s="189" t="str">
        <f>IF(ISERROR(VLOOKUP(School_Code&amp;"Hispanic/Latino",School_Data,114,FALSE)),"",(VLOOKUP(School_Code&amp;"Hispanic/Latino",School_Data,114,FALSE)))</f>
        <v>--</v>
      </c>
      <c r="G124" s="189">
        <f>IF(ISERROR(VLOOKUP(School_Code&amp;"Hispanic/Latino",School_Data,115,FALSE)),"",(VLOOKUP(School_Code&amp;"Hispanic/Latino",School_Data,115,FALSE)))</f>
        <v>0</v>
      </c>
      <c r="H124" s="79" t="str">
        <f>IF(ISERROR(VLOOKUP(School_Code&amp;"Hispanic/Latino",School_Data,116,FALSE)),"",(VLOOKUP(School_Code&amp;"Hispanic/Latino",School_Data,116,FALSE)))</f>
        <v>TBD</v>
      </c>
      <c r="I124" s="135"/>
      <c r="J124" s="79" t="str">
        <f>IF(ISERROR(VLOOKUP(School_Code&amp;"Hispanic/Latino",School_Data,117,FALSE)),"",(VLOOKUP(School_Code&amp;"Hispanic/Latino",School_Data,117,FALSE)))</f>
        <v>TBD</v>
      </c>
      <c r="K124" s="79" t="str">
        <f>IF(ISERROR(VLOOKUP(School_Code&amp;"Hispanic/Latino",School_Data,118,FALSE)),"",(VLOOKUP(School_Code&amp;"Hispanic/Latino",School_Data,118,FALSE)))</f>
        <v>TBD</v>
      </c>
      <c r="L124" s="80" t="str">
        <f>IF(ISERROR(VLOOKUP(School_Code&amp;"Hispanic/Latino",School_Data,119,FALSE)),"",(VLOOKUP(School_Code&amp;"Hispanic/Latino",School_Data,119,FALSE)))</f>
        <v>TBD</v>
      </c>
      <c r="M124" s="285"/>
    </row>
    <row r="125" spans="2:13" s="16" customFormat="1" ht="15" customHeight="1">
      <c r="B125" s="77" t="s">
        <v>33</v>
      </c>
      <c r="C125" s="153" t="str">
        <f>IF(ISERROR(VLOOKUP(School_Code&amp;"Multi-race, Non-Hisp./Lat.",School_Data,111,FALSE)),"",(VLOOKUP(School_Code&amp;"Multi-race, Non-Hisp./Lat.",School_Data,111,FALSE)))</f>
        <v>--</v>
      </c>
      <c r="D125" s="189" t="str">
        <f>IF(ISERROR(VLOOKUP(School_Code&amp;"Multi-race, Non-Hisp./Lat.",School_Data,112,FALSE)),"",(VLOOKUP(School_Code&amp;"Multi-race, Non-Hisp./Lat.",School_Data,112,FALSE)))</f>
        <v>--</v>
      </c>
      <c r="E125" s="154" t="str">
        <f>IF(ISERROR(VLOOKUP(School_Code&amp;"Multi-race, Non-Hisp./Lat.",School_Data,113,FALSE)),"",(VLOOKUP(School_Code&amp;"Multi-race, Non-Hisp./Lat.",School_Data,113,FALSE)))</f>
        <v>--</v>
      </c>
      <c r="F125" s="189" t="str">
        <f>IF(ISERROR(VLOOKUP(School_Code&amp;"Multi-race, Non-Hisp./Lat.",School_Data,114,FALSE)),"",(VLOOKUP(School_Code&amp;"Multi-race, Non-Hisp./Lat.",School_Data,114,FALSE)))</f>
        <v>--</v>
      </c>
      <c r="G125" s="189" t="str">
        <f>IF(ISERROR(VLOOKUP(School_Code&amp;"Multi-race, Non-Hisp./Lat.",School_Data,115,FALSE)),"",(VLOOKUP(School_Code&amp;"Multi-race, Non-Hisp./Lat.",School_Data,115,FALSE)))</f>
        <v>--</v>
      </c>
      <c r="H125" s="79" t="str">
        <f>IF(ISERROR(VLOOKUP(School_Code&amp;"Multi-race, Non-Hisp./Lat.",School_Data,116,FALSE)),"",(VLOOKUP(School_Code&amp;"Multi-race, Non-Hisp./Lat.",School_Data,116,FALSE)))</f>
        <v>--</v>
      </c>
      <c r="I125" s="135"/>
      <c r="J125" s="79" t="str">
        <f>IF(ISERROR(VLOOKUP(School_Code&amp;"Multi-race, Non-Hisp./Lat.",School_Data,117,FALSE)),"",(VLOOKUP(School_Code&amp;"Multi-race, Non-Hisp./Lat.",School_Data,117,FALSE)))</f>
        <v>--</v>
      </c>
      <c r="K125" s="79" t="str">
        <f>IF(ISERROR(VLOOKUP(School_Code&amp;"Multi-race, Non-Hisp./Lat.",School_Data,118,FALSE)),"",(VLOOKUP(School_Code&amp;"Multi-race, Non-Hisp./Lat.",School_Data,118,FALSE)))</f>
        <v>--</v>
      </c>
      <c r="L125" s="80" t="str">
        <f>IF(ISERROR(VLOOKUP(School_Code&amp;"Multi-race, Non-Hisp./Lat.",School_Data,119,FALSE)),"",(VLOOKUP(School_Code&amp;"Multi-race, Non-Hisp./Lat.",School_Data,119,FALSE)))</f>
        <v>--</v>
      </c>
      <c r="M125" s="285"/>
    </row>
    <row r="126" spans="2:13" s="16" customFormat="1" ht="15" customHeight="1">
      <c r="B126" s="77" t="s">
        <v>34</v>
      </c>
      <c r="C126" s="153" t="str">
        <f>IF(ISERROR(VLOOKUP(School_Code&amp;"Nat. Haw. or Pacif. Isl.",School_Data,111,FALSE)),"",(VLOOKUP(School_Code&amp;"Nat. Haw. or Pacif. Isl.",School_Data,111,FALSE)))</f>
        <v>--</v>
      </c>
      <c r="D126" s="189" t="str">
        <f>IF(ISERROR(VLOOKUP(School_Code&amp;"Nat. Haw. or Pacif. Isl.",School_Data,112,FALSE)),"",(VLOOKUP(School_Code&amp;"Nat. Haw. or Pacif. Isl.",School_Data,112,FALSE)))</f>
        <v>--</v>
      </c>
      <c r="E126" s="154" t="str">
        <f>IF(ISERROR(VLOOKUP(School_Code&amp;"Nat. Haw. or Pacif. Isl.",School_Data,113,FALSE)),"",(VLOOKUP(School_Code&amp;"Nat. Haw. or Pacif. Isl.",School_Data,113,FALSE)))</f>
        <v>--</v>
      </c>
      <c r="F126" s="189" t="str">
        <f>IF(ISERROR(VLOOKUP(School_Code&amp;"Nat. Haw. or Pacif. Isl.",School_Data,114,FALSE)),"",(VLOOKUP(School_Code&amp;"Nat. Haw. or Pacif. Isl.",School_Data,114,FALSE)))</f>
        <v>--</v>
      </c>
      <c r="G126" s="189" t="str">
        <f>IF(ISERROR(VLOOKUP(School_Code&amp;"Nat. Haw. or Pacif. Isl.",School_Data,115,FALSE)),"",(VLOOKUP(School_Code&amp;"Nat. Haw. or Pacif. Isl.",School_Data,115,FALSE)))</f>
        <v>--</v>
      </c>
      <c r="H126" s="79" t="str">
        <f>IF(ISERROR(VLOOKUP(School_Code&amp;"Nat. Haw. or Pacif. Isl.",School_Data,116,FALSE)),"",(VLOOKUP(School_Code&amp;"Nat. Haw. or Pacif. Isl.",School_Data,116,FALSE)))</f>
        <v>--</v>
      </c>
      <c r="I126" s="135"/>
      <c r="J126" s="79" t="str">
        <f>IF(ISERROR(VLOOKUP(School_Code&amp;"Nat. Haw. or Pacif. Isl.",School_Data,117,FALSE)),"",(VLOOKUP(School_Code&amp;"Nat. Haw. or Pacif. Isl.",School_Data,117,FALSE)))</f>
        <v>--</v>
      </c>
      <c r="K126" s="79" t="str">
        <f>IF(ISERROR(VLOOKUP(School_Code&amp;"Nat. Haw. or Pacif. Isl.",School_Data,118,FALSE)),"",(VLOOKUP(School_Code&amp;"Nat. Haw. or Pacif. Isl.",School_Data,118,FALSE)))</f>
        <v>--</v>
      </c>
      <c r="L126" s="80" t="str">
        <f>IF(ISERROR(VLOOKUP(School_Code&amp;"Nat. Haw. or Pacif. Isl.",School_Data,119,FALSE)),"",(VLOOKUP(School_Code&amp;"Nat. Haw. or Pacif. Isl.",School_Data,119,FALSE)))</f>
        <v>--</v>
      </c>
      <c r="M126" s="285"/>
    </row>
    <row r="127" spans="2:13" s="16" customFormat="1" ht="15" customHeight="1">
      <c r="B127" s="78" t="s">
        <v>35</v>
      </c>
      <c r="C127" s="191" t="str">
        <f>IF(ISERROR(VLOOKUP(School_Code&amp;"White",School_Data,111,FALSE)),"",(VLOOKUP(School_Code&amp;"White",School_Data,111,FALSE)))</f>
        <v>--</v>
      </c>
      <c r="D127" s="192" t="str">
        <f>IF(ISERROR(VLOOKUP(School_Code&amp;"White",School_Data,112,FALSE)),"",(VLOOKUP(School_Code&amp;"White",School_Data,112,FALSE)))</f>
        <v>--</v>
      </c>
      <c r="E127" s="193" t="str">
        <f>IF(ISERROR(VLOOKUP(School_Code&amp;"White",School_Data,113,FALSE)),"",(VLOOKUP(School_Code&amp;"White",School_Data,113,FALSE)))</f>
        <v>--</v>
      </c>
      <c r="F127" s="192" t="str">
        <f>IF(ISERROR(VLOOKUP(School_Code&amp;"White",School_Data,114,FALSE)),"",(VLOOKUP(School_Code&amp;"White",School_Data,114,FALSE)))</f>
        <v>--</v>
      </c>
      <c r="G127" s="192" t="str">
        <f>IF(ISERROR(VLOOKUP(School_Code&amp;"White",School_Data,115,FALSE)),"",(VLOOKUP(School_Code&amp;"White",School_Data,115,FALSE)))</f>
        <v>--</v>
      </c>
      <c r="H127" s="81" t="str">
        <f>IF(ISERROR(VLOOKUP(School_Code&amp;"White",School_Data,116,FALSE)),"",(VLOOKUP(School_Code&amp;"White",School_Data,116,FALSE)))</f>
        <v>--</v>
      </c>
      <c r="I127" s="81"/>
      <c r="J127" s="81" t="str">
        <f>IF(ISERROR(VLOOKUP(School_Code&amp;"White",School_Data,117,FALSE)),"",(VLOOKUP(School_Code&amp;"White",School_Data,117,FALSE)))</f>
        <v>--</v>
      </c>
      <c r="K127" s="81" t="str">
        <f>IF(ISERROR(VLOOKUP(School_Code&amp;"White",School_Data,118,FALSE)),"",(VLOOKUP(School_Code&amp;"White",School_Data,118,FALSE)))</f>
        <v>--</v>
      </c>
      <c r="L127" s="82" t="str">
        <f>IF(ISERROR(VLOOKUP(School_Code&amp;"White",School_Data,119,FALSE)),"",(VLOOKUP(School_Code&amp;"White",School_Data,119,FALSE)))</f>
        <v>--</v>
      </c>
      <c r="M127" s="286"/>
    </row>
    <row r="128" spans="2:13" s="16" customFormat="1" ht="38.25">
      <c r="B128" s="242" t="s">
        <v>276</v>
      </c>
      <c r="C128" s="287" t="str">
        <f>IF(ISERROR(VLOOKUP(School_Code&amp;"All students",School_Data,120,FALSE)),"",(VLOOKUP(School_Code&amp;"All students",School_Data,120,FALSE)))</f>
        <v>--</v>
      </c>
      <c r="D128" s="289" t="str">
        <f>IF(ISERROR(VLOOKUP(School_Code&amp;"All students",School_Data,121,FALSE)),"",(VLOOKUP(School_Code&amp;"All students",School_Data,121,FALSE)))</f>
        <v>--</v>
      </c>
      <c r="E128" s="291" t="str">
        <f>IF(ISERROR(VLOOKUP(School_Code&amp;"All students",School_Data,122,FALSE)),"",(VLOOKUP(School_Code&amp;"All students",School_Data,122,FALSE)))</f>
        <v>--</v>
      </c>
      <c r="F128" s="289" t="str">
        <f>IF(ISERROR(VLOOKUP(School_Code&amp;"All students",School_Data,123,FALSE)),"",(VLOOKUP(School_Code&amp;"All students",School_Data,123,FALSE)))</f>
        <v>--</v>
      </c>
      <c r="G128" s="289">
        <f>IF(ISERROR(VLOOKUP(School_Code&amp;"All students",School_Data,124,FALSE)),"",(VLOOKUP(School_Code&amp;"All students",School_Data,124,FALSE)))</f>
        <v>1.3</v>
      </c>
      <c r="H128" s="281" t="str">
        <f>IF(ISERROR(VLOOKUP(School_Code&amp;"All students",School_Data,125,FALSE)),"",(VLOOKUP(School_Code&amp;"All students",School_Data,125,FALSE)))</f>
        <v>TBD</v>
      </c>
      <c r="I128" s="134"/>
      <c r="J128" s="281" t="str">
        <f>IF(ISERROR(VLOOKUP(School_Code&amp;"All students",School_Data,126,FALSE)),"",(VLOOKUP(School_Code&amp;"All students",School_Data,126,FALSE)))</f>
        <v>TBD</v>
      </c>
      <c r="K128" s="281" t="str">
        <f>IF(ISERROR(VLOOKUP(School_Code&amp;"All students",School_Data,127,FALSE)),"",(VLOOKUP(School_Code&amp;"All students",School_Data,127,FALSE)))</f>
        <v>TBD</v>
      </c>
      <c r="L128" s="283" t="str">
        <f>IF(ISERROR(VLOOKUP(School_Code&amp;"All students",School_Data,128,FALSE)),"",(VLOOKUP(School_Code&amp;"All students",School_Data,128,FALSE)))</f>
        <v>TBD</v>
      </c>
      <c r="M128" s="285"/>
    </row>
    <row r="129" spans="2:13" s="16" customFormat="1" ht="25.5" hidden="1">
      <c r="B129" s="13" t="s">
        <v>24</v>
      </c>
      <c r="C129" s="288"/>
      <c r="D129" s="290"/>
      <c r="E129" s="292"/>
      <c r="F129" s="290"/>
      <c r="G129" s="290"/>
      <c r="H129" s="282"/>
      <c r="I129" s="135"/>
      <c r="J129" s="282"/>
      <c r="K129" s="282"/>
      <c r="L129" s="284"/>
      <c r="M129" s="285"/>
    </row>
    <row r="130" spans="2:13" s="16" customFormat="1" ht="15" customHeight="1">
      <c r="B130" s="77" t="s">
        <v>25</v>
      </c>
      <c r="C130" s="153" t="str">
        <f>IF(ISERROR(VLOOKUP(School_Code&amp;"High needs",School_Data,120,FALSE)),"",(VLOOKUP(School_Code&amp;"High needs",School_Data,120,FALSE)))</f>
        <v>--</v>
      </c>
      <c r="D130" s="189" t="str">
        <f>IF(ISERROR(VLOOKUP(School_Code&amp;"High needs",School_Data,121,FALSE)),"",(VLOOKUP(School_Code&amp;"High needs",School_Data,121,FALSE)))</f>
        <v>--</v>
      </c>
      <c r="E130" s="154" t="str">
        <f>IF(ISERROR(VLOOKUP(School_Code&amp;"High needs",School_Data,122,FALSE)),"",(VLOOKUP(School_Code&amp;"High needs",School_Data,122,FALSE)))</f>
        <v>--</v>
      </c>
      <c r="F130" s="189" t="str">
        <f>IF(ISERROR(VLOOKUP(School_Code&amp;"High needs",School_Data,123,FALSE)),"",(VLOOKUP(School_Code&amp;"High needs",School_Data,123,FALSE)))</f>
        <v>--</v>
      </c>
      <c r="G130" s="189">
        <f>IF(ISERROR(VLOOKUP(School_Code&amp;"High needs",School_Data,124,FALSE)),"",(VLOOKUP(School_Code&amp;"High needs",School_Data,124,FALSE)))</f>
        <v>1.3</v>
      </c>
      <c r="H130" s="79" t="str">
        <f>IF(ISERROR(VLOOKUP(School_Code&amp;"High needs",School_Data,125,FALSE)),"",(VLOOKUP(School_Code&amp;"High needs",School_Data,125,FALSE)))</f>
        <v>TBD</v>
      </c>
      <c r="I130" s="135"/>
      <c r="J130" s="79" t="str">
        <f>IF(ISERROR(VLOOKUP(School_Code&amp;"High needs",School_Data,126,FALSE)),"",(VLOOKUP(School_Code&amp;"High needs",School_Data,126,FALSE)))</f>
        <v>TBD</v>
      </c>
      <c r="K130" s="79" t="str">
        <f>IF(ISERROR(VLOOKUP(School_Code&amp;"High needs",School_Data,127,FALSE)),"",(VLOOKUP(School_Code&amp;"High needs",School_Data,127,FALSE)))</f>
        <v>TBD</v>
      </c>
      <c r="L130" s="80" t="str">
        <f>IF(ISERROR(VLOOKUP(School_Code&amp;"High needs",School_Data,128,FALSE)),"",(VLOOKUP(School_Code&amp;"High needs",School_Data,128,FALSE)))</f>
        <v>TBD</v>
      </c>
      <c r="M130" s="285"/>
    </row>
    <row r="131" spans="2:13" s="16" customFormat="1" ht="15" customHeight="1">
      <c r="B131" s="77" t="s">
        <v>26</v>
      </c>
      <c r="C131" s="153" t="str">
        <f>IF(ISERROR(VLOOKUP(School_Code&amp;"Low income",School_Data,120,FALSE)),"",(VLOOKUP(School_Code&amp;"Low income",School_Data,120,FALSE)))</f>
        <v>--</v>
      </c>
      <c r="D131" s="189" t="str">
        <f>IF(ISERROR(VLOOKUP(School_Code&amp;"Low income",School_Data,121,FALSE)),"",(VLOOKUP(School_Code&amp;"Low income",School_Data,121,FALSE)))</f>
        <v>--</v>
      </c>
      <c r="E131" s="154" t="str">
        <f>IF(ISERROR(VLOOKUP(School_Code&amp;"Low income",School_Data,122,FALSE)),"",(VLOOKUP(School_Code&amp;"Low income",School_Data,122,FALSE)))</f>
        <v>--</v>
      </c>
      <c r="F131" s="189" t="str">
        <f>IF(ISERROR(VLOOKUP(School_Code&amp;"Low income",School_Data,123,FALSE)),"",(VLOOKUP(School_Code&amp;"Low income",School_Data,123,FALSE)))</f>
        <v>--</v>
      </c>
      <c r="G131" s="189">
        <f>IF(ISERROR(VLOOKUP(School_Code&amp;"Low income",School_Data,124,FALSE)),"",(VLOOKUP(School_Code&amp;"Low income",School_Data,124,FALSE)))</f>
        <v>1.3</v>
      </c>
      <c r="H131" s="79" t="str">
        <f>IF(ISERROR(VLOOKUP(School_Code&amp;"Low income",School_Data,125,FALSE)),"",(VLOOKUP(School_Code&amp;"Low income",School_Data,125,FALSE)))</f>
        <v>TBD</v>
      </c>
      <c r="I131" s="135"/>
      <c r="J131" s="79" t="str">
        <f>IF(ISERROR(VLOOKUP(School_Code&amp;"Low income",School_Data,126,FALSE)),"",(VLOOKUP(School_Code&amp;"Low income",School_Data,126,FALSE)))</f>
        <v>TBD</v>
      </c>
      <c r="K131" s="79" t="str">
        <f>IF(ISERROR(VLOOKUP(School_Code&amp;"Low income",School_Data,127,FALSE)),"",(VLOOKUP(School_Code&amp;"Low income",School_Data,127,FALSE)))</f>
        <v>TBD</v>
      </c>
      <c r="L131" s="80" t="str">
        <f>IF(ISERROR(VLOOKUP(School_Code&amp;"Low income",School_Data,128,FALSE)),"",(VLOOKUP(School_Code&amp;"Low income",School_Data,128,FALSE)))</f>
        <v>TBD</v>
      </c>
      <c r="M131" s="285"/>
    </row>
    <row r="132" spans="2:13" s="16" customFormat="1" ht="15" customHeight="1">
      <c r="B132" s="77" t="s">
        <v>27</v>
      </c>
      <c r="C132" s="153" t="str">
        <f>IF(ISERROR(VLOOKUP(School_Code&amp;"ELL and Former ELL",School_Data,120,FALSE)),"",(VLOOKUP(School_Code&amp;"ELL and Former ELL",School_Data,120,FALSE)))</f>
        <v>--</v>
      </c>
      <c r="D132" s="189" t="str">
        <f>IF(ISERROR(VLOOKUP(School_Code&amp;"ELL and Former ELL",School_Data,121,FALSE)),"",(VLOOKUP(School_Code&amp;"ELL and Former ELL",School_Data,121,FALSE)))</f>
        <v>--</v>
      </c>
      <c r="E132" s="154" t="str">
        <f>IF(ISERROR(VLOOKUP(School_Code&amp;"ELL and Former ELL",School_Data,122,FALSE)),"",(VLOOKUP(School_Code&amp;"ELL and Former ELL",School_Data,122,FALSE)))</f>
        <v>--</v>
      </c>
      <c r="F132" s="189" t="str">
        <f>IF(ISERROR(VLOOKUP(School_Code&amp;"ELL and Former ELL",School_Data,123,FALSE)),"",(VLOOKUP(School_Code&amp;"ELL and Former ELL",School_Data,123,FALSE)))</f>
        <v>--</v>
      </c>
      <c r="G132" s="189">
        <f>IF(ISERROR(VLOOKUP(School_Code&amp;"ELL and Former ELL",School_Data,124,FALSE)),"",(VLOOKUP(School_Code&amp;"ELL and Former ELL",School_Data,124,FALSE)))</f>
        <v>0.9</v>
      </c>
      <c r="H132" s="79" t="str">
        <f>IF(ISERROR(VLOOKUP(School_Code&amp;"ELL and Former ELL",School_Data,125,FALSE)),"",(VLOOKUP(School_Code&amp;"ELL and Former ELL",School_Data,125,FALSE)))</f>
        <v>TBD</v>
      </c>
      <c r="I132" s="135"/>
      <c r="J132" s="79" t="str">
        <f>IF(ISERROR(VLOOKUP(School_Code&amp;"ELL and Former ELL",School_Data,126,FALSE)),"",(VLOOKUP(School_Code&amp;"ELL and Former ELL",School_Data,126,FALSE)))</f>
        <v>TBD</v>
      </c>
      <c r="K132" s="79" t="str">
        <f>IF(ISERROR(VLOOKUP(School_Code&amp;"ELL and Former ELL",School_Data,127,FALSE)),"",(VLOOKUP(School_Code&amp;"ELL and Former ELL",School_Data,127,FALSE)))</f>
        <v>TBD</v>
      </c>
      <c r="L132" s="80" t="str">
        <f>IF(ISERROR(VLOOKUP(School_Code&amp;"ELL and Former ELL",School_Data,128,FALSE)),"",(VLOOKUP(School_Code&amp;"ELL and Former ELL",School_Data,128,FALSE)))</f>
        <v>TBD</v>
      </c>
      <c r="M132" s="285"/>
    </row>
    <row r="133" spans="2:13" s="16" customFormat="1" ht="15" customHeight="1">
      <c r="B133" s="77" t="s">
        <v>28</v>
      </c>
      <c r="C133" s="153" t="str">
        <f>IF(ISERROR(VLOOKUP(School_Code&amp;"Students w/disabilities",School_Data,120,FALSE)),"",(VLOOKUP(School_Code&amp;"Students w/disabilities",School_Data,120,FALSE)))</f>
        <v>--</v>
      </c>
      <c r="D133" s="189" t="str">
        <f>IF(ISERROR(VLOOKUP(School_Code&amp;"Students w/disabilities",School_Data,121,FALSE)),"",(VLOOKUP(School_Code&amp;"Students w/disabilities",School_Data,121,FALSE)))</f>
        <v>--</v>
      </c>
      <c r="E133" s="154" t="str">
        <f>IF(ISERROR(VLOOKUP(School_Code&amp;"Students w/disabilities",School_Data,122,FALSE)),"",(VLOOKUP(School_Code&amp;"Students w/disabilities",School_Data,122,FALSE)))</f>
        <v>--</v>
      </c>
      <c r="F133" s="189" t="str">
        <f>IF(ISERROR(VLOOKUP(School_Code&amp;"Students w/disabilities",School_Data,123,FALSE)),"",(VLOOKUP(School_Code&amp;"Students w/disabilities",School_Data,123,FALSE)))</f>
        <v>--</v>
      </c>
      <c r="G133" s="189">
        <f>IF(ISERROR(VLOOKUP(School_Code&amp;"Students w/disabilities",School_Data,124,FALSE)),"",(VLOOKUP(School_Code&amp;"Students w/disabilities",School_Data,124,FALSE)))</f>
        <v>0</v>
      </c>
      <c r="H133" s="79" t="str">
        <f>IF(ISERROR(VLOOKUP(School_Code&amp;"Students w/disabilities",School_Data,125,FALSE)),"",(VLOOKUP(School_Code&amp;"Students w/disabilities",School_Data,125,FALSE)))</f>
        <v>TBD</v>
      </c>
      <c r="I133" s="135"/>
      <c r="J133" s="79" t="str">
        <f>IF(ISERROR(VLOOKUP(School_Code&amp;"Students w/disabilities",School_Data,126,FALSE)),"",(VLOOKUP(School_Code&amp;"Students w/disabilities",School_Data,126,FALSE)))</f>
        <v>TBD</v>
      </c>
      <c r="K133" s="79" t="str">
        <f>IF(ISERROR(VLOOKUP(School_Code&amp;"Students w/disabilities",School_Data,127,FALSE)),"",(VLOOKUP(School_Code&amp;"Students w/disabilities",School_Data,127,FALSE)))</f>
        <v>TBD</v>
      </c>
      <c r="L133" s="80" t="str">
        <f>IF(ISERROR(VLOOKUP(School_Code&amp;"Students w/disabilities",School_Data,128,FALSE)),"",(VLOOKUP(School_Code&amp;"Students w/disabilities",School_Data,128,FALSE)))</f>
        <v>TBD</v>
      </c>
      <c r="M133" s="285"/>
    </row>
    <row r="134" spans="2:13" s="16" customFormat="1" ht="15" customHeight="1">
      <c r="B134" s="77" t="s">
        <v>29</v>
      </c>
      <c r="C134" s="153" t="str">
        <f>IF(ISERROR(VLOOKUP(School_Code&amp;"Amer. Ind. or Alaska Nat.",School_Data,120,FALSE)),"",(VLOOKUP(School_Code&amp;"Amer. Ind. or Alaska Nat.",School_Data,120,FALSE)))</f>
        <v>--</v>
      </c>
      <c r="D134" s="189" t="str">
        <f>IF(ISERROR(VLOOKUP(School_Code&amp;"Amer. Ind. or Alaska Nat.",School_Data,121,FALSE)),"",(VLOOKUP(School_Code&amp;"Amer. Ind. or Alaska Nat.",School_Data,121,FALSE)))</f>
        <v>--</v>
      </c>
      <c r="E134" s="154" t="str">
        <f>IF(ISERROR(VLOOKUP(School_Code&amp;"Amer. Ind. or Alaska Nat.",School_Data,122,FALSE)),"",(VLOOKUP(School_Code&amp;"Amer. Ind. or Alaska Nat.",School_Data,122,FALSE)))</f>
        <v>--</v>
      </c>
      <c r="F134" s="189" t="str">
        <f>IF(ISERROR(VLOOKUP(School_Code&amp;"Amer. Ind. or Alaska Nat.",School_Data,123,FALSE)),"",(VLOOKUP(School_Code&amp;"Amer. Ind. or Alaska Nat.",School_Data,123,FALSE)))</f>
        <v>--</v>
      </c>
      <c r="G134" s="189" t="str">
        <f>IF(ISERROR(VLOOKUP(School_Code&amp;"Amer. Ind. or Alaska Nat.",School_Data,124,FALSE)),"",(VLOOKUP(School_Code&amp;"Amer. Ind. or Alaska Nat.",School_Data,124,FALSE)))</f>
        <v>--</v>
      </c>
      <c r="H134" s="79" t="str">
        <f>IF(ISERROR(VLOOKUP(School_Code&amp;"Amer. Ind. or Alaska Nat.",School_Data,125,FALSE)),"",(VLOOKUP(School_Code&amp;"Amer. Ind. or Alaska Nat.",School_Data,125,FALSE)))</f>
        <v>--</v>
      </c>
      <c r="I134" s="135"/>
      <c r="J134" s="79" t="str">
        <f>IF(ISERROR(VLOOKUP(School_Code&amp;"Amer. Ind. or Alaska Nat.",School_Data,126,FALSE)),"",(VLOOKUP(School_Code&amp;"Amer. Ind. or Alaska Nat.",School_Data,126,FALSE)))</f>
        <v>--</v>
      </c>
      <c r="K134" s="79" t="str">
        <f>IF(ISERROR(VLOOKUP(School_Code&amp;"Amer. Ind. or Alaska Nat.",School_Data,127,FALSE)),"",(VLOOKUP(School_Code&amp;"Amer. Ind. or Alaska Nat.",School_Data,127,FALSE)))</f>
        <v>--</v>
      </c>
      <c r="L134" s="80" t="str">
        <f>IF(ISERROR(VLOOKUP(School_Code&amp;"Amer. Ind. or Alaska Nat.",School_Data,128,FALSE)),"",(VLOOKUP(School_Code&amp;"Amer. Ind. or Alaska Nat.",School_Data,128,FALSE)))</f>
        <v>--</v>
      </c>
      <c r="M134" s="285"/>
    </row>
    <row r="135" spans="2:13" s="16" customFormat="1" ht="15" customHeight="1">
      <c r="B135" s="77" t="s">
        <v>30</v>
      </c>
      <c r="C135" s="153" t="str">
        <f>IF(ISERROR(VLOOKUP(School_Code&amp;"Asian",School_Data,120,FALSE)),"",(VLOOKUP(School_Code&amp;"Asian",School_Data,120,FALSE)))</f>
        <v>--</v>
      </c>
      <c r="D135" s="189" t="str">
        <f>IF(ISERROR(VLOOKUP(School_Code&amp;"Asian",School_Data,121,FALSE)),"",(VLOOKUP(School_Code&amp;"Asian",School_Data,121,FALSE)))</f>
        <v>--</v>
      </c>
      <c r="E135" s="154" t="str">
        <f>IF(ISERROR(VLOOKUP(School_Code&amp;"Asian",School_Data,122,FALSE)),"",(VLOOKUP(School_Code&amp;"Asian",School_Data,122,FALSE)))</f>
        <v>--</v>
      </c>
      <c r="F135" s="189" t="str">
        <f>IF(ISERROR(VLOOKUP(School_Code&amp;"Asian",School_Data,123,FALSE)),"",(VLOOKUP(School_Code&amp;"Asian",School_Data,123,FALSE)))</f>
        <v>--</v>
      </c>
      <c r="G135" s="189" t="str">
        <f>IF(ISERROR(VLOOKUP(School_Code&amp;"Asian",School_Data,124,FALSE)),"",(VLOOKUP(School_Code&amp;"Asian",School_Data,124,FALSE)))</f>
        <v>--</v>
      </c>
      <c r="H135" s="79" t="str">
        <f>IF(ISERROR(VLOOKUP(School_Code&amp;"Asian",School_Data,125,FALSE)),"",(VLOOKUP(School_Code&amp;"Asian",School_Data,125,FALSE)))</f>
        <v>--</v>
      </c>
      <c r="I135" s="135"/>
      <c r="J135" s="79" t="str">
        <f>IF(ISERROR(VLOOKUP(School_Code&amp;"Asian",School_Data,126,FALSE)),"",(VLOOKUP(School_Code&amp;"Asian",School_Data,126,FALSE)))</f>
        <v>--</v>
      </c>
      <c r="K135" s="79" t="str">
        <f>IF(ISERROR(VLOOKUP(School_Code&amp;"Asian",School_Data,127,FALSE)),"",(VLOOKUP(School_Code&amp;"Asian",School_Data,127,FALSE)))</f>
        <v>--</v>
      </c>
      <c r="L135" s="80" t="str">
        <f>IF(ISERROR(VLOOKUP(School_Code&amp;"Asian",School_Data,128,FALSE)),"",(VLOOKUP(School_Code&amp;"Asian",School_Data,128,FALSE)))</f>
        <v>--</v>
      </c>
      <c r="M135" s="285"/>
    </row>
    <row r="136" spans="2:13" s="16" customFormat="1" ht="15" customHeight="1">
      <c r="B136" s="77" t="s">
        <v>45</v>
      </c>
      <c r="C136" s="153" t="str">
        <f>IF(ISERROR(VLOOKUP(School_Code&amp;"Afr. Amer/Black",School_Data,120,FALSE)),"",(VLOOKUP(School_Code&amp;"Afr. Amer/Black",School_Data,120,FALSE)))</f>
        <v>--</v>
      </c>
      <c r="D136" s="189" t="str">
        <f>IF(ISERROR(VLOOKUP(School_Code&amp;"Afr. Amer/Black",School_Data,121,FALSE)),"",(VLOOKUP(School_Code&amp;"Afr. Amer/Black",School_Data,121,FALSE)))</f>
        <v>--</v>
      </c>
      <c r="E136" s="154" t="str">
        <f>IF(ISERROR(VLOOKUP(School_Code&amp;"Afr. Amer/Black",School_Data,122,FALSE)),"",(VLOOKUP(School_Code&amp;"Afr. Amer/Black",School_Data,122,FALSE)))</f>
        <v>--</v>
      </c>
      <c r="F136" s="189" t="str">
        <f>IF(ISERROR(VLOOKUP(School_Code&amp;"Afr. Amer/Black",School_Data,123,FALSE)),"",(VLOOKUP(School_Code&amp;"Afr. Amer/Black",School_Data,123,FALSE)))</f>
        <v>--</v>
      </c>
      <c r="G136" s="189" t="str">
        <f>IF(ISERROR(VLOOKUP(School_Code&amp;"Afr. Amer/Black",School_Data,124,FALSE)),"",(VLOOKUP(School_Code&amp;"Afr. Amer/Black",School_Data,124,FALSE)))</f>
        <v>--</v>
      </c>
      <c r="H136" s="79" t="str">
        <f>IF(ISERROR(VLOOKUP(School_Code&amp;"Afr. Amer/Black",School_Data,125,FALSE)),"",(VLOOKUP(School_Code&amp;"Afr. Amer/Black",School_Data,125,FALSE)))</f>
        <v>--</v>
      </c>
      <c r="I136" s="135"/>
      <c r="J136" s="79" t="str">
        <f>IF(ISERROR(VLOOKUP(School_Code&amp;"Afr. Amer/Black",School_Data,126,FALSE)),"",(VLOOKUP(School_Code&amp;"Afr. Amer/Black",School_Data,126,FALSE)))</f>
        <v>--</v>
      </c>
      <c r="K136" s="79" t="str">
        <f>IF(ISERROR(VLOOKUP(School_Code&amp;"Afr. Amer/Black",School_Data,127,FALSE)),"",(VLOOKUP(School_Code&amp;"Afr. Amer/Black",School_Data,127,FALSE)))</f>
        <v>--</v>
      </c>
      <c r="L136" s="80" t="str">
        <f>IF(ISERROR(VLOOKUP(School_Code&amp;"Afr. Amer/Black",School_Data,128,FALSE)),"",(VLOOKUP(School_Code&amp;"Afr. Amer/Black",School_Data,128,FALSE)))</f>
        <v>--</v>
      </c>
      <c r="M136" s="285"/>
    </row>
    <row r="137" spans="2:13" s="16" customFormat="1" ht="15" customHeight="1">
      <c r="B137" s="77" t="s">
        <v>32</v>
      </c>
      <c r="C137" s="153" t="str">
        <f>IF(ISERROR(VLOOKUP(School_Code&amp;"Hispanic/Latino",School_Data,120,FALSE)),"",(VLOOKUP(School_Code&amp;"Hispanic/Latino",School_Data,120,FALSE)))</f>
        <v>--</v>
      </c>
      <c r="D137" s="189" t="str">
        <f>IF(ISERROR(VLOOKUP(School_Code&amp;"Hispanic/Latino",School_Data,121,FALSE)),"",(VLOOKUP(School_Code&amp;"Hispanic/Latino",School_Data,121,FALSE)))</f>
        <v>--</v>
      </c>
      <c r="E137" s="154" t="str">
        <f>IF(ISERROR(VLOOKUP(School_Code&amp;"Hispanic/Latino",School_Data,122,FALSE)),"",(VLOOKUP(School_Code&amp;"Hispanic/Latino",School_Data,122,FALSE)))</f>
        <v>--</v>
      </c>
      <c r="F137" s="189" t="str">
        <f>IF(ISERROR(VLOOKUP(School_Code&amp;"Hispanic/Latino",School_Data,123,FALSE)),"",(VLOOKUP(School_Code&amp;"Hispanic/Latino",School_Data,123,FALSE)))</f>
        <v>--</v>
      </c>
      <c r="G137" s="189">
        <f>IF(ISERROR(VLOOKUP(School_Code&amp;"Hispanic/Latino",School_Data,124,FALSE)),"",(VLOOKUP(School_Code&amp;"Hispanic/Latino",School_Data,124,FALSE)))</f>
        <v>0.9</v>
      </c>
      <c r="H137" s="79" t="str">
        <f>IF(ISERROR(VLOOKUP(School_Code&amp;"Hispanic/Latino",School_Data,125,FALSE)),"",(VLOOKUP(School_Code&amp;"Hispanic/Latino",School_Data,125,FALSE)))</f>
        <v>TBD</v>
      </c>
      <c r="I137" s="135"/>
      <c r="J137" s="79" t="str">
        <f>IF(ISERROR(VLOOKUP(School_Code&amp;"Hispanic/Latino",School_Data,126,FALSE)),"",(VLOOKUP(School_Code&amp;"Hispanic/Latino",School_Data,126,FALSE)))</f>
        <v>TBD</v>
      </c>
      <c r="K137" s="79" t="str">
        <f>IF(ISERROR(VLOOKUP(School_Code&amp;"Hispanic/Latino",School_Data,127,FALSE)),"",(VLOOKUP(School_Code&amp;"Hispanic/Latino",School_Data,127,FALSE)))</f>
        <v>TBD</v>
      </c>
      <c r="L137" s="80" t="str">
        <f>IF(ISERROR(VLOOKUP(School_Code&amp;"Hispanic/Latino",School_Data,128,FALSE)),"",(VLOOKUP(School_Code&amp;"Hispanic/Latino",School_Data,128,FALSE)))</f>
        <v>TBD</v>
      </c>
      <c r="M137" s="285"/>
    </row>
    <row r="138" spans="2:13" s="16" customFormat="1" ht="15" customHeight="1">
      <c r="B138" s="77" t="s">
        <v>33</v>
      </c>
      <c r="C138" s="153" t="str">
        <f>IF(ISERROR(VLOOKUP(School_Code&amp;"Multi-race, Non-Hisp./Lat.",School_Data,120,FALSE)),"",(VLOOKUP(School_Code&amp;"Multi-race, Non-Hisp./Lat.",School_Data,120,FALSE)))</f>
        <v>--</v>
      </c>
      <c r="D138" s="189" t="str">
        <f>IF(ISERROR(VLOOKUP(School_Code&amp;"Multi-race, Non-Hisp./Lat.",School_Data,121,FALSE)),"",(VLOOKUP(School_Code&amp;"Multi-race, Non-Hisp./Lat.",School_Data,121,FALSE)))</f>
        <v>--</v>
      </c>
      <c r="E138" s="154" t="str">
        <f>IF(ISERROR(VLOOKUP(School_Code&amp;"Multi-race, Non-Hisp./Lat.",School_Data,122,FALSE)),"",(VLOOKUP(School_Code&amp;"Multi-race, Non-Hisp./Lat.",School_Data,122,FALSE)))</f>
        <v>--</v>
      </c>
      <c r="F138" s="189" t="str">
        <f>IF(ISERROR(VLOOKUP(School_Code&amp;"Multi-race, Non-Hisp./Lat.",School_Data,123,FALSE)),"",(VLOOKUP(School_Code&amp;"Multi-race, Non-Hisp./Lat.",School_Data,123,FALSE)))</f>
        <v>--</v>
      </c>
      <c r="G138" s="189" t="str">
        <f>IF(ISERROR(VLOOKUP(School_Code&amp;"Multi-race, Non-Hisp./Lat.",School_Data,124,FALSE)),"",(VLOOKUP(School_Code&amp;"Multi-race, Non-Hisp./Lat.",School_Data,124,FALSE)))</f>
        <v>--</v>
      </c>
      <c r="H138" s="79" t="str">
        <f>IF(ISERROR(VLOOKUP(School_Code&amp;"Multi-race, Non-Hisp./Lat.",School_Data,125,FALSE)),"",(VLOOKUP(School_Code&amp;"Multi-race, Non-Hisp./Lat.",School_Data,125,FALSE)))</f>
        <v>--</v>
      </c>
      <c r="I138" s="135"/>
      <c r="J138" s="79" t="str">
        <f>IF(ISERROR(VLOOKUP(School_Code&amp;"Multi-race, Non-Hisp./Lat.",School_Data,126,FALSE)),"",(VLOOKUP(School_Code&amp;"Multi-race, Non-Hisp./Lat.",School_Data,126,FALSE)))</f>
        <v>--</v>
      </c>
      <c r="K138" s="79" t="str">
        <f>IF(ISERROR(VLOOKUP(School_Code&amp;"Multi-race, Non-Hisp./Lat.",School_Data,127,FALSE)),"",(VLOOKUP(School_Code&amp;"Multi-race, Non-Hisp./Lat.",School_Data,127,FALSE)))</f>
        <v>--</v>
      </c>
      <c r="L138" s="80" t="str">
        <f>IF(ISERROR(VLOOKUP(School_Code&amp;"Multi-race, Non-Hisp./Lat.",School_Data,128,FALSE)),"",(VLOOKUP(School_Code&amp;"Multi-race, Non-Hisp./Lat.",School_Data,128,FALSE)))</f>
        <v>--</v>
      </c>
      <c r="M138" s="285"/>
    </row>
    <row r="139" spans="2:13" s="16" customFormat="1" ht="15" customHeight="1">
      <c r="B139" s="77" t="s">
        <v>34</v>
      </c>
      <c r="C139" s="153" t="str">
        <f>IF(ISERROR(VLOOKUP(School_Code&amp;"Nat. Haw. or Pacif. Isl.",School_Data,120,FALSE)),"",(VLOOKUP(School_Code&amp;"Nat. Haw. or Pacif. Isl.",School_Data,120,FALSE)))</f>
        <v>--</v>
      </c>
      <c r="D139" s="189" t="str">
        <f>IF(ISERROR(VLOOKUP(School_Code&amp;"Nat. Haw. or Pacif. Isl.",School_Data,121,FALSE)),"",(VLOOKUP(School_Code&amp;"Nat. Haw. or Pacif. Isl.",School_Data,121,FALSE)))</f>
        <v>--</v>
      </c>
      <c r="E139" s="154" t="str">
        <f>IF(ISERROR(VLOOKUP(School_Code&amp;"Nat. Haw. or Pacif. Isl.",School_Data,122,FALSE)),"",(VLOOKUP(School_Code&amp;"Nat. Haw. or Pacif. Isl.",School_Data,122,FALSE)))</f>
        <v>--</v>
      </c>
      <c r="F139" s="189" t="str">
        <f>IF(ISERROR(VLOOKUP(School_Code&amp;"Nat. Haw. or Pacif. Isl.",School_Data,123,FALSE)),"",(VLOOKUP(School_Code&amp;"Nat. Haw. or Pacif. Isl.",School_Data,123,FALSE)))</f>
        <v>--</v>
      </c>
      <c r="G139" s="189" t="str">
        <f>IF(ISERROR(VLOOKUP(School_Code&amp;"Nat. Haw. or Pacif. Isl.",School_Data,124,FALSE)),"",(VLOOKUP(School_Code&amp;"Nat. Haw. or Pacif. Isl.",School_Data,124,FALSE)))</f>
        <v>--</v>
      </c>
      <c r="H139" s="79" t="str">
        <f>IF(ISERROR(VLOOKUP(School_Code&amp;"Nat. Haw. or Pacif. Isl.",School_Data,125,FALSE)),"",(VLOOKUP(School_Code&amp;"Nat. Haw. or Pacif. Isl.",School_Data,125,FALSE)))</f>
        <v>--</v>
      </c>
      <c r="I139" s="135"/>
      <c r="J139" s="79" t="str">
        <f>IF(ISERROR(VLOOKUP(School_Code&amp;"Nat. Haw. or Pacif. Isl.",School_Data,126,FALSE)),"",(VLOOKUP(School_Code&amp;"Nat. Haw. or Pacif. Isl.",School_Data,126,FALSE)))</f>
        <v>--</v>
      </c>
      <c r="K139" s="79" t="str">
        <f>IF(ISERROR(VLOOKUP(School_Code&amp;"Nat. Haw. or Pacif. Isl.",School_Data,127,FALSE)),"",(VLOOKUP(School_Code&amp;"Nat. Haw. or Pacif. Isl.",School_Data,127,FALSE)))</f>
        <v>--</v>
      </c>
      <c r="L139" s="80" t="str">
        <f>IF(ISERROR(VLOOKUP(School_Code&amp;"Nat. Haw. or Pacif. Isl.",School_Data,128,FALSE)),"",(VLOOKUP(School_Code&amp;"Nat. Haw. or Pacif. Isl.",School_Data,128,FALSE)))</f>
        <v>--</v>
      </c>
      <c r="M139" s="285"/>
    </row>
    <row r="140" spans="2:13" s="16" customFormat="1" ht="15" customHeight="1">
      <c r="B140" s="78" t="s">
        <v>35</v>
      </c>
      <c r="C140" s="191" t="str">
        <f>IF(ISERROR(VLOOKUP(School_Code&amp;"White",School_Data,120,FALSE)),"",(VLOOKUP(School_Code&amp;"White",School_Data,120,FALSE)))</f>
        <v>--</v>
      </c>
      <c r="D140" s="192" t="str">
        <f>IF(ISERROR(VLOOKUP(School_Code&amp;"White",School_Data,121,FALSE)),"",(VLOOKUP(School_Code&amp;"White",School_Data,121,FALSE)))</f>
        <v>--</v>
      </c>
      <c r="E140" s="193" t="str">
        <f>IF(ISERROR(VLOOKUP(School_Code&amp;"White",School_Data,122,FALSE)),"",(VLOOKUP(School_Code&amp;"White",School_Data,122,FALSE)))</f>
        <v>--</v>
      </c>
      <c r="F140" s="192" t="str">
        <f>IF(ISERROR(VLOOKUP(School_Code&amp;"White",School_Data,123,FALSE)),"",(VLOOKUP(School_Code&amp;"White",School_Data,123,FALSE)))</f>
        <v>--</v>
      </c>
      <c r="G140" s="192" t="str">
        <f>IF(ISERROR(VLOOKUP(School_Code&amp;"White",School_Data,124,FALSE)),"",(VLOOKUP(School_Code&amp;"White",School_Data,124,FALSE)))</f>
        <v>--</v>
      </c>
      <c r="H140" s="81" t="str">
        <f>IF(ISERROR(VLOOKUP(School_Code&amp;"White",School_Data,125,FALSE)),"",(VLOOKUP(School_Code&amp;"White",School_Data,125,FALSE)))</f>
        <v>--</v>
      </c>
      <c r="I140" s="81"/>
      <c r="J140" s="81" t="str">
        <f>IF(ISERROR(VLOOKUP(School_Code&amp;"White",School_Data,126,FALSE)),"",(VLOOKUP(School_Code&amp;"White",School_Data,126,FALSE)))</f>
        <v>--</v>
      </c>
      <c r="K140" s="81" t="str">
        <f>IF(ISERROR(VLOOKUP(School_Code&amp;"White",School_Data,127,FALSE)),"",(VLOOKUP(School_Code&amp;"White",School_Data,127,FALSE)))</f>
        <v>--</v>
      </c>
      <c r="L140" s="82" t="str">
        <f>IF(ISERROR(VLOOKUP(School_Code&amp;"White",School_Data,128,FALSE)),"",(VLOOKUP(School_Code&amp;"White",School_Data,128,FALSE)))</f>
        <v>--</v>
      </c>
      <c r="M140" s="286"/>
    </row>
    <row r="141" spans="2:13" s="16" customFormat="1" ht="38.25">
      <c r="B141" s="242" t="s">
        <v>277</v>
      </c>
      <c r="C141" s="205" t="str">
        <f>IF(ISERROR(VLOOKUP(School_Code&amp;"All students",School_Data,129,FALSE)),"",(VLOOKUP(School_Code&amp;"All students",School_Data,129,FALSE)))</f>
        <v>--</v>
      </c>
      <c r="D141" s="206" t="str">
        <f>IF(ISERROR(VLOOKUP(School_Code&amp;"All students",School_Data,130,FALSE)),"",(VLOOKUP(School_Code&amp;"All students",School_Data,130,FALSE)))</f>
        <v>--</v>
      </c>
      <c r="E141" s="207" t="str">
        <f>IF(ISERROR(VLOOKUP(School_Code&amp;"All students",School_Data,131,FALSE)),"",(VLOOKUP(School_Code&amp;"All students",School_Data,131,FALSE)))</f>
        <v>--</v>
      </c>
      <c r="F141" s="206" t="str">
        <f>IF(ISERROR(VLOOKUP(School_Code&amp;"All students",School_Data,132,FALSE)),"",(VLOOKUP(School_Code&amp;"All students",School_Data,132,FALSE)))</f>
        <v>--</v>
      </c>
      <c r="G141" s="206">
        <f>IF(ISERROR(VLOOKUP(School_Code&amp;"All students",School_Data,133,FALSE)),"",(VLOOKUP(School_Code&amp;"All students",School_Data,133,FALSE)))</f>
        <v>0</v>
      </c>
      <c r="H141" s="208" t="str">
        <f>IF(ISERROR(VLOOKUP(School_Code&amp;"All students",School_Data,134,FALSE)),"",(VLOOKUP(School_Code&amp;"All students",School_Data,134,FALSE)))</f>
        <v>TBD</v>
      </c>
      <c r="I141" s="208"/>
      <c r="J141" s="208" t="str">
        <f>IF(ISERROR(VLOOKUP(School_Code&amp;"All students",School_Data,135,FALSE)),"",(VLOOKUP(School_Code&amp;"All students",School_Data,135,FALSE)))</f>
        <v>TBD</v>
      </c>
      <c r="K141" s="208" t="str">
        <f>IF(ISERROR(VLOOKUP(School_Code&amp;"All students",School_Data,136,FALSE)),"",(VLOOKUP(School_Code&amp;"All students",School_Data,136,FALSE)))</f>
        <v>TBD</v>
      </c>
      <c r="L141" s="209" t="str">
        <f>IF(ISERROR(VLOOKUP(School_Code&amp;"All students",School_Data,137,FALSE)),"",(VLOOKUP(School_Code&amp;"All students",School_Data,137,FALSE)))</f>
        <v>TBD</v>
      </c>
      <c r="M141" s="210"/>
    </row>
    <row r="142" spans="2:13" s="16" customFormat="1" ht="25.5" hidden="1">
      <c r="B142" s="66" t="s">
        <v>24</v>
      </c>
      <c r="C142" s="200"/>
      <c r="D142" s="201"/>
      <c r="E142" s="202"/>
      <c r="F142" s="201"/>
      <c r="G142" s="201"/>
      <c r="H142" s="203"/>
      <c r="I142" s="203"/>
      <c r="J142" s="203"/>
      <c r="K142" s="203"/>
      <c r="L142" s="204"/>
      <c r="M142" s="195"/>
    </row>
    <row r="143" spans="2:13" s="16" customFormat="1" ht="15" customHeight="1">
      <c r="B143" s="196" t="s">
        <v>25</v>
      </c>
      <c r="C143" s="151" t="str">
        <f>IF(ISERROR(VLOOKUP(School_Code&amp;"High needs",School_Data,129,FALSE)),"",(VLOOKUP(School_Code&amp;"High needs",School_Data,129,FALSE)))</f>
        <v>--</v>
      </c>
      <c r="D143" s="197" t="str">
        <f>IF(ISERROR(VLOOKUP(School_Code&amp;"High needs",School_Data,130,FALSE)),"",(VLOOKUP(School_Code&amp;"High needs",School_Data,130,FALSE)))</f>
        <v>--</v>
      </c>
      <c r="E143" s="152" t="str">
        <f>IF(ISERROR(VLOOKUP(School_Code&amp;"High needs",School_Data,131,FALSE)),"",(VLOOKUP(School_Code&amp;"High needs",School_Data,131,FALSE)))</f>
        <v>--</v>
      </c>
      <c r="F143" s="197" t="str">
        <f>IF(ISERROR(VLOOKUP(School_Code&amp;"High needs",School_Data,132,FALSE)),"",(VLOOKUP(School_Code&amp;"High needs",School_Data,132,FALSE)))</f>
        <v>--</v>
      </c>
      <c r="G143" s="197">
        <f>IF(ISERROR(VLOOKUP(School_Code&amp;"High needs",School_Data,133,FALSE)),"",(VLOOKUP(School_Code&amp;"High needs",School_Data,133,FALSE)))</f>
        <v>0</v>
      </c>
      <c r="H143" s="198" t="str">
        <f>IF(ISERROR(VLOOKUP(School_Code&amp;"High needs",School_Data,134,FALSE)),"",(VLOOKUP(School_Code&amp;"High needs",School_Data,134,FALSE)))</f>
        <v>TBD</v>
      </c>
      <c r="I143" s="198"/>
      <c r="J143" s="198" t="str">
        <f>IF(ISERROR(VLOOKUP(School_Code&amp;"High needs",School_Data,135,FALSE)),"",(VLOOKUP(School_Code&amp;"High needs",School_Data,135,FALSE)))</f>
        <v>TBD</v>
      </c>
      <c r="K143" s="198" t="str">
        <f>IF(ISERROR(VLOOKUP(School_Code&amp;"High needs",School_Data,136,FALSE)),"",(VLOOKUP(School_Code&amp;"High needs",School_Data,136,FALSE)))</f>
        <v>TBD</v>
      </c>
      <c r="L143" s="199" t="str">
        <f>IF(ISERROR(VLOOKUP(School_Code&amp;"High needs",School_Data,137,FALSE)),"",(VLOOKUP(School_Code&amp;"High needs",School_Data,137,FALSE)))</f>
        <v>TBD</v>
      </c>
      <c r="M143" s="194"/>
    </row>
    <row r="144" spans="2:13" s="16" customFormat="1" ht="15" customHeight="1">
      <c r="B144" s="77" t="s">
        <v>26</v>
      </c>
      <c r="C144" s="153" t="str">
        <f>IF(ISERROR(VLOOKUP(School_Code&amp;"Low income",School_Data,129,FALSE)),"",(VLOOKUP(School_Code&amp;"Low income",School_Data,129,FALSE)))</f>
        <v>--</v>
      </c>
      <c r="D144" s="189" t="str">
        <f>IF(ISERROR(VLOOKUP(School_Code&amp;"Low income",School_Data,130,FALSE)),"",(VLOOKUP(School_Code&amp;"Low income",School_Data,130,FALSE)))</f>
        <v>--</v>
      </c>
      <c r="E144" s="154" t="str">
        <f>IF(ISERROR(VLOOKUP(School_Code&amp;"Low income",School_Data,131,FALSE)),"",(VLOOKUP(School_Code&amp;"Low income",School_Data,131,FALSE)))</f>
        <v>--</v>
      </c>
      <c r="F144" s="189" t="str">
        <f>IF(ISERROR(VLOOKUP(School_Code&amp;"Low income",School_Data,132,FALSE)),"",(VLOOKUP(School_Code&amp;"Low income",School_Data,132,FALSE)))</f>
        <v>--</v>
      </c>
      <c r="G144" s="189">
        <f>IF(ISERROR(VLOOKUP(School_Code&amp;"Low income",School_Data,133,FALSE)),"",(VLOOKUP(School_Code&amp;"Low income",School_Data,133,FALSE)))</f>
        <v>0</v>
      </c>
      <c r="H144" s="79" t="str">
        <f>IF(ISERROR(VLOOKUP(School_Code&amp;"Low income",School_Data,134,FALSE)),"",(VLOOKUP(School_Code&amp;"Low income",School_Data,134,FALSE)))</f>
        <v>TBD</v>
      </c>
      <c r="I144" s="135"/>
      <c r="J144" s="79" t="str">
        <f>IF(ISERROR(VLOOKUP(School_Code&amp;"Low income",School_Data,135,FALSE)),"",(VLOOKUP(School_Code&amp;"Low income",School_Data,135,FALSE)))</f>
        <v>TBD</v>
      </c>
      <c r="K144" s="79" t="str">
        <f>IF(ISERROR(VLOOKUP(School_Code&amp;"Low income",School_Data,136,FALSE)),"",(VLOOKUP(School_Code&amp;"Low income",School_Data,136,FALSE)))</f>
        <v>TBD</v>
      </c>
      <c r="L144" s="80" t="str">
        <f>IF(ISERROR(VLOOKUP(School_Code&amp;"Low income",School_Data,137,FALSE)),"",(VLOOKUP(School_Code&amp;"Low income",School_Data,137,FALSE)))</f>
        <v>TBD</v>
      </c>
      <c r="M144" s="194"/>
    </row>
    <row r="145" spans="2:13" s="16" customFormat="1" ht="15" customHeight="1">
      <c r="B145" s="77" t="s">
        <v>27</v>
      </c>
      <c r="C145" s="153" t="str">
        <f>IF(ISERROR(VLOOKUP(School_Code&amp;"ELL and Former ELL",School_Data,129,FALSE)),"",(VLOOKUP(School_Code&amp;"ELL and Former ELL",School_Data,129,FALSE)))</f>
        <v>--</v>
      </c>
      <c r="D145" s="189" t="str">
        <f>IF(ISERROR(VLOOKUP(School_Code&amp;"ELL and Former ELL",School_Data,130,FALSE)),"",(VLOOKUP(School_Code&amp;"ELL and Former ELL",School_Data,130,FALSE)))</f>
        <v>--</v>
      </c>
      <c r="E145" s="154" t="str">
        <f>IF(ISERROR(VLOOKUP(School_Code&amp;"ELL and Former ELL",School_Data,131,FALSE)),"",(VLOOKUP(School_Code&amp;"ELL and Former ELL",School_Data,131,FALSE)))</f>
        <v>--</v>
      </c>
      <c r="F145" s="189" t="str">
        <f>IF(ISERROR(VLOOKUP(School_Code&amp;"ELL and Former ELL",School_Data,132,FALSE)),"",(VLOOKUP(School_Code&amp;"ELL and Former ELL",School_Data,132,FALSE)))</f>
        <v>--</v>
      </c>
      <c r="G145" s="189">
        <f>IF(ISERROR(VLOOKUP(School_Code&amp;"ELL and Former ELL",School_Data,133,FALSE)),"",(VLOOKUP(School_Code&amp;"ELL and Former ELL",School_Data,133,FALSE)))</f>
        <v>0</v>
      </c>
      <c r="H145" s="79" t="str">
        <f>IF(ISERROR(VLOOKUP(School_Code&amp;"ELL and Former ELL",School_Data,134,FALSE)),"",(VLOOKUP(School_Code&amp;"ELL and Former ELL",School_Data,134,FALSE)))</f>
        <v>TBD</v>
      </c>
      <c r="I145" s="135"/>
      <c r="J145" s="79" t="str">
        <f>IF(ISERROR(VLOOKUP(School_Code&amp;"ELL and Former ELL",School_Data,135,FALSE)),"",(VLOOKUP(School_Code&amp;"ELL and Former ELL",School_Data,135,FALSE)))</f>
        <v>TBD</v>
      </c>
      <c r="K145" s="79" t="str">
        <f>IF(ISERROR(VLOOKUP(School_Code&amp;"ELL and Former ELL",School_Data,136,FALSE)),"",(VLOOKUP(School_Code&amp;"ELL and Former ELL",School_Data,136,FALSE)))</f>
        <v>TBD</v>
      </c>
      <c r="L145" s="80" t="str">
        <f>IF(ISERROR(VLOOKUP(School_Code&amp;"ELL and Former ELL",School_Data,137,FALSE)),"",(VLOOKUP(School_Code&amp;"ELL and Former ELL",School_Data,137,FALSE)))</f>
        <v>TBD</v>
      </c>
      <c r="M145" s="194"/>
    </row>
    <row r="146" spans="2:13" s="16" customFormat="1" ht="15" customHeight="1">
      <c r="B146" s="77" t="s">
        <v>28</v>
      </c>
      <c r="C146" s="153" t="str">
        <f>IF(ISERROR(VLOOKUP(School_Code&amp;"Students w/disabilities",School_Data,129,FALSE)),"",(VLOOKUP(School_Code&amp;"Students w/disabilities",School_Data,129,FALSE)))</f>
        <v>--</v>
      </c>
      <c r="D146" s="189" t="str">
        <f>IF(ISERROR(VLOOKUP(School_Code&amp;"Students w/disabilities",School_Data,130,FALSE)),"",(VLOOKUP(School_Code&amp;"Students w/disabilities",School_Data,130,FALSE)))</f>
        <v>--</v>
      </c>
      <c r="E146" s="154" t="str">
        <f>IF(ISERROR(VLOOKUP(School_Code&amp;"Students w/disabilities",School_Data,131,FALSE)),"",(VLOOKUP(School_Code&amp;"Students w/disabilities",School_Data,131,FALSE)))</f>
        <v>--</v>
      </c>
      <c r="F146" s="189" t="str">
        <f>IF(ISERROR(VLOOKUP(School_Code&amp;"Students w/disabilities",School_Data,132,FALSE)),"",(VLOOKUP(School_Code&amp;"Students w/disabilities",School_Data,132,FALSE)))</f>
        <v>--</v>
      </c>
      <c r="G146" s="189">
        <f>IF(ISERROR(VLOOKUP(School_Code&amp;"Students w/disabilities",School_Data,133,FALSE)),"",(VLOOKUP(School_Code&amp;"Students w/disabilities",School_Data,133,FALSE)))</f>
        <v>0</v>
      </c>
      <c r="H146" s="79" t="str">
        <f>IF(ISERROR(VLOOKUP(School_Code&amp;"Students w/disabilities",School_Data,134,FALSE)),"",(VLOOKUP(School_Code&amp;"Students w/disabilities",School_Data,134,FALSE)))</f>
        <v>TBD</v>
      </c>
      <c r="I146" s="135"/>
      <c r="J146" s="79" t="str">
        <f>IF(ISERROR(VLOOKUP(School_Code&amp;"Students w/disabilities",School_Data,135,FALSE)),"",(VLOOKUP(School_Code&amp;"Students w/disabilities",School_Data,135,FALSE)))</f>
        <v>TBD</v>
      </c>
      <c r="K146" s="79" t="str">
        <f>IF(ISERROR(VLOOKUP(School_Code&amp;"Students w/disabilities",School_Data,136,FALSE)),"",(VLOOKUP(School_Code&amp;"Students w/disabilities",School_Data,136,FALSE)))</f>
        <v>TBD</v>
      </c>
      <c r="L146" s="80" t="str">
        <f>IF(ISERROR(VLOOKUP(School_Code&amp;"Students w/disabilities",School_Data,137,FALSE)),"",(VLOOKUP(School_Code&amp;"Students w/disabilities",School_Data,137,FALSE)))</f>
        <v>TBD</v>
      </c>
      <c r="M146" s="194"/>
    </row>
    <row r="147" spans="2:13" s="16" customFormat="1" ht="15" customHeight="1">
      <c r="B147" s="77" t="s">
        <v>29</v>
      </c>
      <c r="C147" s="153" t="str">
        <f>IF(ISERROR(VLOOKUP(School_Code&amp;"Amer. Ind. or Alaska Nat.",School_Data,129,FALSE)),"",(VLOOKUP(School_Code&amp;"Amer. Ind. or Alaska Nat.",School_Data,129,FALSE)))</f>
        <v>--</v>
      </c>
      <c r="D147" s="189" t="str">
        <f>IF(ISERROR(VLOOKUP(School_Code&amp;"Amer. Ind. or Alaska Nat.",School_Data,130,FALSE)),"",(VLOOKUP(School_Code&amp;"Amer. Ind. or Alaska Nat.",School_Data,130,FALSE)))</f>
        <v>--</v>
      </c>
      <c r="E147" s="154" t="str">
        <f>IF(ISERROR(VLOOKUP(School_Code&amp;"Amer. Ind. or Alaska Nat.",School_Data,131,FALSE)),"",(VLOOKUP(School_Code&amp;"Amer. Ind. or Alaska Nat.",School_Data,131,FALSE)))</f>
        <v>--</v>
      </c>
      <c r="F147" s="189" t="str">
        <f>IF(ISERROR(VLOOKUP(School_Code&amp;"Amer. Ind. or Alaska Nat.",School_Data,132,FALSE)),"",(VLOOKUP(School_Code&amp;"Amer. Ind. or Alaska Nat.",School_Data,132,FALSE)))</f>
        <v>--</v>
      </c>
      <c r="G147" s="189" t="str">
        <f>IF(ISERROR(VLOOKUP(School_Code&amp;"Amer. Ind. or Alaska Nat.",School_Data,133,FALSE)),"",(VLOOKUP(School_Code&amp;"Amer. Ind. or Alaska Nat.",School_Data,133,FALSE)))</f>
        <v>--</v>
      </c>
      <c r="H147" s="79" t="str">
        <f>IF(ISERROR(VLOOKUP(School_Code&amp;"Amer. Ind. or Alaska Nat.",School_Data,134,FALSE)),"",(VLOOKUP(School_Code&amp;"Amer. Ind. or Alaska Nat.",School_Data,134,FALSE)))</f>
        <v>--</v>
      </c>
      <c r="I147" s="135"/>
      <c r="J147" s="79" t="str">
        <f>IF(ISERROR(VLOOKUP(School_Code&amp;"Amer. Ind. or Alaska Nat.",School_Data,135,FALSE)),"",(VLOOKUP(School_Code&amp;"Amer. Ind. or Alaska Nat.",School_Data,135,FALSE)))</f>
        <v>--</v>
      </c>
      <c r="K147" s="79" t="str">
        <f>IF(ISERROR(VLOOKUP(School_Code&amp;"Amer. Ind. or Alaska Nat.",School_Data,136,FALSE)),"",(VLOOKUP(School_Code&amp;"Amer. Ind. or Alaska Nat.",School_Data,136,FALSE)))</f>
        <v>--</v>
      </c>
      <c r="L147" s="80" t="str">
        <f>IF(ISERROR(VLOOKUP(School_Code&amp;"Amer. Ind. or Alaska Nat.",School_Data,137,FALSE)),"",(VLOOKUP(School_Code&amp;"Amer. Ind. or Alaska Nat.",School_Data,137,FALSE)))</f>
        <v>--</v>
      </c>
      <c r="M147" s="194"/>
    </row>
    <row r="148" spans="2:13" s="16" customFormat="1" ht="15" customHeight="1">
      <c r="B148" s="77" t="s">
        <v>30</v>
      </c>
      <c r="C148" s="153" t="str">
        <f>IF(ISERROR(VLOOKUP(School_Code&amp;"Asian",School_Data,129,FALSE)),"",(VLOOKUP(School_Code&amp;"Asian",School_Data,129,FALSE)))</f>
        <v>--</v>
      </c>
      <c r="D148" s="189" t="str">
        <f>IF(ISERROR(VLOOKUP(School_Code&amp;"Asian",School_Data,130,FALSE)),"",(VLOOKUP(School_Code&amp;"Asian",School_Data,130,FALSE)))</f>
        <v>--</v>
      </c>
      <c r="E148" s="154" t="str">
        <f>IF(ISERROR(VLOOKUP(School_Code&amp;"Asian",School_Data,131,FALSE)),"",(VLOOKUP(School_Code&amp;"Asian",School_Data,131,FALSE)))</f>
        <v>--</v>
      </c>
      <c r="F148" s="189" t="str">
        <f>IF(ISERROR(VLOOKUP(School_Code&amp;"Asian",School_Data,132,FALSE)),"",(VLOOKUP(School_Code&amp;"Asian",School_Data,132,FALSE)))</f>
        <v>--</v>
      </c>
      <c r="G148" s="189" t="str">
        <f>IF(ISERROR(VLOOKUP(School_Code&amp;"Asian",School_Data,133,FALSE)),"",(VLOOKUP(School_Code&amp;"Asian",School_Data,133,FALSE)))</f>
        <v>--</v>
      </c>
      <c r="H148" s="79" t="str">
        <f>IF(ISERROR(VLOOKUP(School_Code&amp;"Asian",School_Data,134,FALSE)),"",(VLOOKUP(School_Code&amp;"Asian",School_Data,134,FALSE)))</f>
        <v>--</v>
      </c>
      <c r="I148" s="135"/>
      <c r="J148" s="79" t="str">
        <f>IF(ISERROR(VLOOKUP(School_Code&amp;"Asian",School_Data,135,FALSE)),"",(VLOOKUP(School_Code&amp;"Asian",School_Data,135,FALSE)))</f>
        <v>--</v>
      </c>
      <c r="K148" s="79" t="str">
        <f>IF(ISERROR(VLOOKUP(School_Code&amp;"Asian",School_Data,136,FALSE)),"",(VLOOKUP(School_Code&amp;"Asian",School_Data,136,FALSE)))</f>
        <v>--</v>
      </c>
      <c r="L148" s="80" t="str">
        <f>IF(ISERROR(VLOOKUP(School_Code&amp;"Asian",School_Data,137,FALSE)),"",(VLOOKUP(School_Code&amp;"Asian",School_Data,137,FALSE)))</f>
        <v>--</v>
      </c>
      <c r="M148" s="194"/>
    </row>
    <row r="149" spans="2:13" s="16" customFormat="1" ht="15" customHeight="1">
      <c r="B149" s="77" t="s">
        <v>45</v>
      </c>
      <c r="C149" s="153" t="str">
        <f>IF(ISERROR(VLOOKUP(School_Code&amp;"Afr. Amer/Black",School_Data,129,FALSE)),"",(VLOOKUP(School_Code&amp;"Afr. Amer/Black",School_Data,129,FALSE)))</f>
        <v>--</v>
      </c>
      <c r="D149" s="189" t="str">
        <f>IF(ISERROR(VLOOKUP(School_Code&amp;"Afr. Amer/Black",School_Data,130,FALSE)),"",(VLOOKUP(School_Code&amp;"Afr. Amer/Black",School_Data,130,FALSE)))</f>
        <v>--</v>
      </c>
      <c r="E149" s="154" t="str">
        <f>IF(ISERROR(VLOOKUP(School_Code&amp;"Afr. Amer/Black",School_Data,131,FALSE)),"",(VLOOKUP(School_Code&amp;"Afr. Amer/Black",School_Data,131,FALSE)))</f>
        <v>--</v>
      </c>
      <c r="F149" s="189" t="str">
        <f>IF(ISERROR(VLOOKUP(School_Code&amp;"Afr. Amer/Black",School_Data,132,FALSE)),"",(VLOOKUP(School_Code&amp;"Afr. Amer/Black",School_Data,132,FALSE)))</f>
        <v>--</v>
      </c>
      <c r="G149" s="189" t="str">
        <f>IF(ISERROR(VLOOKUP(School_Code&amp;"Afr. Amer/Black",School_Data,133,FALSE)),"",(VLOOKUP(School_Code&amp;"Afr. Amer/Black",School_Data,133,FALSE)))</f>
        <v>--</v>
      </c>
      <c r="H149" s="79" t="str">
        <f>IF(ISERROR(VLOOKUP(School_Code&amp;"Afr. Amer/Black",School_Data,134,FALSE)),"",(VLOOKUP(School_Code&amp;"Afr. Amer/Black",School_Data,134,FALSE)))</f>
        <v>--</v>
      </c>
      <c r="I149" s="135"/>
      <c r="J149" s="79" t="str">
        <f>IF(ISERROR(VLOOKUP(School_Code&amp;"Afr. Amer/Black",School_Data,135,FALSE)),"",(VLOOKUP(School_Code&amp;"Afr. Amer/Black",School_Data,135,FALSE)))</f>
        <v>--</v>
      </c>
      <c r="K149" s="79" t="str">
        <f>IF(ISERROR(VLOOKUP(School_Code&amp;"Afr. Amer/Black",School_Data,136,FALSE)),"",(VLOOKUP(School_Code&amp;"Afr. Amer/Black",School_Data,136,FALSE)))</f>
        <v>--</v>
      </c>
      <c r="L149" s="80" t="str">
        <f>IF(ISERROR(VLOOKUP(School_Code&amp;"Afr. Amer/Black",School_Data,137,FALSE)),"",(VLOOKUP(School_Code&amp;"Afr. Amer/Black",School_Data,137,FALSE)))</f>
        <v>--</v>
      </c>
      <c r="M149" s="194"/>
    </row>
    <row r="150" spans="2:13" s="16" customFormat="1" ht="15" customHeight="1">
      <c r="B150" s="77" t="s">
        <v>32</v>
      </c>
      <c r="C150" s="153" t="str">
        <f>IF(ISERROR(VLOOKUP(School_Code&amp;"Hispanic/Latino",School_Data,129,FALSE)),"",(VLOOKUP(School_Code&amp;"Hispanic/Latino",School_Data,129,FALSE)))</f>
        <v>--</v>
      </c>
      <c r="D150" s="189" t="str">
        <f>IF(ISERROR(VLOOKUP(School_Code&amp;"Hispanic/Latino",School_Data,130,FALSE)),"",(VLOOKUP(School_Code&amp;"Hispanic/Latino",School_Data,130,FALSE)))</f>
        <v>--</v>
      </c>
      <c r="E150" s="154" t="str">
        <f>IF(ISERROR(VLOOKUP(School_Code&amp;"Hispanic/Latino",School_Data,131,FALSE)),"",(VLOOKUP(School_Code&amp;"Hispanic/Latino",School_Data,131,FALSE)))</f>
        <v>--</v>
      </c>
      <c r="F150" s="189" t="str">
        <f>IF(ISERROR(VLOOKUP(School_Code&amp;"Hispanic/Latino",School_Data,132,FALSE)),"",(VLOOKUP(School_Code&amp;"Hispanic/Latino",School_Data,132,FALSE)))</f>
        <v>--</v>
      </c>
      <c r="G150" s="189">
        <f>IF(ISERROR(VLOOKUP(School_Code&amp;"Hispanic/Latino",School_Data,133,FALSE)),"",(VLOOKUP(School_Code&amp;"Hispanic/Latino",School_Data,133,FALSE)))</f>
        <v>0</v>
      </c>
      <c r="H150" s="79" t="str">
        <f>IF(ISERROR(VLOOKUP(School_Code&amp;"Hispanic/Latino",School_Data,134,FALSE)),"",(VLOOKUP(School_Code&amp;"Hispanic/Latino",School_Data,134,FALSE)))</f>
        <v>TBD</v>
      </c>
      <c r="I150" s="135"/>
      <c r="J150" s="79" t="str">
        <f>IF(ISERROR(VLOOKUP(School_Code&amp;"Hispanic/Latino",School_Data,135,FALSE)),"",(VLOOKUP(School_Code&amp;"Hispanic/Latino",School_Data,135,FALSE)))</f>
        <v>TBD</v>
      </c>
      <c r="K150" s="79" t="str">
        <f>IF(ISERROR(VLOOKUP(School_Code&amp;"Hispanic/Latino",School_Data,136,FALSE)),"",(VLOOKUP(School_Code&amp;"Hispanic/Latino",School_Data,136,FALSE)))</f>
        <v>TBD</v>
      </c>
      <c r="L150" s="80" t="str">
        <f>IF(ISERROR(VLOOKUP(School_Code&amp;"Hispanic/Latino",School_Data,137,FALSE)),"",(VLOOKUP(School_Code&amp;"Hispanic/Latino",School_Data,137,FALSE)))</f>
        <v>TBD</v>
      </c>
      <c r="M150" s="194"/>
    </row>
    <row r="151" spans="2:13" s="16" customFormat="1" ht="15" customHeight="1">
      <c r="B151" s="77" t="s">
        <v>33</v>
      </c>
      <c r="C151" s="153" t="str">
        <f>IF(ISERROR(VLOOKUP(School_Code&amp;"Multi-race, Non-Hisp./Lat.",School_Data,129,FALSE)),"",(VLOOKUP(School_Code&amp;"Multi-race, Non-Hisp./Lat.",School_Data,129,FALSE)))</f>
        <v>--</v>
      </c>
      <c r="D151" s="189" t="str">
        <f>IF(ISERROR(VLOOKUP(School_Code&amp;"Multi-race, Non-Hisp./Lat.",School_Data,130,FALSE)),"",(VLOOKUP(School_Code&amp;"Multi-race, Non-Hisp./Lat.",School_Data,130,FALSE)))</f>
        <v>--</v>
      </c>
      <c r="E151" s="154" t="str">
        <f>IF(ISERROR(VLOOKUP(School_Code&amp;"Multi-race, Non-Hisp./Lat.",School_Data,131,FALSE)),"",(VLOOKUP(School_Code&amp;"Multi-race, Non-Hisp./Lat.",School_Data,131,FALSE)))</f>
        <v>--</v>
      </c>
      <c r="F151" s="189" t="str">
        <f>IF(ISERROR(VLOOKUP(School_Code&amp;"Multi-race, Non-Hisp./Lat.",School_Data,132,FALSE)),"",(VLOOKUP(School_Code&amp;"Multi-race, Non-Hisp./Lat.",School_Data,132,FALSE)))</f>
        <v>--</v>
      </c>
      <c r="G151" s="189" t="str">
        <f>IF(ISERROR(VLOOKUP(School_Code&amp;"Multi-race, Non-Hisp./Lat.",School_Data,133,FALSE)),"",(VLOOKUP(School_Code&amp;"Multi-race, Non-Hisp./Lat.",School_Data,133,FALSE)))</f>
        <v>--</v>
      </c>
      <c r="H151" s="79" t="str">
        <f>IF(ISERROR(VLOOKUP(School_Code&amp;"Multi-race, Non-Hisp./Lat.",School_Data,134,FALSE)),"",(VLOOKUP(School_Code&amp;"Multi-race, Non-Hisp./Lat.",School_Data,134,FALSE)))</f>
        <v>--</v>
      </c>
      <c r="I151" s="135"/>
      <c r="J151" s="79" t="str">
        <f>IF(ISERROR(VLOOKUP(School_Code&amp;"Multi-race, Non-Hisp./Lat.",School_Data,135,FALSE)),"",(VLOOKUP(School_Code&amp;"Multi-race, Non-Hisp./Lat.",School_Data,135,FALSE)))</f>
        <v>--</v>
      </c>
      <c r="K151" s="79" t="str">
        <f>IF(ISERROR(VLOOKUP(School_Code&amp;"Multi-race, Non-Hisp./Lat.",School_Data,136,FALSE)),"",(VLOOKUP(School_Code&amp;"Multi-race, Non-Hisp./Lat.",School_Data,136,FALSE)))</f>
        <v>--</v>
      </c>
      <c r="L151" s="80" t="str">
        <f>IF(ISERROR(VLOOKUP(School_Code&amp;"Multi-race, Non-Hisp./Lat.",School_Data,137,FALSE)),"",(VLOOKUP(School_Code&amp;"Multi-race, Non-Hisp./Lat.",School_Data,137,FALSE)))</f>
        <v>--</v>
      </c>
      <c r="M151" s="194"/>
    </row>
    <row r="152" spans="2:13" s="16" customFormat="1" ht="15" customHeight="1">
      <c r="B152" s="77" t="s">
        <v>34</v>
      </c>
      <c r="C152" s="153" t="str">
        <f>IF(ISERROR(VLOOKUP(School_Code&amp;"Nat. Haw. or Pacif. Isl.",School_Data,129,FALSE)),"",(VLOOKUP(School_Code&amp;"Nat. Haw. or Pacif. Isl.",School_Data,129,FALSE)))</f>
        <v>--</v>
      </c>
      <c r="D152" s="189" t="str">
        <f>IF(ISERROR(VLOOKUP(School_Code&amp;"Nat. Haw. or Pacif. Isl.",School_Data,130,FALSE)),"",(VLOOKUP(School_Code&amp;"Nat. Haw. or Pacif. Isl.",School_Data,130,FALSE)))</f>
        <v>--</v>
      </c>
      <c r="E152" s="154" t="str">
        <f>IF(ISERROR(VLOOKUP(School_Code&amp;"Nat. Haw. or Pacif. Isl.",School_Data,131,FALSE)),"",(VLOOKUP(School_Code&amp;"Nat. Haw. or Pacif. Isl.",School_Data,131,FALSE)))</f>
        <v>--</v>
      </c>
      <c r="F152" s="189" t="str">
        <f>IF(ISERROR(VLOOKUP(School_Code&amp;"Nat. Haw. or Pacif. Isl.",School_Data,132,FALSE)),"",(VLOOKUP(School_Code&amp;"Nat. Haw. or Pacif. Isl.",School_Data,132,FALSE)))</f>
        <v>--</v>
      </c>
      <c r="G152" s="189" t="str">
        <f>IF(ISERROR(VLOOKUP(School_Code&amp;"Nat. Haw. or Pacif. Isl.",School_Data,133,FALSE)),"",(VLOOKUP(School_Code&amp;"Nat. Haw. or Pacif. Isl.",School_Data,133,FALSE)))</f>
        <v>--</v>
      </c>
      <c r="H152" s="79" t="str">
        <f>IF(ISERROR(VLOOKUP(School_Code&amp;"Nat. Haw. or Pacif. Isl.",School_Data,134,FALSE)),"",(VLOOKUP(School_Code&amp;"Nat. Haw. or Pacif. Isl.",School_Data,134,FALSE)))</f>
        <v>--</v>
      </c>
      <c r="I152" s="135"/>
      <c r="J152" s="79" t="str">
        <f>IF(ISERROR(VLOOKUP(School_Code&amp;"Nat. Haw. or Pacif. Isl.",School_Data,135,FALSE)),"",(VLOOKUP(School_Code&amp;"Nat. Haw. or Pacif. Isl.",School_Data,135,FALSE)))</f>
        <v>--</v>
      </c>
      <c r="K152" s="79" t="str">
        <f>IF(ISERROR(VLOOKUP(School_Code&amp;"Nat. Haw. or Pacif. Isl.",School_Data,136,FALSE)),"",(VLOOKUP(School_Code&amp;"Nat. Haw. or Pacif. Isl.",School_Data,136,FALSE)))</f>
        <v>--</v>
      </c>
      <c r="L152" s="80" t="str">
        <f>IF(ISERROR(VLOOKUP(School_Code&amp;"Nat. Haw. or Pacif. Isl.",School_Data,137,FALSE)),"",(VLOOKUP(School_Code&amp;"Nat. Haw. or Pacif. Isl.",School_Data,137,FALSE)))</f>
        <v>--</v>
      </c>
      <c r="M152" s="194"/>
    </row>
    <row r="153" spans="2:13" s="16" customFormat="1" ht="15" customHeight="1">
      <c r="B153" s="246" t="s">
        <v>35</v>
      </c>
      <c r="C153" s="191" t="str">
        <f>IF(ISERROR(VLOOKUP(School_Code&amp;"White",School_Data,129,FALSE)),"",(VLOOKUP(School_Code&amp;"White",School_Data,129,FALSE)))</f>
        <v>--</v>
      </c>
      <c r="D153" s="192" t="str">
        <f>IF(ISERROR(VLOOKUP(School_Code&amp;"White",School_Data,130,FALSE)),"",(VLOOKUP(School_Code&amp;"White",School_Data,130,FALSE)))</f>
        <v>--</v>
      </c>
      <c r="E153" s="193" t="str">
        <f>IF(ISERROR(VLOOKUP(School_Code&amp;"White",School_Data,131,FALSE)),"",(VLOOKUP(School_Code&amp;"White",School_Data,131,FALSE)))</f>
        <v>--</v>
      </c>
      <c r="F153" s="192" t="str">
        <f>IF(ISERROR(VLOOKUP(School_Code&amp;"White",School_Data,132,FALSE)),"",(VLOOKUP(School_Code&amp;"White",School_Data,132,FALSE)))</f>
        <v>--</v>
      </c>
      <c r="G153" s="192" t="str">
        <f>IF(ISERROR(VLOOKUP(School_Code&amp;"White",School_Data,133,FALSE)),"",(VLOOKUP(School_Code&amp;"White",School_Data,133,FALSE)))</f>
        <v>--</v>
      </c>
      <c r="H153" s="81" t="str">
        <f>IF(ISERROR(VLOOKUP(School_Code&amp;"White",School_Data,134,FALSE)),"",(VLOOKUP(School_Code&amp;"White",School_Data,134,FALSE)))</f>
        <v>--</v>
      </c>
      <c r="I153" s="81"/>
      <c r="J153" s="81" t="str">
        <f>IF(ISERROR(VLOOKUP(School_Code&amp;"White",School_Data,135,FALSE)),"",(VLOOKUP(School_Code&amp;"White",School_Data,135,FALSE)))</f>
        <v>--</v>
      </c>
      <c r="K153" s="81" t="str">
        <f>IF(ISERROR(VLOOKUP(School_Code&amp;"White",School_Data,136,FALSE)),"",(VLOOKUP(School_Code&amp;"White",School_Data,136,FALSE)))</f>
        <v>--</v>
      </c>
      <c r="L153" s="82" t="str">
        <f>IF(ISERROR(VLOOKUP(School_Code&amp;"White",School_Data,137,FALSE)),"",(VLOOKUP(School_Code&amp;"White",School_Data,137,FALSE)))</f>
        <v>--</v>
      </c>
      <c r="M153" s="195"/>
    </row>
    <row r="154" spans="2:13" s="6" customFormat="1" hidden="1">
      <c r="B154" s="269" t="s">
        <v>40</v>
      </c>
      <c r="C154" s="270"/>
      <c r="D154" s="270"/>
      <c r="E154" s="270"/>
      <c r="F154" s="270"/>
      <c r="G154" s="270"/>
      <c r="H154" s="270"/>
      <c r="I154" s="270"/>
      <c r="J154" s="270"/>
      <c r="K154" s="270"/>
      <c r="L154" s="270"/>
      <c r="M154" s="271"/>
    </row>
    <row r="155" spans="2:13" ht="25.15" hidden="1" customHeight="1">
      <c r="B155" s="28"/>
      <c r="C155" s="29"/>
      <c r="D155" s="30"/>
      <c r="E155" s="31"/>
      <c r="F155" s="30"/>
      <c r="G155" s="31"/>
      <c r="H155" s="30"/>
      <c r="I155" s="30"/>
      <c r="J155" s="30"/>
      <c r="K155" s="30"/>
      <c r="L155" s="32"/>
      <c r="M155" s="37"/>
    </row>
    <row r="156" spans="2:13" ht="25.15" hidden="1" customHeight="1">
      <c r="B156" s="33"/>
      <c r="C156" s="9"/>
      <c r="D156" s="10"/>
      <c r="E156" s="11"/>
      <c r="F156" s="10"/>
      <c r="G156" s="11"/>
      <c r="H156" s="10"/>
      <c r="I156" s="10"/>
      <c r="J156" s="10"/>
      <c r="K156" s="10"/>
      <c r="L156" s="12"/>
      <c r="M156" s="38"/>
    </row>
    <row r="157" spans="2:13" ht="25.15" hidden="1" customHeight="1">
      <c r="B157" s="34"/>
      <c r="C157" s="23"/>
      <c r="D157" s="35"/>
      <c r="E157" s="24"/>
      <c r="F157" s="35"/>
      <c r="G157" s="24"/>
      <c r="H157" s="35"/>
      <c r="I157" s="35"/>
      <c r="J157" s="35"/>
      <c r="K157" s="35"/>
      <c r="L157" s="36"/>
      <c r="M157" s="39"/>
    </row>
  </sheetData>
  <sheetProtection password="CC18" sheet="1" objects="1" scenarios="1"/>
  <mergeCells count="107">
    <mergeCell ref="J10:J11"/>
    <mergeCell ref="K10:K11"/>
    <mergeCell ref="L10:L11"/>
    <mergeCell ref="M10:M22"/>
    <mergeCell ref="B9:L9"/>
    <mergeCell ref="B5:M5"/>
    <mergeCell ref="C10:C11"/>
    <mergeCell ref="D10:D11"/>
    <mergeCell ref="E10:E11"/>
    <mergeCell ref="F10:F11"/>
    <mergeCell ref="G10:G11"/>
    <mergeCell ref="H10:H11"/>
    <mergeCell ref="B2:B3"/>
    <mergeCell ref="B7:B8"/>
    <mergeCell ref="C7:L7"/>
    <mergeCell ref="J23:J24"/>
    <mergeCell ref="K23:K24"/>
    <mergeCell ref="L23:L24"/>
    <mergeCell ref="M23:M35"/>
    <mergeCell ref="C36:C37"/>
    <mergeCell ref="D36:D37"/>
    <mergeCell ref="E36:E37"/>
    <mergeCell ref="F36:F37"/>
    <mergeCell ref="G36:G37"/>
    <mergeCell ref="H36:H37"/>
    <mergeCell ref="J36:J37"/>
    <mergeCell ref="K36:K37"/>
    <mergeCell ref="L36:L37"/>
    <mergeCell ref="M36:M48"/>
    <mergeCell ref="C23:C24"/>
    <mergeCell ref="D23:D24"/>
    <mergeCell ref="E23:E24"/>
    <mergeCell ref="F23:F24"/>
    <mergeCell ref="G23:G24"/>
    <mergeCell ref="H23:H24"/>
    <mergeCell ref="M7:M8"/>
    <mergeCell ref="M49:M61"/>
    <mergeCell ref="C62:C63"/>
    <mergeCell ref="D62:D63"/>
    <mergeCell ref="E62:E63"/>
    <mergeCell ref="F62:F63"/>
    <mergeCell ref="G62:G63"/>
    <mergeCell ref="H62:H63"/>
    <mergeCell ref="J62:J63"/>
    <mergeCell ref="K62:K63"/>
    <mergeCell ref="L62:L63"/>
    <mergeCell ref="M62:M74"/>
    <mergeCell ref="C49:C50"/>
    <mergeCell ref="D49:D50"/>
    <mergeCell ref="E49:E50"/>
    <mergeCell ref="F49:F50"/>
    <mergeCell ref="G49:G50"/>
    <mergeCell ref="H49:H50"/>
    <mergeCell ref="J49:J50"/>
    <mergeCell ref="K49:K50"/>
    <mergeCell ref="L49:L50"/>
    <mergeCell ref="M76:M88"/>
    <mergeCell ref="C89:C90"/>
    <mergeCell ref="D89:D90"/>
    <mergeCell ref="E89:E90"/>
    <mergeCell ref="F89:F90"/>
    <mergeCell ref="G89:G90"/>
    <mergeCell ref="H89:H90"/>
    <mergeCell ref="J89:J90"/>
    <mergeCell ref="K89:K90"/>
    <mergeCell ref="L89:L90"/>
    <mergeCell ref="M89:M101"/>
    <mergeCell ref="C76:C77"/>
    <mergeCell ref="D76:D77"/>
    <mergeCell ref="E76:E77"/>
    <mergeCell ref="F76:F77"/>
    <mergeCell ref="G76:G77"/>
    <mergeCell ref="H76:H77"/>
    <mergeCell ref="J76:J77"/>
    <mergeCell ref="K76:K77"/>
    <mergeCell ref="L76:L77"/>
    <mergeCell ref="M102:M114"/>
    <mergeCell ref="C115:C116"/>
    <mergeCell ref="D115:D116"/>
    <mergeCell ref="E115:E116"/>
    <mergeCell ref="F115:F116"/>
    <mergeCell ref="G115:G116"/>
    <mergeCell ref="H115:H116"/>
    <mergeCell ref="J115:J116"/>
    <mergeCell ref="K115:K116"/>
    <mergeCell ref="L115:L116"/>
    <mergeCell ref="M115:M127"/>
    <mergeCell ref="C102:C103"/>
    <mergeCell ref="D102:D103"/>
    <mergeCell ref="E102:E103"/>
    <mergeCell ref="F102:F103"/>
    <mergeCell ref="G102:G103"/>
    <mergeCell ref="H102:H103"/>
    <mergeCell ref="J102:J103"/>
    <mergeCell ref="K102:K103"/>
    <mergeCell ref="L102:L103"/>
    <mergeCell ref="B154:M154"/>
    <mergeCell ref="J128:J129"/>
    <mergeCell ref="K128:K129"/>
    <mergeCell ref="L128:L129"/>
    <mergeCell ref="M128:M140"/>
    <mergeCell ref="C128:C129"/>
    <mergeCell ref="D128:D129"/>
    <mergeCell ref="E128:E129"/>
    <mergeCell ref="F128:F129"/>
    <mergeCell ref="G128:G129"/>
    <mergeCell ref="H128:H129"/>
  </mergeCells>
  <hyperlinks>
    <hyperlink ref="B11" r:id="rId1"/>
    <hyperlink ref="B24" r:id="rId2"/>
    <hyperlink ref="B37" r:id="rId3"/>
    <hyperlink ref="B50" r:id="rId4"/>
    <hyperlink ref="B63" r:id="rId5"/>
    <hyperlink ref="B77" r:id="rId6"/>
    <hyperlink ref="B90" r:id="rId7"/>
    <hyperlink ref="B116" r:id="rId8"/>
    <hyperlink ref="B129" r:id="rId9"/>
    <hyperlink ref="B142" r:id="rId10"/>
    <hyperlink ref="B103" r:id="rId11"/>
  </hyperlinks>
  <printOptions horizontalCentered="1"/>
  <pageMargins left="0.2" right="0.2" top="0.25" bottom="0.25" header="0.05" footer="0.05"/>
  <pageSetup scale="77" orientation="landscape" r:id="rId12"/>
  <headerFooter>
    <oddFooter>&amp;R&amp;P of &amp;N</oddFooter>
  </headerFooter>
  <rowBreaks count="6" manualBreakCount="6">
    <brk id="22" max="16383" man="1"/>
    <brk id="48" max="16383" man="1"/>
    <brk id="74" max="16383" man="1"/>
    <brk id="101" max="16383" man="1"/>
    <brk id="127" max="16383" man="1"/>
    <brk id="153" max="16383" man="1"/>
  </rowBreaks>
</worksheet>
</file>

<file path=xl/worksheets/sheet4.xml><?xml version="1.0" encoding="utf-8"?>
<worksheet xmlns="http://schemas.openxmlformats.org/spreadsheetml/2006/main" xmlns:r="http://schemas.openxmlformats.org/officeDocument/2006/relationships">
  <dimension ref="B1:K34"/>
  <sheetViews>
    <sheetView zoomScaleNormal="100" workbookViewId="0">
      <pane ySplit="6" topLeftCell="A7" activePane="bottomLeft" state="frozen"/>
      <selection pane="bottomLeft" activeCell="B24" sqref="B24"/>
    </sheetView>
  </sheetViews>
  <sheetFormatPr defaultColWidth="9.140625" defaultRowHeight="12.75"/>
  <cols>
    <col min="1" max="1" width="2.7109375" style="3" customWidth="1"/>
    <col min="2" max="2" width="58.140625" style="3" customWidth="1"/>
    <col min="3" max="3" width="8.42578125" style="87" customWidth="1"/>
    <col min="4" max="4" width="8.42578125" style="87" hidden="1" customWidth="1"/>
    <col min="5" max="9" width="8.42578125" style="87" customWidth="1"/>
    <col min="10" max="10" width="37.140625" style="3" customWidth="1"/>
    <col min="11" max="16384" width="9.140625" style="3"/>
  </cols>
  <sheetData>
    <row r="1" spans="2:11" ht="15">
      <c r="B1" s="1" t="s">
        <v>267</v>
      </c>
      <c r="C1" s="251"/>
      <c r="D1" s="251"/>
      <c r="E1" s="251"/>
      <c r="F1" s="251"/>
      <c r="G1" s="251"/>
      <c r="H1" s="251"/>
      <c r="I1" s="251"/>
      <c r="J1" s="250" t="s">
        <v>268</v>
      </c>
      <c r="K1" s="251"/>
    </row>
    <row r="2" spans="2:11" ht="21">
      <c r="B2" s="294" t="s">
        <v>51</v>
      </c>
      <c r="C2" s="40"/>
      <c r="D2" s="72"/>
      <c r="E2" s="72"/>
      <c r="F2" s="72"/>
      <c r="G2" s="71"/>
      <c r="H2" s="71"/>
      <c r="I2" s="71"/>
      <c r="J2" s="107"/>
    </row>
    <row r="3" spans="2:11" ht="21">
      <c r="B3" s="294"/>
      <c r="C3" s="40"/>
      <c r="D3" s="72"/>
      <c r="E3" s="72"/>
      <c r="F3" s="72"/>
      <c r="G3" s="71"/>
      <c r="H3" s="71"/>
      <c r="I3" s="71"/>
      <c r="J3" s="2"/>
    </row>
    <row r="4" spans="2:11">
      <c r="B4" s="5"/>
      <c r="C4" s="5"/>
      <c r="D4" s="5"/>
      <c r="E4" s="5"/>
      <c r="F4" s="5"/>
      <c r="G4" s="5"/>
      <c r="H4" s="5"/>
      <c r="I4" s="5"/>
      <c r="J4" s="5"/>
    </row>
    <row r="5" spans="2:11" s="6" customFormat="1" ht="15">
      <c r="B5" s="275" t="s">
        <v>1</v>
      </c>
      <c r="C5" s="277" t="s">
        <v>2</v>
      </c>
      <c r="D5" s="278"/>
      <c r="E5" s="278"/>
      <c r="F5" s="278"/>
      <c r="G5" s="278"/>
      <c r="H5" s="278"/>
      <c r="I5" s="309"/>
      <c r="J5" s="279" t="s">
        <v>203</v>
      </c>
    </row>
    <row r="6" spans="2:11" s="6" customFormat="1" ht="45">
      <c r="B6" s="276"/>
      <c r="C6" s="73" t="s">
        <v>193</v>
      </c>
      <c r="D6" s="73" t="s">
        <v>6</v>
      </c>
      <c r="E6" s="73" t="s">
        <v>202</v>
      </c>
      <c r="F6" s="73" t="s">
        <v>262</v>
      </c>
      <c r="G6" s="73" t="s">
        <v>9</v>
      </c>
      <c r="H6" s="73" t="s">
        <v>194</v>
      </c>
      <c r="I6" s="73" t="s">
        <v>195</v>
      </c>
      <c r="J6" s="280"/>
    </row>
    <row r="7" spans="2:11" s="6" customFormat="1" ht="12.75" customHeight="1">
      <c r="B7" s="269" t="s">
        <v>196</v>
      </c>
      <c r="C7" s="270"/>
      <c r="D7" s="270"/>
      <c r="E7" s="270"/>
      <c r="F7" s="270"/>
      <c r="G7" s="270"/>
      <c r="H7" s="270"/>
      <c r="I7" s="270"/>
      <c r="J7" s="271"/>
    </row>
    <row r="8" spans="2:11" s="75" customFormat="1" ht="38.25">
      <c r="B8" s="214" t="s">
        <v>239</v>
      </c>
      <c r="C8" s="141" t="s">
        <v>240</v>
      </c>
      <c r="D8" s="142" t="s">
        <v>240</v>
      </c>
      <c r="E8" s="142" t="s">
        <v>240</v>
      </c>
      <c r="F8" s="215"/>
      <c r="G8" s="184">
        <v>0.5</v>
      </c>
      <c r="H8" s="216">
        <v>0.6</v>
      </c>
      <c r="I8" s="217">
        <v>0.7</v>
      </c>
      <c r="J8" s="210" t="s">
        <v>263</v>
      </c>
    </row>
    <row r="9" spans="2:11" s="75" customFormat="1" ht="25.5">
      <c r="B9" s="214" t="s">
        <v>241</v>
      </c>
      <c r="C9" s="141">
        <v>7.0000000000000007E-2</v>
      </c>
      <c r="D9" s="142"/>
      <c r="E9" s="142">
        <v>0</v>
      </c>
      <c r="F9" s="215"/>
      <c r="G9" s="184">
        <v>0.15</v>
      </c>
      <c r="H9" s="216">
        <v>0.25</v>
      </c>
      <c r="I9" s="217">
        <v>0.3</v>
      </c>
      <c r="J9" s="210"/>
    </row>
    <row r="10" spans="2:11" s="75" customFormat="1" ht="25.5">
      <c r="B10" s="213" t="s">
        <v>242</v>
      </c>
      <c r="C10" s="139">
        <v>0.03</v>
      </c>
      <c r="D10" s="140"/>
      <c r="E10" s="140">
        <v>0.02</v>
      </c>
      <c r="F10" s="218"/>
      <c r="G10" s="67">
        <v>0.1</v>
      </c>
      <c r="H10" s="219">
        <v>0.15</v>
      </c>
      <c r="I10" s="220">
        <v>0.3</v>
      </c>
      <c r="J10" s="195"/>
    </row>
    <row r="11" spans="2:11" s="6" customFormat="1" ht="12.75" customHeight="1">
      <c r="B11" s="306" t="s">
        <v>197</v>
      </c>
      <c r="C11" s="307"/>
      <c r="D11" s="307"/>
      <c r="E11" s="307"/>
      <c r="F11" s="307"/>
      <c r="G11" s="307"/>
      <c r="H11" s="307"/>
      <c r="I11" s="307"/>
      <c r="J11" s="308"/>
    </row>
    <row r="12" spans="2:11" s="6" customFormat="1" ht="25.5">
      <c r="B12" s="221" t="s">
        <v>243</v>
      </c>
      <c r="C12" s="141">
        <v>0.11</v>
      </c>
      <c r="D12" s="142"/>
      <c r="E12" s="142">
        <v>0.02</v>
      </c>
      <c r="F12" s="222"/>
      <c r="G12" s="184">
        <v>0.15</v>
      </c>
      <c r="H12" s="216">
        <v>0.25</v>
      </c>
      <c r="I12" s="223">
        <v>0.35</v>
      </c>
      <c r="J12" s="210"/>
    </row>
    <row r="13" spans="2:11" s="6" customFormat="1" ht="25.5">
      <c r="B13" s="221" t="s">
        <v>244</v>
      </c>
      <c r="C13" s="141">
        <v>0.11</v>
      </c>
      <c r="D13" s="142"/>
      <c r="E13" s="142">
        <v>0.09</v>
      </c>
      <c r="F13" s="222"/>
      <c r="G13" s="184">
        <v>0.15</v>
      </c>
      <c r="H13" s="216">
        <v>0.25</v>
      </c>
      <c r="I13" s="223">
        <v>0.35</v>
      </c>
      <c r="J13" s="210"/>
    </row>
    <row r="14" spans="2:11" s="75" customFormat="1" ht="25.5">
      <c r="B14" s="221" t="s">
        <v>245</v>
      </c>
      <c r="C14" s="141">
        <v>7.0000000000000007E-2</v>
      </c>
      <c r="D14" s="142"/>
      <c r="E14" s="142">
        <v>0.17</v>
      </c>
      <c r="F14" s="215"/>
      <c r="G14" s="184">
        <v>0.15</v>
      </c>
      <c r="H14" s="216">
        <v>0.25</v>
      </c>
      <c r="I14" s="223">
        <v>0.35</v>
      </c>
      <c r="J14" s="210"/>
    </row>
    <row r="15" spans="2:11" s="6" customFormat="1" ht="25.5">
      <c r="B15" s="221" t="s">
        <v>234</v>
      </c>
      <c r="C15" s="141">
        <v>0.02</v>
      </c>
      <c r="D15" s="142"/>
      <c r="E15" s="142">
        <v>0.11</v>
      </c>
      <c r="F15" s="222"/>
      <c r="G15" s="184">
        <v>0.15</v>
      </c>
      <c r="H15" s="216">
        <v>0.25</v>
      </c>
      <c r="I15" s="223">
        <v>0.35</v>
      </c>
      <c r="J15" s="210"/>
    </row>
    <row r="16" spans="2:11" s="75" customFormat="1" ht="22.9" customHeight="1">
      <c r="B16" s="224" t="s">
        <v>235</v>
      </c>
      <c r="C16" s="139">
        <v>0</v>
      </c>
      <c r="D16" s="140"/>
      <c r="E16" s="140">
        <v>0</v>
      </c>
      <c r="F16" s="218"/>
      <c r="G16" s="67">
        <v>0.15</v>
      </c>
      <c r="H16" s="219">
        <v>0.2</v>
      </c>
      <c r="I16" s="225">
        <v>0.25</v>
      </c>
      <c r="J16" s="195"/>
    </row>
    <row r="17" spans="2:10" s="75" customFormat="1">
      <c r="B17" s="306" t="s">
        <v>198</v>
      </c>
      <c r="C17" s="307"/>
      <c r="D17" s="307"/>
      <c r="E17" s="307"/>
      <c r="F17" s="307"/>
      <c r="G17" s="307"/>
      <c r="H17" s="307"/>
      <c r="I17" s="307"/>
      <c r="J17" s="308"/>
    </row>
    <row r="18" spans="2:10" s="75" customFormat="1" ht="51">
      <c r="B18" s="228" t="s">
        <v>236</v>
      </c>
      <c r="C18" s="229" t="s">
        <v>264</v>
      </c>
      <c r="D18" s="230" t="s">
        <v>240</v>
      </c>
      <c r="E18" s="230" t="s">
        <v>264</v>
      </c>
      <c r="F18" s="215"/>
      <c r="G18" s="184">
        <v>0.6</v>
      </c>
      <c r="H18" s="216">
        <v>0.7</v>
      </c>
      <c r="I18" s="216">
        <v>0.7</v>
      </c>
      <c r="J18" s="210" t="s">
        <v>265</v>
      </c>
    </row>
    <row r="19" spans="2:10" s="6" customFormat="1" ht="35.450000000000003" customHeight="1">
      <c r="B19" s="214" t="s">
        <v>246</v>
      </c>
      <c r="C19" s="229" t="s">
        <v>264</v>
      </c>
      <c r="D19" s="230"/>
      <c r="E19" s="230" t="s">
        <v>264</v>
      </c>
      <c r="F19" s="222"/>
      <c r="G19" s="184">
        <v>0.5</v>
      </c>
      <c r="H19" s="216">
        <v>0.55000000000000004</v>
      </c>
      <c r="I19" s="216">
        <v>0.65</v>
      </c>
      <c r="J19" s="210" t="s">
        <v>263</v>
      </c>
    </row>
    <row r="20" spans="2:10" s="75" customFormat="1" ht="25.5">
      <c r="B20" s="214" t="s">
        <v>247</v>
      </c>
      <c r="C20" s="229" t="s">
        <v>264</v>
      </c>
      <c r="D20" s="230" t="s">
        <v>240</v>
      </c>
      <c r="E20" s="230" t="s">
        <v>264</v>
      </c>
      <c r="F20" s="215"/>
      <c r="G20" s="184">
        <v>0.6</v>
      </c>
      <c r="H20" s="216">
        <v>0.65</v>
      </c>
      <c r="I20" s="216">
        <v>0.75</v>
      </c>
      <c r="J20" s="210" t="s">
        <v>263</v>
      </c>
    </row>
    <row r="21" spans="2:10" s="75" customFormat="1" ht="25.5">
      <c r="B21" s="136" t="s">
        <v>248</v>
      </c>
      <c r="C21" s="231" t="s">
        <v>264</v>
      </c>
      <c r="D21" s="232"/>
      <c r="E21" s="232" t="s">
        <v>264</v>
      </c>
      <c r="F21" s="218"/>
      <c r="G21" s="67">
        <v>1</v>
      </c>
      <c r="H21" s="219">
        <v>1</v>
      </c>
      <c r="I21" s="219">
        <v>1</v>
      </c>
      <c r="J21" s="195" t="s">
        <v>263</v>
      </c>
    </row>
    <row r="22" spans="2:10" s="75" customFormat="1">
      <c r="B22" s="306" t="s">
        <v>199</v>
      </c>
      <c r="C22" s="307"/>
      <c r="D22" s="307"/>
      <c r="E22" s="307"/>
      <c r="F22" s="307"/>
      <c r="G22" s="307"/>
      <c r="H22" s="307"/>
      <c r="I22" s="307"/>
      <c r="J22" s="308"/>
    </row>
    <row r="23" spans="2:10" s="6" customFormat="1" ht="28.9" customHeight="1">
      <c r="B23" s="235" t="s">
        <v>249</v>
      </c>
      <c r="C23" s="229" t="s">
        <v>264</v>
      </c>
      <c r="D23" s="230" t="s">
        <v>240</v>
      </c>
      <c r="E23" s="230" t="s">
        <v>264</v>
      </c>
      <c r="F23" s="222"/>
      <c r="G23" s="184">
        <v>0.75</v>
      </c>
      <c r="H23" s="216">
        <v>0.8</v>
      </c>
      <c r="I23" s="223">
        <v>0.8</v>
      </c>
      <c r="J23" s="210" t="s">
        <v>263</v>
      </c>
    </row>
    <row r="24" spans="2:10" s="75" customFormat="1" ht="25.5">
      <c r="B24" s="233" t="s">
        <v>250</v>
      </c>
      <c r="C24" s="226" t="s">
        <v>264</v>
      </c>
      <c r="D24" s="227" t="s">
        <v>240</v>
      </c>
      <c r="E24" s="227" t="s">
        <v>264</v>
      </c>
      <c r="F24" s="218"/>
      <c r="G24" s="126">
        <v>0.75</v>
      </c>
      <c r="H24" s="127">
        <v>0.8</v>
      </c>
      <c r="I24" s="220">
        <v>0.8</v>
      </c>
      <c r="J24" s="234" t="s">
        <v>263</v>
      </c>
    </row>
    <row r="25" spans="2:10" s="75" customFormat="1">
      <c r="B25" s="306" t="s">
        <v>200</v>
      </c>
      <c r="C25" s="307"/>
      <c r="D25" s="307"/>
      <c r="E25" s="307"/>
      <c r="F25" s="307"/>
      <c r="G25" s="307"/>
      <c r="H25" s="307"/>
      <c r="I25" s="307"/>
      <c r="J25" s="308"/>
    </row>
    <row r="26" spans="2:10" s="6" customFormat="1" ht="34.15" customHeight="1">
      <c r="B26" s="228" t="s">
        <v>251</v>
      </c>
      <c r="C26" s="229" t="s">
        <v>264</v>
      </c>
      <c r="D26" s="230" t="s">
        <v>240</v>
      </c>
      <c r="E26" s="230" t="s">
        <v>264</v>
      </c>
      <c r="F26" s="222"/>
      <c r="G26" s="184">
        <v>0.6</v>
      </c>
      <c r="H26" s="216">
        <v>0.7</v>
      </c>
      <c r="I26" s="217">
        <v>0.8</v>
      </c>
      <c r="J26" s="236" t="s">
        <v>263</v>
      </c>
    </row>
    <row r="27" spans="2:10" s="6" customFormat="1" ht="25.5">
      <c r="B27" s="237" t="s">
        <v>252</v>
      </c>
      <c r="C27" s="231" t="s">
        <v>264</v>
      </c>
      <c r="D27" s="232" t="s">
        <v>240</v>
      </c>
      <c r="E27" s="232" t="s">
        <v>264</v>
      </c>
      <c r="F27" s="238"/>
      <c r="G27" s="67">
        <v>0.75</v>
      </c>
      <c r="H27" s="219">
        <v>0.8</v>
      </c>
      <c r="I27" s="220">
        <v>0.9</v>
      </c>
      <c r="J27" s="239" t="s">
        <v>263</v>
      </c>
    </row>
    <row r="28" spans="2:10" s="6" customFormat="1" ht="38.25">
      <c r="B28" s="228" t="s">
        <v>253</v>
      </c>
      <c r="C28" s="229" t="s">
        <v>264</v>
      </c>
      <c r="D28" s="230" t="s">
        <v>240</v>
      </c>
      <c r="E28" s="230" t="s">
        <v>264</v>
      </c>
      <c r="F28" s="222"/>
      <c r="G28" s="184">
        <v>0.75</v>
      </c>
      <c r="H28" s="216">
        <v>0.8</v>
      </c>
      <c r="I28" s="217">
        <v>0.9</v>
      </c>
      <c r="J28" s="236" t="s">
        <v>263</v>
      </c>
    </row>
    <row r="29" spans="2:10" s="75" customFormat="1" ht="26.45" customHeight="1">
      <c r="B29" s="228" t="s">
        <v>237</v>
      </c>
      <c r="C29" s="229" t="s">
        <v>264</v>
      </c>
      <c r="D29" s="230"/>
      <c r="E29" s="230" t="s">
        <v>264</v>
      </c>
      <c r="F29" s="215"/>
      <c r="G29" s="184">
        <v>0.95</v>
      </c>
      <c r="H29" s="216">
        <v>0.95</v>
      </c>
      <c r="I29" s="217">
        <v>0.95</v>
      </c>
      <c r="J29" s="236" t="s">
        <v>266</v>
      </c>
    </row>
    <row r="30" spans="2:10" ht="38.25">
      <c r="B30" s="237" t="s">
        <v>238</v>
      </c>
      <c r="C30" s="231" t="s">
        <v>264</v>
      </c>
      <c r="D30" s="232"/>
      <c r="E30" s="232" t="s">
        <v>264</v>
      </c>
      <c r="F30" s="240"/>
      <c r="G30" s="67">
        <v>0.75</v>
      </c>
      <c r="H30" s="219">
        <v>0.85</v>
      </c>
      <c r="I30" s="220">
        <v>0.9</v>
      </c>
      <c r="J30" s="239" t="s">
        <v>263</v>
      </c>
    </row>
    <row r="31" spans="2:10">
      <c r="B31" s="306" t="s">
        <v>201</v>
      </c>
      <c r="C31" s="307"/>
      <c r="D31" s="307"/>
      <c r="E31" s="307"/>
      <c r="F31" s="307"/>
      <c r="G31" s="307"/>
      <c r="H31" s="307"/>
      <c r="I31" s="307"/>
      <c r="J31" s="308"/>
    </row>
    <row r="32" spans="2:10" ht="38.25">
      <c r="B32" s="228" t="s">
        <v>256</v>
      </c>
      <c r="C32" s="229" t="s">
        <v>264</v>
      </c>
      <c r="D32" s="230"/>
      <c r="E32" s="230" t="s">
        <v>264</v>
      </c>
      <c r="F32" s="241"/>
      <c r="G32" s="184">
        <v>0.2</v>
      </c>
      <c r="H32" s="216">
        <v>0.3</v>
      </c>
      <c r="I32" s="217">
        <v>0.4</v>
      </c>
      <c r="J32" s="210" t="s">
        <v>266</v>
      </c>
    </row>
    <row r="33" spans="2:10" ht="38.25">
      <c r="B33" s="228" t="s">
        <v>255</v>
      </c>
      <c r="C33" s="229" t="s">
        <v>264</v>
      </c>
      <c r="D33" s="230"/>
      <c r="E33" s="230" t="s">
        <v>264</v>
      </c>
      <c r="F33" s="241"/>
      <c r="G33" s="184">
        <v>0.2</v>
      </c>
      <c r="H33" s="216">
        <v>0.3</v>
      </c>
      <c r="I33" s="217">
        <v>0.4</v>
      </c>
      <c r="J33" s="210" t="s">
        <v>266</v>
      </c>
    </row>
    <row r="34" spans="2:10" ht="43.5" customHeight="1">
      <c r="B34" s="237" t="s">
        <v>254</v>
      </c>
      <c r="C34" s="231" t="s">
        <v>264</v>
      </c>
      <c r="D34" s="232"/>
      <c r="E34" s="232" t="s">
        <v>264</v>
      </c>
      <c r="F34" s="240"/>
      <c r="G34" s="67">
        <v>0.75</v>
      </c>
      <c r="H34" s="219">
        <v>0.85</v>
      </c>
      <c r="I34" s="220">
        <v>0.9</v>
      </c>
      <c r="J34" s="195" t="s">
        <v>266</v>
      </c>
    </row>
  </sheetData>
  <sheetProtection password="CC18" sheet="1" objects="1" scenarios="1"/>
  <mergeCells count="10">
    <mergeCell ref="B2:B3"/>
    <mergeCell ref="B5:B6"/>
    <mergeCell ref="C5:I5"/>
    <mergeCell ref="J5:J6"/>
    <mergeCell ref="B7:J7"/>
    <mergeCell ref="B17:J17"/>
    <mergeCell ref="B22:J22"/>
    <mergeCell ref="B25:J25"/>
    <mergeCell ref="B31:J31"/>
    <mergeCell ref="B11:J11"/>
  </mergeCells>
  <printOptions horizontalCentered="1"/>
  <pageMargins left="0.2" right="0.2" top="0.25" bottom="0.25" header="0.05" footer="0.05"/>
  <pageSetup scale="62" orientation="landscape" r:id="rId1"/>
  <headerFooter>
    <oddFooter>&amp;R&amp;P of &amp;N</oddFooter>
  </headerFooter>
</worksheet>
</file>

<file path=xl/worksheets/sheet5.xml><?xml version="1.0" encoding="utf-8"?>
<worksheet xmlns="http://schemas.openxmlformats.org/spreadsheetml/2006/main" xmlns:r="http://schemas.openxmlformats.org/officeDocument/2006/relationships">
  <dimension ref="A1:EG15"/>
  <sheetViews>
    <sheetView zoomScaleNormal="100" workbookViewId="0">
      <selection activeCell="EC23" sqref="EC23"/>
    </sheetView>
  </sheetViews>
  <sheetFormatPr defaultColWidth="8.85546875" defaultRowHeight="15"/>
  <cols>
    <col min="1" max="1" width="8.85546875" style="113"/>
    <col min="2" max="2" width="10.85546875" style="113" customWidth="1"/>
    <col min="3" max="6" width="8.85546875" style="113"/>
    <col min="7" max="7" width="7.28515625" style="113" customWidth="1"/>
    <col min="8" max="11" width="8.85546875" style="113"/>
    <col min="12" max="38" width="8.85546875" style="113" customWidth="1"/>
    <col min="39" max="65" width="8.85546875" style="113" hidden="1" customWidth="1"/>
    <col min="66" max="74" width="8.85546875" style="113" customWidth="1"/>
    <col min="75" max="83" width="8.85546875" style="113"/>
    <col min="84" max="137" width="8.85546875" style="113" customWidth="1"/>
    <col min="138" max="16384" width="8.85546875" style="113"/>
  </cols>
  <sheetData>
    <row r="1" spans="1:137" s="96" customFormat="1">
      <c r="A1" s="96">
        <v>1</v>
      </c>
      <c r="B1" s="96">
        <v>2</v>
      </c>
      <c r="C1" s="96">
        <v>3</v>
      </c>
      <c r="D1" s="96">
        <v>4</v>
      </c>
      <c r="E1" s="96">
        <v>5</v>
      </c>
      <c r="F1" s="96">
        <v>6</v>
      </c>
      <c r="G1" s="96">
        <v>7</v>
      </c>
      <c r="H1" s="96">
        <v>8</v>
      </c>
      <c r="I1" s="96">
        <v>9</v>
      </c>
      <c r="J1" s="96">
        <v>10</v>
      </c>
      <c r="K1" s="96">
        <v>11</v>
      </c>
      <c r="L1" s="96">
        <v>12</v>
      </c>
      <c r="M1" s="96">
        <v>13</v>
      </c>
      <c r="N1" s="96">
        <v>14</v>
      </c>
      <c r="O1" s="96">
        <v>15</v>
      </c>
      <c r="P1" s="96">
        <v>16</v>
      </c>
      <c r="Q1" s="96">
        <v>17</v>
      </c>
      <c r="R1" s="96">
        <v>18</v>
      </c>
      <c r="S1" s="96">
        <v>19</v>
      </c>
      <c r="T1" s="96">
        <v>20</v>
      </c>
      <c r="U1" s="96">
        <v>21</v>
      </c>
      <c r="V1" s="96">
        <v>22</v>
      </c>
      <c r="W1" s="96">
        <v>23</v>
      </c>
      <c r="X1" s="96">
        <v>24</v>
      </c>
      <c r="Y1" s="96">
        <v>25</v>
      </c>
      <c r="Z1" s="96">
        <v>26</v>
      </c>
      <c r="AA1" s="96">
        <v>27</v>
      </c>
      <c r="AB1" s="96">
        <v>28</v>
      </c>
      <c r="AC1" s="96">
        <v>29</v>
      </c>
      <c r="AD1" s="96">
        <v>30</v>
      </c>
      <c r="AE1" s="96">
        <v>31</v>
      </c>
      <c r="AF1" s="96">
        <v>32</v>
      </c>
      <c r="AG1" s="96">
        <v>33</v>
      </c>
      <c r="AH1" s="96">
        <v>34</v>
      </c>
      <c r="AI1" s="96">
        <v>35</v>
      </c>
      <c r="AJ1" s="96">
        <v>36</v>
      </c>
      <c r="AK1" s="96">
        <v>37</v>
      </c>
      <c r="AL1" s="96">
        <v>38</v>
      </c>
      <c r="AM1" s="96">
        <v>39</v>
      </c>
      <c r="AN1" s="96">
        <v>40</v>
      </c>
      <c r="AO1" s="96">
        <v>41</v>
      </c>
      <c r="AP1" s="96">
        <v>42</v>
      </c>
      <c r="AQ1" s="96">
        <v>43</v>
      </c>
      <c r="AR1" s="96">
        <v>44</v>
      </c>
      <c r="AS1" s="96">
        <v>45</v>
      </c>
      <c r="AT1" s="96">
        <v>46</v>
      </c>
      <c r="AU1" s="96">
        <v>47</v>
      </c>
      <c r="AV1" s="96">
        <v>48</v>
      </c>
      <c r="AW1" s="96">
        <v>49</v>
      </c>
      <c r="AX1" s="96">
        <v>50</v>
      </c>
      <c r="AY1" s="96">
        <v>51</v>
      </c>
      <c r="AZ1" s="96">
        <v>52</v>
      </c>
      <c r="BA1" s="96">
        <v>53</v>
      </c>
      <c r="BB1" s="96">
        <v>54</v>
      </c>
      <c r="BC1" s="96">
        <v>55</v>
      </c>
      <c r="BD1" s="96">
        <v>56</v>
      </c>
      <c r="BE1" s="96">
        <v>57</v>
      </c>
      <c r="BF1" s="96">
        <v>58</v>
      </c>
      <c r="BG1" s="96">
        <v>59</v>
      </c>
      <c r="BH1" s="96">
        <v>60</v>
      </c>
      <c r="BI1" s="96">
        <v>61</v>
      </c>
      <c r="BJ1" s="96">
        <v>62</v>
      </c>
      <c r="BK1" s="96">
        <v>63</v>
      </c>
      <c r="BL1" s="96">
        <v>64</v>
      </c>
      <c r="BM1" s="96">
        <v>65</v>
      </c>
      <c r="BN1" s="96">
        <v>66</v>
      </c>
      <c r="BO1" s="96">
        <v>67</v>
      </c>
      <c r="BP1" s="96">
        <v>68</v>
      </c>
      <c r="BQ1" s="96">
        <v>69</v>
      </c>
      <c r="BR1" s="96">
        <v>70</v>
      </c>
      <c r="BS1" s="96">
        <v>71</v>
      </c>
      <c r="BT1" s="96">
        <v>72</v>
      </c>
      <c r="BU1" s="96">
        <v>73</v>
      </c>
      <c r="BV1" s="96">
        <v>74</v>
      </c>
      <c r="BW1" s="96">
        <v>75</v>
      </c>
      <c r="BX1" s="96">
        <v>76</v>
      </c>
      <c r="BY1" s="96">
        <v>77</v>
      </c>
      <c r="BZ1" s="96">
        <v>78</v>
      </c>
      <c r="CA1" s="96">
        <v>79</v>
      </c>
      <c r="CB1" s="96">
        <v>80</v>
      </c>
      <c r="CC1" s="96">
        <v>81</v>
      </c>
      <c r="CD1" s="96">
        <v>82</v>
      </c>
      <c r="CE1" s="96">
        <v>83</v>
      </c>
      <c r="CF1" s="96">
        <v>84</v>
      </c>
      <c r="CG1" s="96">
        <v>85</v>
      </c>
      <c r="CH1" s="96">
        <v>86</v>
      </c>
      <c r="CI1" s="96">
        <v>87</v>
      </c>
      <c r="CJ1" s="96">
        <v>88</v>
      </c>
      <c r="CK1" s="96">
        <v>89</v>
      </c>
      <c r="CL1" s="96">
        <v>90</v>
      </c>
      <c r="CM1" s="96">
        <v>91</v>
      </c>
      <c r="CN1" s="96">
        <v>92</v>
      </c>
      <c r="CO1" s="96">
        <v>93</v>
      </c>
      <c r="CP1" s="96">
        <v>94</v>
      </c>
      <c r="CQ1" s="96">
        <v>95</v>
      </c>
      <c r="CR1" s="96">
        <v>96</v>
      </c>
      <c r="CS1" s="96">
        <v>97</v>
      </c>
      <c r="CT1" s="96">
        <v>98</v>
      </c>
      <c r="CU1" s="96">
        <v>99</v>
      </c>
      <c r="CV1" s="96">
        <v>100</v>
      </c>
      <c r="CW1" s="96">
        <v>101</v>
      </c>
      <c r="CX1" s="96">
        <v>102</v>
      </c>
      <c r="CY1" s="96">
        <v>103</v>
      </c>
      <c r="CZ1" s="96">
        <v>104</v>
      </c>
      <c r="DA1" s="96">
        <v>105</v>
      </c>
      <c r="DB1" s="96">
        <v>106</v>
      </c>
      <c r="DC1" s="96">
        <v>107</v>
      </c>
      <c r="DD1" s="96">
        <v>108</v>
      </c>
      <c r="DE1" s="96">
        <v>109</v>
      </c>
      <c r="DF1" s="96">
        <v>110</v>
      </c>
      <c r="DG1" s="96">
        <v>111</v>
      </c>
      <c r="DH1" s="96">
        <v>112</v>
      </c>
      <c r="DI1" s="96">
        <v>113</v>
      </c>
      <c r="DJ1" s="96">
        <v>114</v>
      </c>
      <c r="DK1" s="96">
        <v>115</v>
      </c>
      <c r="DL1" s="96">
        <v>116</v>
      </c>
      <c r="DM1" s="96">
        <v>117</v>
      </c>
      <c r="DN1" s="96">
        <v>118</v>
      </c>
      <c r="DO1" s="96">
        <v>119</v>
      </c>
      <c r="DP1" s="96">
        <v>120</v>
      </c>
      <c r="DQ1" s="96">
        <v>121</v>
      </c>
      <c r="DR1" s="96">
        <v>122</v>
      </c>
      <c r="DS1" s="96">
        <v>123</v>
      </c>
      <c r="DT1" s="96">
        <v>124</v>
      </c>
      <c r="DU1" s="96">
        <v>125</v>
      </c>
      <c r="DV1" s="96">
        <v>126</v>
      </c>
      <c r="DW1" s="96">
        <v>127</v>
      </c>
      <c r="DX1" s="96">
        <v>128</v>
      </c>
      <c r="DY1" s="96">
        <v>129</v>
      </c>
      <c r="DZ1" s="96">
        <v>130</v>
      </c>
      <c r="EA1" s="96">
        <v>131</v>
      </c>
      <c r="EB1" s="96">
        <v>132</v>
      </c>
      <c r="EC1" s="96">
        <v>133</v>
      </c>
      <c r="ED1" s="96">
        <v>134</v>
      </c>
      <c r="EE1" s="96">
        <v>135</v>
      </c>
      <c r="EF1" s="96">
        <v>136</v>
      </c>
      <c r="EG1" s="96">
        <v>137</v>
      </c>
    </row>
    <row r="2" spans="1:137" s="120" customFormat="1" ht="60">
      <c r="A2" s="112" t="s">
        <v>54</v>
      </c>
      <c r="B2" s="112" t="s">
        <v>55</v>
      </c>
      <c r="C2" s="112" t="s">
        <v>56</v>
      </c>
      <c r="D2" s="112" t="s">
        <v>57</v>
      </c>
      <c r="E2" s="112" t="s">
        <v>58</v>
      </c>
      <c r="F2" s="112" t="s">
        <v>59</v>
      </c>
      <c r="G2" s="112" t="s">
        <v>60</v>
      </c>
      <c r="H2" s="112" t="s">
        <v>61</v>
      </c>
      <c r="I2" s="112" t="s">
        <v>62</v>
      </c>
      <c r="J2" s="112" t="s">
        <v>54</v>
      </c>
      <c r="K2" s="112" t="s">
        <v>63</v>
      </c>
      <c r="L2" s="114" t="s">
        <v>64</v>
      </c>
      <c r="M2" s="114" t="s">
        <v>65</v>
      </c>
      <c r="N2" s="114" t="s">
        <v>66</v>
      </c>
      <c r="O2" s="114" t="s">
        <v>67</v>
      </c>
      <c r="P2" s="114" t="s">
        <v>68</v>
      </c>
      <c r="Q2" s="114" t="s">
        <v>69</v>
      </c>
      <c r="R2" s="114" t="s">
        <v>70</v>
      </c>
      <c r="S2" s="114" t="s">
        <v>71</v>
      </c>
      <c r="T2" s="114" t="s">
        <v>72</v>
      </c>
      <c r="U2" s="114" t="s">
        <v>73</v>
      </c>
      <c r="V2" s="114" t="s">
        <v>74</v>
      </c>
      <c r="W2" s="114" t="s">
        <v>75</v>
      </c>
      <c r="X2" s="114" t="s">
        <v>76</v>
      </c>
      <c r="Y2" s="114" t="s">
        <v>77</v>
      </c>
      <c r="Z2" s="114" t="s">
        <v>78</v>
      </c>
      <c r="AA2" s="114" t="s">
        <v>79</v>
      </c>
      <c r="AB2" s="114" t="s">
        <v>80</v>
      </c>
      <c r="AC2" s="114" t="s">
        <v>81</v>
      </c>
      <c r="AD2" s="114" t="s">
        <v>82</v>
      </c>
      <c r="AE2" s="114" t="s">
        <v>83</v>
      </c>
      <c r="AF2" s="114" t="s">
        <v>84</v>
      </c>
      <c r="AG2" s="114" t="s">
        <v>85</v>
      </c>
      <c r="AH2" s="114" t="s">
        <v>86</v>
      </c>
      <c r="AI2" s="114" t="s">
        <v>87</v>
      </c>
      <c r="AJ2" s="114" t="s">
        <v>88</v>
      </c>
      <c r="AK2" s="114" t="s">
        <v>89</v>
      </c>
      <c r="AL2" s="114" t="s">
        <v>90</v>
      </c>
      <c r="AM2" s="115" t="s">
        <v>91</v>
      </c>
      <c r="AN2" s="115" t="s">
        <v>92</v>
      </c>
      <c r="AO2" s="115" t="s">
        <v>93</v>
      </c>
      <c r="AP2" s="115" t="s">
        <v>94</v>
      </c>
      <c r="AQ2" s="115" t="s">
        <v>95</v>
      </c>
      <c r="AR2" s="115" t="s">
        <v>96</v>
      </c>
      <c r="AS2" s="115" t="s">
        <v>97</v>
      </c>
      <c r="AT2" s="115" t="s">
        <v>98</v>
      </c>
      <c r="AU2" s="115" t="s">
        <v>99</v>
      </c>
      <c r="AV2" s="115" t="s">
        <v>100</v>
      </c>
      <c r="AW2" s="115" t="s">
        <v>101</v>
      </c>
      <c r="AX2" s="115" t="s">
        <v>102</v>
      </c>
      <c r="AY2" s="115" t="s">
        <v>103</v>
      </c>
      <c r="AZ2" s="115" t="s">
        <v>104</v>
      </c>
      <c r="BA2" s="115" t="s">
        <v>105</v>
      </c>
      <c r="BB2" s="115" t="s">
        <v>106</v>
      </c>
      <c r="BC2" s="115" t="s">
        <v>107</v>
      </c>
      <c r="BD2" s="115" t="s">
        <v>108</v>
      </c>
      <c r="BE2" s="116" t="s">
        <v>109</v>
      </c>
      <c r="BF2" s="116" t="s">
        <v>110</v>
      </c>
      <c r="BG2" s="116" t="s">
        <v>111</v>
      </c>
      <c r="BH2" s="116" t="s">
        <v>112</v>
      </c>
      <c r="BI2" s="116" t="s">
        <v>113</v>
      </c>
      <c r="BJ2" s="116" t="s">
        <v>114</v>
      </c>
      <c r="BK2" s="116" t="s">
        <v>115</v>
      </c>
      <c r="BL2" s="116" t="s">
        <v>116</v>
      </c>
      <c r="BM2" s="116" t="s">
        <v>117</v>
      </c>
      <c r="BN2" s="117" t="s">
        <v>118</v>
      </c>
      <c r="BO2" s="117" t="s">
        <v>119</v>
      </c>
      <c r="BP2" s="117" t="s">
        <v>120</v>
      </c>
      <c r="BQ2" s="117" t="s">
        <v>121</v>
      </c>
      <c r="BR2" s="117" t="s">
        <v>122</v>
      </c>
      <c r="BS2" s="117" t="s">
        <v>123</v>
      </c>
      <c r="BT2" s="117" t="s">
        <v>124</v>
      </c>
      <c r="BU2" s="117" t="s">
        <v>125</v>
      </c>
      <c r="BV2" s="117" t="s">
        <v>126</v>
      </c>
      <c r="BW2" s="117" t="s">
        <v>127</v>
      </c>
      <c r="BX2" s="117" t="s">
        <v>128</v>
      </c>
      <c r="BY2" s="117" t="s">
        <v>129</v>
      </c>
      <c r="BZ2" s="117" t="s">
        <v>130</v>
      </c>
      <c r="CA2" s="117" t="s">
        <v>131</v>
      </c>
      <c r="CB2" s="117" t="s">
        <v>132</v>
      </c>
      <c r="CC2" s="117" t="s">
        <v>133</v>
      </c>
      <c r="CD2" s="117" t="s">
        <v>134</v>
      </c>
      <c r="CE2" s="117" t="s">
        <v>135</v>
      </c>
      <c r="CF2" s="118" t="s">
        <v>136</v>
      </c>
      <c r="CG2" s="118" t="s">
        <v>137</v>
      </c>
      <c r="CH2" s="118" t="s">
        <v>138</v>
      </c>
      <c r="CI2" s="118" t="s">
        <v>139</v>
      </c>
      <c r="CJ2" s="118" t="s">
        <v>140</v>
      </c>
      <c r="CK2" s="118" t="s">
        <v>141</v>
      </c>
      <c r="CL2" s="118" t="s">
        <v>142</v>
      </c>
      <c r="CM2" s="118" t="s">
        <v>143</v>
      </c>
      <c r="CN2" s="118" t="s">
        <v>144</v>
      </c>
      <c r="CO2" s="118" t="s">
        <v>145</v>
      </c>
      <c r="CP2" s="118" t="s">
        <v>146</v>
      </c>
      <c r="CQ2" s="118" t="s">
        <v>147</v>
      </c>
      <c r="CR2" s="118" t="s">
        <v>148</v>
      </c>
      <c r="CS2" s="118" t="s">
        <v>149</v>
      </c>
      <c r="CT2" s="118" t="s">
        <v>150</v>
      </c>
      <c r="CU2" s="118" t="s">
        <v>151</v>
      </c>
      <c r="CV2" s="118" t="s">
        <v>152</v>
      </c>
      <c r="CW2" s="118" t="s">
        <v>153</v>
      </c>
      <c r="CX2" s="118" t="s">
        <v>154</v>
      </c>
      <c r="CY2" s="118" t="s">
        <v>155</v>
      </c>
      <c r="CZ2" s="118" t="s">
        <v>156</v>
      </c>
      <c r="DA2" s="118" t="s">
        <v>157</v>
      </c>
      <c r="DB2" s="118" t="s">
        <v>158</v>
      </c>
      <c r="DC2" s="118" t="s">
        <v>159</v>
      </c>
      <c r="DD2" s="118" t="s">
        <v>160</v>
      </c>
      <c r="DE2" s="118" t="s">
        <v>161</v>
      </c>
      <c r="DF2" s="118" t="s">
        <v>162</v>
      </c>
      <c r="DG2" s="119" t="s">
        <v>163</v>
      </c>
      <c r="DH2" s="119" t="s">
        <v>164</v>
      </c>
      <c r="DI2" s="119" t="s">
        <v>165</v>
      </c>
      <c r="DJ2" s="119" t="s">
        <v>166</v>
      </c>
      <c r="DK2" s="119" t="s">
        <v>167</v>
      </c>
      <c r="DL2" s="119" t="s">
        <v>168</v>
      </c>
      <c r="DM2" s="119" t="s">
        <v>169</v>
      </c>
      <c r="DN2" s="119" t="s">
        <v>170</v>
      </c>
      <c r="DO2" s="119" t="s">
        <v>171</v>
      </c>
      <c r="DP2" s="119" t="s">
        <v>172</v>
      </c>
      <c r="DQ2" s="119" t="s">
        <v>173</v>
      </c>
      <c r="DR2" s="119" t="s">
        <v>174</v>
      </c>
      <c r="DS2" s="119" t="s">
        <v>175</v>
      </c>
      <c r="DT2" s="119" t="s">
        <v>176</v>
      </c>
      <c r="DU2" s="119" t="s">
        <v>177</v>
      </c>
      <c r="DV2" s="119" t="s">
        <v>178</v>
      </c>
      <c r="DW2" s="119" t="s">
        <v>179</v>
      </c>
      <c r="DX2" s="119" t="s">
        <v>180</v>
      </c>
      <c r="DY2" s="119" t="s">
        <v>181</v>
      </c>
      <c r="DZ2" s="119" t="s">
        <v>182</v>
      </c>
      <c r="EA2" s="119" t="s">
        <v>183</v>
      </c>
      <c r="EB2" s="119" t="s">
        <v>184</v>
      </c>
      <c r="EC2" s="119" t="s">
        <v>185</v>
      </c>
      <c r="ED2" s="119" t="s">
        <v>186</v>
      </c>
      <c r="EE2" s="119" t="s">
        <v>187</v>
      </c>
      <c r="EF2" s="119" t="s">
        <v>188</v>
      </c>
      <c r="EG2" s="119" t="s">
        <v>189</v>
      </c>
    </row>
    <row r="3" spans="1:137" s="125" customFormat="1">
      <c r="A3" s="124" t="s">
        <v>205</v>
      </c>
      <c r="B3" s="124" t="s">
        <v>206</v>
      </c>
      <c r="C3" s="124" t="s">
        <v>207</v>
      </c>
      <c r="D3" s="124" t="s">
        <v>208</v>
      </c>
      <c r="E3" s="124" t="s">
        <v>209</v>
      </c>
      <c r="F3" s="124" t="s">
        <v>210</v>
      </c>
      <c r="G3" s="124" t="s">
        <v>211</v>
      </c>
      <c r="H3" s="124" t="s">
        <v>204</v>
      </c>
      <c r="I3" s="124" t="s">
        <v>30</v>
      </c>
      <c r="J3" s="124" t="s">
        <v>205</v>
      </c>
      <c r="K3" s="124" t="s">
        <v>191</v>
      </c>
      <c r="L3" s="124" t="s">
        <v>190</v>
      </c>
      <c r="M3" s="124" t="s">
        <v>190</v>
      </c>
      <c r="N3" s="124" t="s">
        <v>190</v>
      </c>
      <c r="O3" s="124" t="s">
        <v>190</v>
      </c>
      <c r="P3" s="124" t="s">
        <v>190</v>
      </c>
      <c r="Q3" s="124" t="s">
        <v>190</v>
      </c>
      <c r="R3" s="124" t="s">
        <v>190</v>
      </c>
      <c r="S3" s="124" t="s">
        <v>190</v>
      </c>
      <c r="T3" s="124" t="s">
        <v>190</v>
      </c>
      <c r="U3" s="124" t="s">
        <v>190</v>
      </c>
      <c r="V3" s="124" t="s">
        <v>190</v>
      </c>
      <c r="W3" s="124" t="s">
        <v>190</v>
      </c>
      <c r="X3" s="124" t="s">
        <v>190</v>
      </c>
      <c r="Y3" s="124" t="s">
        <v>190</v>
      </c>
      <c r="Z3" s="124" t="s">
        <v>190</v>
      </c>
      <c r="AA3" s="124" t="s">
        <v>190</v>
      </c>
      <c r="AB3" s="124" t="s">
        <v>190</v>
      </c>
      <c r="AC3" s="124" t="s">
        <v>190</v>
      </c>
      <c r="AD3" s="124" t="s">
        <v>190</v>
      </c>
      <c r="AE3" s="124" t="s">
        <v>190</v>
      </c>
      <c r="AF3" s="124" t="s">
        <v>190</v>
      </c>
      <c r="AG3" s="124" t="s">
        <v>190</v>
      </c>
      <c r="AH3" s="124" t="s">
        <v>190</v>
      </c>
      <c r="AI3" s="124" t="s">
        <v>190</v>
      </c>
      <c r="AJ3" s="124" t="s">
        <v>190</v>
      </c>
      <c r="AK3" s="124" t="s">
        <v>190</v>
      </c>
      <c r="AL3" s="124" t="s">
        <v>190</v>
      </c>
      <c r="AM3" s="124" t="s">
        <v>190</v>
      </c>
      <c r="AN3" s="124" t="s">
        <v>190</v>
      </c>
      <c r="AO3" s="124" t="s">
        <v>190</v>
      </c>
      <c r="AP3" s="124" t="s">
        <v>190</v>
      </c>
      <c r="AQ3" s="124" t="s">
        <v>190</v>
      </c>
      <c r="AR3" s="124" t="s">
        <v>190</v>
      </c>
      <c r="AS3" s="124" t="s">
        <v>190</v>
      </c>
      <c r="AT3" s="124" t="s">
        <v>190</v>
      </c>
      <c r="AU3" s="124" t="s">
        <v>190</v>
      </c>
      <c r="AV3" s="124" t="s">
        <v>190</v>
      </c>
      <c r="AW3" s="124" t="s">
        <v>190</v>
      </c>
      <c r="AX3" s="124" t="s">
        <v>190</v>
      </c>
      <c r="AY3" s="124" t="s">
        <v>190</v>
      </c>
      <c r="AZ3" s="124" t="s">
        <v>190</v>
      </c>
      <c r="BA3" s="124" t="s">
        <v>190</v>
      </c>
      <c r="BB3" s="124" t="s">
        <v>190</v>
      </c>
      <c r="BC3" s="124" t="s">
        <v>190</v>
      </c>
      <c r="BD3" s="124" t="s">
        <v>190</v>
      </c>
      <c r="BE3" s="124" t="s">
        <v>190</v>
      </c>
      <c r="BF3" s="124" t="s">
        <v>190</v>
      </c>
      <c r="BG3" s="124" t="s">
        <v>190</v>
      </c>
      <c r="BH3" s="124" t="s">
        <v>190</v>
      </c>
      <c r="BI3" s="124" t="s">
        <v>190</v>
      </c>
      <c r="BJ3" s="124" t="s">
        <v>190</v>
      </c>
      <c r="BK3" s="124" t="s">
        <v>190</v>
      </c>
      <c r="BL3" s="124" t="s">
        <v>190</v>
      </c>
      <c r="BM3" s="124" t="s">
        <v>190</v>
      </c>
      <c r="BN3" s="124" t="s">
        <v>190</v>
      </c>
      <c r="BO3" s="124" t="s">
        <v>190</v>
      </c>
      <c r="BP3" s="124" t="s">
        <v>190</v>
      </c>
      <c r="BQ3" s="124" t="s">
        <v>190</v>
      </c>
      <c r="BR3" s="124" t="s">
        <v>190</v>
      </c>
      <c r="BS3" s="124" t="s">
        <v>190</v>
      </c>
      <c r="BT3" s="124" t="s">
        <v>190</v>
      </c>
      <c r="BU3" s="124" t="s">
        <v>190</v>
      </c>
      <c r="BV3" s="124" t="s">
        <v>190</v>
      </c>
      <c r="BW3" s="124" t="s">
        <v>190</v>
      </c>
      <c r="BX3" s="124" t="s">
        <v>190</v>
      </c>
      <c r="BY3" s="124" t="s">
        <v>190</v>
      </c>
      <c r="BZ3" s="124" t="s">
        <v>190</v>
      </c>
      <c r="CA3" s="124" t="s">
        <v>190</v>
      </c>
      <c r="CB3" s="124" t="s">
        <v>190</v>
      </c>
      <c r="CC3" s="124" t="s">
        <v>190</v>
      </c>
      <c r="CD3" s="124" t="s">
        <v>190</v>
      </c>
      <c r="CE3" s="124" t="s">
        <v>190</v>
      </c>
      <c r="CF3" s="124" t="s">
        <v>190</v>
      </c>
      <c r="CG3" s="124" t="s">
        <v>190</v>
      </c>
      <c r="CH3" s="124" t="s">
        <v>190</v>
      </c>
      <c r="CI3" s="124" t="s">
        <v>190</v>
      </c>
      <c r="CJ3" s="124" t="s">
        <v>190</v>
      </c>
      <c r="CK3" s="124" t="s">
        <v>190</v>
      </c>
      <c r="CL3" s="124" t="s">
        <v>190</v>
      </c>
      <c r="CM3" s="124" t="s">
        <v>190</v>
      </c>
      <c r="CN3" s="124" t="s">
        <v>190</v>
      </c>
      <c r="CO3" s="124" t="s">
        <v>190</v>
      </c>
      <c r="CP3" s="124" t="s">
        <v>190</v>
      </c>
      <c r="CQ3" s="124" t="s">
        <v>190</v>
      </c>
      <c r="CR3" s="124" t="s">
        <v>190</v>
      </c>
      <c r="CS3" s="124" t="s">
        <v>190</v>
      </c>
      <c r="CT3" s="124" t="s">
        <v>190</v>
      </c>
      <c r="CU3" s="124" t="s">
        <v>190</v>
      </c>
      <c r="CV3" s="124" t="s">
        <v>190</v>
      </c>
      <c r="CW3" s="124" t="s">
        <v>190</v>
      </c>
      <c r="CX3" s="124" t="s">
        <v>190</v>
      </c>
      <c r="CY3" s="124" t="s">
        <v>190</v>
      </c>
      <c r="CZ3" s="124" t="s">
        <v>190</v>
      </c>
      <c r="DA3" s="124" t="s">
        <v>190</v>
      </c>
      <c r="DB3" s="124" t="s">
        <v>190</v>
      </c>
      <c r="DC3" s="124" t="s">
        <v>190</v>
      </c>
      <c r="DD3" s="124" t="s">
        <v>190</v>
      </c>
      <c r="DE3" s="124" t="s">
        <v>190</v>
      </c>
      <c r="DF3" s="124" t="s">
        <v>190</v>
      </c>
      <c r="DG3" s="124" t="s">
        <v>190</v>
      </c>
      <c r="DH3" s="124" t="s">
        <v>190</v>
      </c>
      <c r="DI3" s="124" t="s">
        <v>190</v>
      </c>
      <c r="DJ3" s="124" t="s">
        <v>190</v>
      </c>
      <c r="DK3" s="124" t="s">
        <v>190</v>
      </c>
      <c r="DL3" s="124" t="s">
        <v>190</v>
      </c>
      <c r="DM3" s="124" t="s">
        <v>190</v>
      </c>
      <c r="DN3" s="124" t="s">
        <v>190</v>
      </c>
      <c r="DO3" s="124" t="s">
        <v>190</v>
      </c>
      <c r="DP3" s="124" t="s">
        <v>190</v>
      </c>
      <c r="DQ3" s="124" t="s">
        <v>190</v>
      </c>
      <c r="DR3" s="124" t="s">
        <v>190</v>
      </c>
      <c r="DS3" s="124" t="s">
        <v>190</v>
      </c>
      <c r="DT3" s="124" t="s">
        <v>190</v>
      </c>
      <c r="DU3" s="124" t="s">
        <v>190</v>
      </c>
      <c r="DV3" s="124" t="s">
        <v>190</v>
      </c>
      <c r="DW3" s="124" t="s">
        <v>190</v>
      </c>
      <c r="DX3" s="124" t="s">
        <v>190</v>
      </c>
      <c r="DY3" s="124" t="s">
        <v>190</v>
      </c>
      <c r="DZ3" s="124" t="s">
        <v>190</v>
      </c>
      <c r="EA3" s="124" t="s">
        <v>190</v>
      </c>
      <c r="EB3" s="124" t="s">
        <v>190</v>
      </c>
      <c r="EC3" s="124" t="s">
        <v>190</v>
      </c>
      <c r="ED3" s="124" t="s">
        <v>190</v>
      </c>
      <c r="EE3" s="124" t="s">
        <v>190</v>
      </c>
      <c r="EF3" s="124" t="s">
        <v>190</v>
      </c>
      <c r="EG3" s="124" t="s">
        <v>190</v>
      </c>
    </row>
    <row r="4" spans="1:137" s="125" customFormat="1">
      <c r="A4" s="124" t="s">
        <v>212</v>
      </c>
      <c r="B4" s="124" t="s">
        <v>213</v>
      </c>
      <c r="C4" s="124" t="s">
        <v>207</v>
      </c>
      <c r="D4" s="124" t="s">
        <v>208</v>
      </c>
      <c r="E4" s="124" t="s">
        <v>209</v>
      </c>
      <c r="F4" s="124" t="s">
        <v>210</v>
      </c>
      <c r="G4" s="124" t="s">
        <v>211</v>
      </c>
      <c r="H4" s="124" t="s">
        <v>204</v>
      </c>
      <c r="I4" s="124" t="s">
        <v>45</v>
      </c>
      <c r="J4" s="124" t="s">
        <v>212</v>
      </c>
      <c r="K4" s="124" t="s">
        <v>191</v>
      </c>
      <c r="L4" s="124" t="s">
        <v>190</v>
      </c>
      <c r="M4" s="124" t="s">
        <v>190</v>
      </c>
      <c r="N4" s="124" t="s">
        <v>190</v>
      </c>
      <c r="O4" s="124" t="s">
        <v>190</v>
      </c>
      <c r="P4" s="124" t="s">
        <v>190</v>
      </c>
      <c r="Q4" s="124" t="s">
        <v>190</v>
      </c>
      <c r="R4" s="124" t="s">
        <v>190</v>
      </c>
      <c r="S4" s="124" t="s">
        <v>190</v>
      </c>
      <c r="T4" s="124" t="s">
        <v>190</v>
      </c>
      <c r="U4" s="124" t="s">
        <v>190</v>
      </c>
      <c r="V4" s="124" t="s">
        <v>190</v>
      </c>
      <c r="W4" s="124" t="s">
        <v>190</v>
      </c>
      <c r="X4" s="124" t="s">
        <v>190</v>
      </c>
      <c r="Y4" s="124" t="s">
        <v>190</v>
      </c>
      <c r="Z4" s="124" t="s">
        <v>190</v>
      </c>
      <c r="AA4" s="124" t="s">
        <v>190</v>
      </c>
      <c r="AB4" s="124" t="s">
        <v>190</v>
      </c>
      <c r="AC4" s="124" t="s">
        <v>190</v>
      </c>
      <c r="AD4" s="124" t="s">
        <v>190</v>
      </c>
      <c r="AE4" s="124" t="s">
        <v>190</v>
      </c>
      <c r="AF4" s="124" t="s">
        <v>190</v>
      </c>
      <c r="AG4" s="124" t="s">
        <v>190</v>
      </c>
      <c r="AH4" s="124" t="s">
        <v>190</v>
      </c>
      <c r="AI4" s="124" t="s">
        <v>190</v>
      </c>
      <c r="AJ4" s="124" t="s">
        <v>190</v>
      </c>
      <c r="AK4" s="124" t="s">
        <v>190</v>
      </c>
      <c r="AL4" s="124" t="s">
        <v>190</v>
      </c>
      <c r="AM4" s="124" t="s">
        <v>190</v>
      </c>
      <c r="AN4" s="124" t="s">
        <v>190</v>
      </c>
      <c r="AO4" s="124" t="s">
        <v>190</v>
      </c>
      <c r="AP4" s="124" t="s">
        <v>190</v>
      </c>
      <c r="AQ4" s="124" t="s">
        <v>190</v>
      </c>
      <c r="AR4" s="124" t="s">
        <v>190</v>
      </c>
      <c r="AS4" s="124" t="s">
        <v>190</v>
      </c>
      <c r="AT4" s="124" t="s">
        <v>190</v>
      </c>
      <c r="AU4" s="124" t="s">
        <v>190</v>
      </c>
      <c r="AV4" s="124" t="s">
        <v>190</v>
      </c>
      <c r="AW4" s="124" t="s">
        <v>190</v>
      </c>
      <c r="AX4" s="124" t="s">
        <v>190</v>
      </c>
      <c r="AY4" s="124" t="s">
        <v>190</v>
      </c>
      <c r="AZ4" s="124" t="s">
        <v>190</v>
      </c>
      <c r="BA4" s="124" t="s">
        <v>190</v>
      </c>
      <c r="BB4" s="124" t="s">
        <v>190</v>
      </c>
      <c r="BC4" s="124" t="s">
        <v>190</v>
      </c>
      <c r="BD4" s="124" t="s">
        <v>190</v>
      </c>
      <c r="BE4" s="124" t="s">
        <v>190</v>
      </c>
      <c r="BF4" s="124" t="s">
        <v>190</v>
      </c>
      <c r="BG4" s="124" t="s">
        <v>190</v>
      </c>
      <c r="BH4" s="124" t="s">
        <v>190</v>
      </c>
      <c r="BI4" s="124" t="s">
        <v>190</v>
      </c>
      <c r="BJ4" s="124" t="s">
        <v>190</v>
      </c>
      <c r="BK4" s="124" t="s">
        <v>190</v>
      </c>
      <c r="BL4" s="124" t="s">
        <v>190</v>
      </c>
      <c r="BM4" s="124" t="s">
        <v>190</v>
      </c>
      <c r="BN4" s="124" t="s">
        <v>190</v>
      </c>
      <c r="BO4" s="124" t="s">
        <v>190</v>
      </c>
      <c r="BP4" s="124" t="s">
        <v>190</v>
      </c>
      <c r="BQ4" s="124" t="s">
        <v>190</v>
      </c>
      <c r="BR4" s="124" t="s">
        <v>190</v>
      </c>
      <c r="BS4" s="124" t="s">
        <v>190</v>
      </c>
      <c r="BT4" s="124" t="s">
        <v>190</v>
      </c>
      <c r="BU4" s="124" t="s">
        <v>190</v>
      </c>
      <c r="BV4" s="124" t="s">
        <v>190</v>
      </c>
      <c r="BW4" s="124" t="s">
        <v>190</v>
      </c>
      <c r="BX4" s="124" t="s">
        <v>190</v>
      </c>
      <c r="BY4" s="124" t="s">
        <v>190</v>
      </c>
      <c r="BZ4" s="124" t="s">
        <v>190</v>
      </c>
      <c r="CA4" s="124" t="s">
        <v>190</v>
      </c>
      <c r="CB4" s="124" t="s">
        <v>190</v>
      </c>
      <c r="CC4" s="124" t="s">
        <v>190</v>
      </c>
      <c r="CD4" s="124" t="s">
        <v>190</v>
      </c>
      <c r="CE4" s="124" t="s">
        <v>190</v>
      </c>
      <c r="CF4" s="124" t="s">
        <v>190</v>
      </c>
      <c r="CG4" s="124" t="s">
        <v>190</v>
      </c>
      <c r="CH4" s="124" t="s">
        <v>190</v>
      </c>
      <c r="CI4" s="124" t="s">
        <v>190</v>
      </c>
      <c r="CJ4" s="124" t="s">
        <v>190</v>
      </c>
      <c r="CK4" s="124" t="s">
        <v>190</v>
      </c>
      <c r="CL4" s="124" t="s">
        <v>190</v>
      </c>
      <c r="CM4" s="124" t="s">
        <v>190</v>
      </c>
      <c r="CN4" s="124" t="s">
        <v>190</v>
      </c>
      <c r="CO4" s="124" t="s">
        <v>190</v>
      </c>
      <c r="CP4" s="124" t="s">
        <v>190</v>
      </c>
      <c r="CQ4" s="124" t="s">
        <v>190</v>
      </c>
      <c r="CR4" s="124" t="s">
        <v>190</v>
      </c>
      <c r="CS4" s="124" t="s">
        <v>190</v>
      </c>
      <c r="CT4" s="124" t="s">
        <v>190</v>
      </c>
      <c r="CU4" s="124" t="s">
        <v>190</v>
      </c>
      <c r="CV4" s="124" t="s">
        <v>190</v>
      </c>
      <c r="CW4" s="124" t="s">
        <v>190</v>
      </c>
      <c r="CX4" s="124" t="s">
        <v>190</v>
      </c>
      <c r="CY4" s="124" t="s">
        <v>190</v>
      </c>
      <c r="CZ4" s="124" t="s">
        <v>190</v>
      </c>
      <c r="DA4" s="124" t="s">
        <v>190</v>
      </c>
      <c r="DB4" s="124" t="s">
        <v>190</v>
      </c>
      <c r="DC4" s="124" t="s">
        <v>190</v>
      </c>
      <c r="DD4" s="124" t="s">
        <v>190</v>
      </c>
      <c r="DE4" s="124" t="s">
        <v>190</v>
      </c>
      <c r="DF4" s="124" t="s">
        <v>190</v>
      </c>
      <c r="DG4" s="124" t="s">
        <v>190</v>
      </c>
      <c r="DH4" s="124" t="s">
        <v>190</v>
      </c>
      <c r="DI4" s="124" t="s">
        <v>190</v>
      </c>
      <c r="DJ4" s="124" t="s">
        <v>190</v>
      </c>
      <c r="DK4" s="124" t="s">
        <v>190</v>
      </c>
      <c r="DL4" s="124" t="s">
        <v>190</v>
      </c>
      <c r="DM4" s="124" t="s">
        <v>190</v>
      </c>
      <c r="DN4" s="124" t="s">
        <v>190</v>
      </c>
      <c r="DO4" s="124" t="s">
        <v>190</v>
      </c>
      <c r="DP4" s="124" t="s">
        <v>190</v>
      </c>
      <c r="DQ4" s="124" t="s">
        <v>190</v>
      </c>
      <c r="DR4" s="124" t="s">
        <v>190</v>
      </c>
      <c r="DS4" s="124" t="s">
        <v>190</v>
      </c>
      <c r="DT4" s="124" t="s">
        <v>190</v>
      </c>
      <c r="DU4" s="124" t="s">
        <v>190</v>
      </c>
      <c r="DV4" s="124" t="s">
        <v>190</v>
      </c>
      <c r="DW4" s="124" t="s">
        <v>190</v>
      </c>
      <c r="DX4" s="124" t="s">
        <v>190</v>
      </c>
      <c r="DY4" s="124" t="s">
        <v>190</v>
      </c>
      <c r="DZ4" s="124" t="s">
        <v>190</v>
      </c>
      <c r="EA4" s="124" t="s">
        <v>190</v>
      </c>
      <c r="EB4" s="124" t="s">
        <v>190</v>
      </c>
      <c r="EC4" s="124" t="s">
        <v>190</v>
      </c>
      <c r="ED4" s="124" t="s">
        <v>190</v>
      </c>
      <c r="EE4" s="124" t="s">
        <v>190</v>
      </c>
      <c r="EF4" s="124" t="s">
        <v>190</v>
      </c>
      <c r="EG4" s="124" t="s">
        <v>190</v>
      </c>
    </row>
    <row r="5" spans="1:137" s="125" customFormat="1">
      <c r="A5" s="124" t="s">
        <v>214</v>
      </c>
      <c r="B5" s="124" t="s">
        <v>215</v>
      </c>
      <c r="C5" s="124" t="s">
        <v>207</v>
      </c>
      <c r="D5" s="124" t="s">
        <v>208</v>
      </c>
      <c r="E5" s="124" t="s">
        <v>209</v>
      </c>
      <c r="F5" s="124" t="s">
        <v>210</v>
      </c>
      <c r="G5" s="124" t="s">
        <v>211</v>
      </c>
      <c r="H5" s="124" t="s">
        <v>204</v>
      </c>
      <c r="I5" s="124" t="s">
        <v>35</v>
      </c>
      <c r="J5" s="124" t="s">
        <v>214</v>
      </c>
      <c r="K5" s="124" t="s">
        <v>191</v>
      </c>
      <c r="L5" s="124" t="s">
        <v>190</v>
      </c>
      <c r="M5" s="124" t="s">
        <v>190</v>
      </c>
      <c r="N5" s="124" t="s">
        <v>190</v>
      </c>
      <c r="O5" s="124" t="s">
        <v>190</v>
      </c>
      <c r="P5" s="124" t="s">
        <v>190</v>
      </c>
      <c r="Q5" s="124" t="s">
        <v>190</v>
      </c>
      <c r="R5" s="124" t="s">
        <v>190</v>
      </c>
      <c r="S5" s="124" t="s">
        <v>190</v>
      </c>
      <c r="T5" s="124" t="s">
        <v>190</v>
      </c>
      <c r="U5" s="124" t="s">
        <v>190</v>
      </c>
      <c r="V5" s="124" t="s">
        <v>190</v>
      </c>
      <c r="W5" s="124" t="s">
        <v>190</v>
      </c>
      <c r="X5" s="124" t="s">
        <v>190</v>
      </c>
      <c r="Y5" s="124" t="s">
        <v>190</v>
      </c>
      <c r="Z5" s="124" t="s">
        <v>190</v>
      </c>
      <c r="AA5" s="124" t="s">
        <v>190</v>
      </c>
      <c r="AB5" s="124" t="s">
        <v>190</v>
      </c>
      <c r="AC5" s="124" t="s">
        <v>190</v>
      </c>
      <c r="AD5" s="124" t="s">
        <v>190</v>
      </c>
      <c r="AE5" s="124" t="s">
        <v>190</v>
      </c>
      <c r="AF5" s="124" t="s">
        <v>190</v>
      </c>
      <c r="AG5" s="124" t="s">
        <v>190</v>
      </c>
      <c r="AH5" s="124" t="s">
        <v>190</v>
      </c>
      <c r="AI5" s="124" t="s">
        <v>190</v>
      </c>
      <c r="AJ5" s="124" t="s">
        <v>190</v>
      </c>
      <c r="AK5" s="124" t="s">
        <v>190</v>
      </c>
      <c r="AL5" s="124" t="s">
        <v>190</v>
      </c>
      <c r="AM5" s="124" t="s">
        <v>190</v>
      </c>
      <c r="AN5" s="124" t="s">
        <v>190</v>
      </c>
      <c r="AO5" s="124" t="s">
        <v>190</v>
      </c>
      <c r="AP5" s="124" t="s">
        <v>190</v>
      </c>
      <c r="AQ5" s="124" t="s">
        <v>190</v>
      </c>
      <c r="AR5" s="124" t="s">
        <v>190</v>
      </c>
      <c r="AS5" s="124" t="s">
        <v>190</v>
      </c>
      <c r="AT5" s="124" t="s">
        <v>190</v>
      </c>
      <c r="AU5" s="124" t="s">
        <v>190</v>
      </c>
      <c r="AV5" s="124" t="s">
        <v>190</v>
      </c>
      <c r="AW5" s="124" t="s">
        <v>190</v>
      </c>
      <c r="AX5" s="124" t="s">
        <v>190</v>
      </c>
      <c r="AY5" s="124" t="s">
        <v>190</v>
      </c>
      <c r="AZ5" s="124" t="s">
        <v>190</v>
      </c>
      <c r="BA5" s="124" t="s">
        <v>190</v>
      </c>
      <c r="BB5" s="124" t="s">
        <v>190</v>
      </c>
      <c r="BC5" s="124" t="s">
        <v>190</v>
      </c>
      <c r="BD5" s="124" t="s">
        <v>190</v>
      </c>
      <c r="BE5" s="124" t="s">
        <v>190</v>
      </c>
      <c r="BF5" s="124" t="s">
        <v>190</v>
      </c>
      <c r="BG5" s="124" t="s">
        <v>190</v>
      </c>
      <c r="BH5" s="124" t="s">
        <v>190</v>
      </c>
      <c r="BI5" s="124" t="s">
        <v>190</v>
      </c>
      <c r="BJ5" s="124" t="s">
        <v>190</v>
      </c>
      <c r="BK5" s="124" t="s">
        <v>190</v>
      </c>
      <c r="BL5" s="124" t="s">
        <v>190</v>
      </c>
      <c r="BM5" s="124" t="s">
        <v>190</v>
      </c>
      <c r="BN5" s="124" t="s">
        <v>190</v>
      </c>
      <c r="BO5" s="124" t="s">
        <v>190</v>
      </c>
      <c r="BP5" s="124" t="s">
        <v>190</v>
      </c>
      <c r="BQ5" s="124" t="s">
        <v>190</v>
      </c>
      <c r="BR5" s="124" t="s">
        <v>190</v>
      </c>
      <c r="BS5" s="124" t="s">
        <v>190</v>
      </c>
      <c r="BT5" s="124" t="s">
        <v>190</v>
      </c>
      <c r="BU5" s="124" t="s">
        <v>190</v>
      </c>
      <c r="BV5" s="124" t="s">
        <v>190</v>
      </c>
      <c r="BW5" s="124" t="s">
        <v>190</v>
      </c>
      <c r="BX5" s="124" t="s">
        <v>190</v>
      </c>
      <c r="BY5" s="124" t="s">
        <v>190</v>
      </c>
      <c r="BZ5" s="124" t="s">
        <v>190</v>
      </c>
      <c r="CA5" s="124" t="s">
        <v>190</v>
      </c>
      <c r="CB5" s="124" t="s">
        <v>190</v>
      </c>
      <c r="CC5" s="124" t="s">
        <v>190</v>
      </c>
      <c r="CD5" s="124" t="s">
        <v>190</v>
      </c>
      <c r="CE5" s="124" t="s">
        <v>190</v>
      </c>
      <c r="CF5" s="124" t="s">
        <v>190</v>
      </c>
      <c r="CG5" s="124" t="s">
        <v>190</v>
      </c>
      <c r="CH5" s="124" t="s">
        <v>190</v>
      </c>
      <c r="CI5" s="124" t="s">
        <v>190</v>
      </c>
      <c r="CJ5" s="124" t="s">
        <v>190</v>
      </c>
      <c r="CK5" s="124" t="s">
        <v>190</v>
      </c>
      <c r="CL5" s="124" t="s">
        <v>190</v>
      </c>
      <c r="CM5" s="124" t="s">
        <v>190</v>
      </c>
      <c r="CN5" s="124" t="s">
        <v>190</v>
      </c>
      <c r="CO5" s="124" t="s">
        <v>190</v>
      </c>
      <c r="CP5" s="124" t="s">
        <v>190</v>
      </c>
      <c r="CQ5" s="124" t="s">
        <v>190</v>
      </c>
      <c r="CR5" s="124" t="s">
        <v>190</v>
      </c>
      <c r="CS5" s="124" t="s">
        <v>190</v>
      </c>
      <c r="CT5" s="124" t="s">
        <v>190</v>
      </c>
      <c r="CU5" s="124" t="s">
        <v>190</v>
      </c>
      <c r="CV5" s="124" t="s">
        <v>190</v>
      </c>
      <c r="CW5" s="124" t="s">
        <v>190</v>
      </c>
      <c r="CX5" s="124" t="s">
        <v>190</v>
      </c>
      <c r="CY5" s="124" t="s">
        <v>190</v>
      </c>
      <c r="CZ5" s="124" t="s">
        <v>190</v>
      </c>
      <c r="DA5" s="124" t="s">
        <v>190</v>
      </c>
      <c r="DB5" s="124" t="s">
        <v>190</v>
      </c>
      <c r="DC5" s="124" t="s">
        <v>190</v>
      </c>
      <c r="DD5" s="124" t="s">
        <v>190</v>
      </c>
      <c r="DE5" s="124" t="s">
        <v>190</v>
      </c>
      <c r="DF5" s="124" t="s">
        <v>190</v>
      </c>
      <c r="DG5" s="124" t="s">
        <v>190</v>
      </c>
      <c r="DH5" s="124" t="s">
        <v>190</v>
      </c>
      <c r="DI5" s="124" t="s">
        <v>190</v>
      </c>
      <c r="DJ5" s="124" t="s">
        <v>190</v>
      </c>
      <c r="DK5" s="124" t="s">
        <v>190</v>
      </c>
      <c r="DL5" s="124" t="s">
        <v>190</v>
      </c>
      <c r="DM5" s="124" t="s">
        <v>190</v>
      </c>
      <c r="DN5" s="124" t="s">
        <v>190</v>
      </c>
      <c r="DO5" s="124" t="s">
        <v>190</v>
      </c>
      <c r="DP5" s="124" t="s">
        <v>190</v>
      </c>
      <c r="DQ5" s="124" t="s">
        <v>190</v>
      </c>
      <c r="DR5" s="124" t="s">
        <v>190</v>
      </c>
      <c r="DS5" s="124" t="s">
        <v>190</v>
      </c>
      <c r="DT5" s="124" t="s">
        <v>190</v>
      </c>
      <c r="DU5" s="124" t="s">
        <v>190</v>
      </c>
      <c r="DV5" s="124" t="s">
        <v>190</v>
      </c>
      <c r="DW5" s="124" t="s">
        <v>190</v>
      </c>
      <c r="DX5" s="124" t="s">
        <v>190</v>
      </c>
      <c r="DY5" s="124" t="s">
        <v>190</v>
      </c>
      <c r="DZ5" s="124" t="s">
        <v>190</v>
      </c>
      <c r="EA5" s="124" t="s">
        <v>190</v>
      </c>
      <c r="EB5" s="124" t="s">
        <v>190</v>
      </c>
      <c r="EC5" s="124" t="s">
        <v>190</v>
      </c>
      <c r="ED5" s="124" t="s">
        <v>190</v>
      </c>
      <c r="EE5" s="124" t="s">
        <v>190</v>
      </c>
      <c r="EF5" s="124" t="s">
        <v>190</v>
      </c>
      <c r="EG5" s="124" t="s">
        <v>190</v>
      </c>
    </row>
    <row r="6" spans="1:137" s="125" customFormat="1">
      <c r="A6" s="124" t="s">
        <v>216</v>
      </c>
      <c r="B6" s="124" t="s">
        <v>217</v>
      </c>
      <c r="C6" s="124" t="s">
        <v>207</v>
      </c>
      <c r="D6" s="124" t="s">
        <v>208</v>
      </c>
      <c r="E6" s="124" t="s">
        <v>209</v>
      </c>
      <c r="F6" s="124" t="s">
        <v>210</v>
      </c>
      <c r="G6" s="124" t="s">
        <v>211</v>
      </c>
      <c r="H6" s="124" t="s">
        <v>204</v>
      </c>
      <c r="I6" s="124" t="s">
        <v>28</v>
      </c>
      <c r="J6" s="124" t="s">
        <v>216</v>
      </c>
      <c r="K6" s="124" t="s">
        <v>191</v>
      </c>
      <c r="L6" s="124">
        <v>41.8</v>
      </c>
      <c r="M6" s="124">
        <v>46.7</v>
      </c>
      <c r="N6" s="124">
        <v>35.5</v>
      </c>
      <c r="O6" s="124">
        <v>51.5</v>
      </c>
      <c r="P6" s="124">
        <v>31.4</v>
      </c>
      <c r="Q6" s="124">
        <v>56.4</v>
      </c>
      <c r="R6" s="124">
        <v>61.2</v>
      </c>
      <c r="S6" s="124">
        <v>66.099999999999994</v>
      </c>
      <c r="T6" s="124">
        <v>70.900000000000006</v>
      </c>
      <c r="U6" s="124">
        <v>28.1</v>
      </c>
      <c r="V6" s="124">
        <v>34.1</v>
      </c>
      <c r="W6" s="124">
        <v>28.6</v>
      </c>
      <c r="X6" s="124">
        <v>40.1</v>
      </c>
      <c r="Y6" s="124">
        <v>26.8</v>
      </c>
      <c r="Z6" s="124">
        <v>46.1</v>
      </c>
      <c r="AA6" s="124">
        <v>52.1</v>
      </c>
      <c r="AB6" s="124">
        <v>58.1</v>
      </c>
      <c r="AC6" s="124">
        <v>64.099999999999994</v>
      </c>
      <c r="AD6" s="124">
        <v>25</v>
      </c>
      <c r="AE6" s="124">
        <v>31.3</v>
      </c>
      <c r="AF6" s="124">
        <v>35.700000000000003</v>
      </c>
      <c r="AG6" s="124">
        <v>37.5</v>
      </c>
      <c r="AH6" s="124">
        <v>28.9</v>
      </c>
      <c r="AI6" s="124">
        <v>43.8</v>
      </c>
      <c r="AJ6" s="124">
        <v>50</v>
      </c>
      <c r="AK6" s="124">
        <v>56.3</v>
      </c>
      <c r="AL6" s="124">
        <v>62.5</v>
      </c>
      <c r="AM6" s="124" t="s">
        <v>190</v>
      </c>
      <c r="AN6" s="124" t="s">
        <v>190</v>
      </c>
      <c r="AO6" s="124" t="s">
        <v>190</v>
      </c>
      <c r="AP6" s="124" t="s">
        <v>190</v>
      </c>
      <c r="AQ6" s="124" t="s">
        <v>190</v>
      </c>
      <c r="AR6" s="124" t="s">
        <v>190</v>
      </c>
      <c r="AS6" s="124" t="s">
        <v>190</v>
      </c>
      <c r="AT6" s="124" t="s">
        <v>190</v>
      </c>
      <c r="AU6" s="124" t="s">
        <v>190</v>
      </c>
      <c r="AV6" s="124" t="s">
        <v>190</v>
      </c>
      <c r="AW6" s="124" t="s">
        <v>190</v>
      </c>
      <c r="AX6" s="124" t="s">
        <v>190</v>
      </c>
      <c r="AY6" s="124" t="s">
        <v>190</v>
      </c>
      <c r="AZ6" s="124" t="s">
        <v>190</v>
      </c>
      <c r="BA6" s="124" t="s">
        <v>190</v>
      </c>
      <c r="BB6" s="124" t="s">
        <v>190</v>
      </c>
      <c r="BC6" s="124" t="s">
        <v>190</v>
      </c>
      <c r="BD6" s="124" t="s">
        <v>190</v>
      </c>
      <c r="BE6" s="124" t="s">
        <v>190</v>
      </c>
      <c r="BF6" s="124" t="s">
        <v>190</v>
      </c>
      <c r="BG6" s="124" t="s">
        <v>190</v>
      </c>
      <c r="BH6" s="124" t="s">
        <v>190</v>
      </c>
      <c r="BI6" s="124" t="s">
        <v>190</v>
      </c>
      <c r="BJ6" s="124" t="s">
        <v>190</v>
      </c>
      <c r="BK6" s="124" t="s">
        <v>190</v>
      </c>
      <c r="BL6" s="124" t="s">
        <v>190</v>
      </c>
      <c r="BM6" s="124" t="s">
        <v>190</v>
      </c>
      <c r="BN6" s="124">
        <v>57.5</v>
      </c>
      <c r="BO6" s="124">
        <v>51</v>
      </c>
      <c r="BP6" s="124">
        <v>49.5</v>
      </c>
      <c r="BQ6" s="124">
        <v>51</v>
      </c>
      <c r="BR6" s="124">
        <v>25</v>
      </c>
      <c r="BS6" s="124">
        <v>35</v>
      </c>
      <c r="BT6" s="124">
        <v>45</v>
      </c>
      <c r="BU6" s="124">
        <v>51</v>
      </c>
      <c r="BV6" s="124">
        <v>51</v>
      </c>
      <c r="BW6" s="124">
        <v>63</v>
      </c>
      <c r="BX6" s="124">
        <v>51</v>
      </c>
      <c r="BY6" s="124">
        <v>46.5</v>
      </c>
      <c r="BZ6" s="124">
        <v>51</v>
      </c>
      <c r="CA6" s="124">
        <v>47</v>
      </c>
      <c r="CB6" s="124">
        <v>51</v>
      </c>
      <c r="CC6" s="124">
        <v>51</v>
      </c>
      <c r="CD6" s="124">
        <v>51</v>
      </c>
      <c r="CE6" s="124">
        <v>51</v>
      </c>
      <c r="CF6" s="243" t="s">
        <v>190</v>
      </c>
      <c r="CG6" s="243" t="s">
        <v>190</v>
      </c>
      <c r="CH6" s="243" t="s">
        <v>190</v>
      </c>
      <c r="CI6" s="243" t="s">
        <v>190</v>
      </c>
      <c r="CJ6" s="124">
        <v>74.5</v>
      </c>
      <c r="CK6" s="245" t="s">
        <v>278</v>
      </c>
      <c r="CL6" s="245" t="s">
        <v>278</v>
      </c>
      <c r="CM6" s="245" t="s">
        <v>278</v>
      </c>
      <c r="CN6" s="245" t="s">
        <v>278</v>
      </c>
      <c r="CO6" s="243" t="s">
        <v>190</v>
      </c>
      <c r="CP6" s="243" t="s">
        <v>190</v>
      </c>
      <c r="CQ6" s="243" t="s">
        <v>190</v>
      </c>
      <c r="CR6" s="243" t="s">
        <v>190</v>
      </c>
      <c r="CS6" s="124">
        <v>89.5</v>
      </c>
      <c r="CT6" s="245" t="s">
        <v>278</v>
      </c>
      <c r="CU6" s="245" t="s">
        <v>278</v>
      </c>
      <c r="CV6" s="245" t="s">
        <v>278</v>
      </c>
      <c r="CW6" s="245" t="s">
        <v>278</v>
      </c>
      <c r="CX6" s="243" t="s">
        <v>190</v>
      </c>
      <c r="CY6" s="243" t="s">
        <v>190</v>
      </c>
      <c r="CZ6" s="243" t="s">
        <v>190</v>
      </c>
      <c r="DA6" s="243" t="s">
        <v>190</v>
      </c>
      <c r="DB6" s="124">
        <v>78.900000000000006</v>
      </c>
      <c r="DC6" s="245" t="s">
        <v>278</v>
      </c>
      <c r="DD6" s="245" t="s">
        <v>278</v>
      </c>
      <c r="DE6" s="245" t="s">
        <v>278</v>
      </c>
      <c r="DF6" s="245" t="s">
        <v>278</v>
      </c>
      <c r="DG6" s="243" t="s">
        <v>190</v>
      </c>
      <c r="DH6" s="243" t="s">
        <v>190</v>
      </c>
      <c r="DI6" s="243" t="s">
        <v>190</v>
      </c>
      <c r="DJ6" s="243" t="s">
        <v>190</v>
      </c>
      <c r="DK6" s="124">
        <v>0</v>
      </c>
      <c r="DL6" s="245" t="s">
        <v>278</v>
      </c>
      <c r="DM6" s="245" t="s">
        <v>278</v>
      </c>
      <c r="DN6" s="245" t="s">
        <v>278</v>
      </c>
      <c r="DO6" s="245" t="s">
        <v>278</v>
      </c>
      <c r="DP6" s="243" t="s">
        <v>190</v>
      </c>
      <c r="DQ6" s="243" t="s">
        <v>190</v>
      </c>
      <c r="DR6" s="243" t="s">
        <v>190</v>
      </c>
      <c r="DS6" s="243" t="s">
        <v>190</v>
      </c>
      <c r="DT6" s="124">
        <v>0</v>
      </c>
      <c r="DU6" s="245" t="s">
        <v>278</v>
      </c>
      <c r="DV6" s="245" t="s">
        <v>278</v>
      </c>
      <c r="DW6" s="245" t="s">
        <v>278</v>
      </c>
      <c r="DX6" s="245" t="s">
        <v>278</v>
      </c>
      <c r="DY6" s="243" t="s">
        <v>190</v>
      </c>
      <c r="DZ6" s="243" t="s">
        <v>190</v>
      </c>
      <c r="EA6" s="243" t="s">
        <v>190</v>
      </c>
      <c r="EB6" s="243" t="s">
        <v>190</v>
      </c>
      <c r="EC6" s="124">
        <v>0</v>
      </c>
      <c r="ED6" s="245" t="s">
        <v>278</v>
      </c>
      <c r="EE6" s="245" t="s">
        <v>278</v>
      </c>
      <c r="EF6" s="245" t="s">
        <v>278</v>
      </c>
      <c r="EG6" s="245" t="s">
        <v>278</v>
      </c>
    </row>
    <row r="7" spans="1:137" s="125" customFormat="1">
      <c r="A7" s="124" t="s">
        <v>218</v>
      </c>
      <c r="B7" s="124" t="s">
        <v>219</v>
      </c>
      <c r="C7" s="124" t="s">
        <v>207</v>
      </c>
      <c r="D7" s="124" t="s">
        <v>208</v>
      </c>
      <c r="E7" s="124" t="s">
        <v>209</v>
      </c>
      <c r="F7" s="124" t="s">
        <v>210</v>
      </c>
      <c r="G7" s="124" t="s">
        <v>211</v>
      </c>
      <c r="H7" s="124" t="s">
        <v>204</v>
      </c>
      <c r="I7" s="124" t="s">
        <v>26</v>
      </c>
      <c r="J7" s="124" t="s">
        <v>218</v>
      </c>
      <c r="K7" s="124" t="s">
        <v>191</v>
      </c>
      <c r="L7" s="124">
        <v>56.7</v>
      </c>
      <c r="M7" s="124">
        <v>60.3</v>
      </c>
      <c r="N7" s="124">
        <v>54.5</v>
      </c>
      <c r="O7" s="124">
        <v>63.9</v>
      </c>
      <c r="P7" s="124">
        <v>51.7</v>
      </c>
      <c r="Q7" s="124">
        <v>67.5</v>
      </c>
      <c r="R7" s="124">
        <v>71.099999999999994</v>
      </c>
      <c r="S7" s="124">
        <v>74.7</v>
      </c>
      <c r="T7" s="124">
        <v>78.400000000000006</v>
      </c>
      <c r="U7" s="124">
        <v>45.4</v>
      </c>
      <c r="V7" s="124">
        <v>50</v>
      </c>
      <c r="W7" s="124">
        <v>43.3</v>
      </c>
      <c r="X7" s="124">
        <v>54.5</v>
      </c>
      <c r="Y7" s="124">
        <v>43.5</v>
      </c>
      <c r="Z7" s="124">
        <v>59.1</v>
      </c>
      <c r="AA7" s="124">
        <v>63.6</v>
      </c>
      <c r="AB7" s="124">
        <v>68.2</v>
      </c>
      <c r="AC7" s="124">
        <v>72.7</v>
      </c>
      <c r="AD7" s="124">
        <v>38</v>
      </c>
      <c r="AE7" s="124">
        <v>43.2</v>
      </c>
      <c r="AF7" s="124">
        <v>35.299999999999997</v>
      </c>
      <c r="AG7" s="124">
        <v>48.3</v>
      </c>
      <c r="AH7" s="124">
        <v>37.299999999999997</v>
      </c>
      <c r="AI7" s="124">
        <v>53.5</v>
      </c>
      <c r="AJ7" s="124">
        <v>58.7</v>
      </c>
      <c r="AK7" s="124">
        <v>63.8</v>
      </c>
      <c r="AL7" s="124">
        <v>69</v>
      </c>
      <c r="AM7" s="124" t="s">
        <v>190</v>
      </c>
      <c r="AN7" s="124" t="s">
        <v>190</v>
      </c>
      <c r="AO7" s="124" t="s">
        <v>190</v>
      </c>
      <c r="AP7" s="124" t="s">
        <v>190</v>
      </c>
      <c r="AQ7" s="124" t="s">
        <v>190</v>
      </c>
      <c r="AR7" s="124" t="s">
        <v>190</v>
      </c>
      <c r="AS7" s="124" t="s">
        <v>190</v>
      </c>
      <c r="AT7" s="124" t="s">
        <v>190</v>
      </c>
      <c r="AU7" s="124" t="s">
        <v>190</v>
      </c>
      <c r="AV7" s="124" t="s">
        <v>190</v>
      </c>
      <c r="AW7" s="124" t="s">
        <v>190</v>
      </c>
      <c r="AX7" s="124" t="s">
        <v>190</v>
      </c>
      <c r="AY7" s="124" t="s">
        <v>190</v>
      </c>
      <c r="AZ7" s="124" t="s">
        <v>190</v>
      </c>
      <c r="BA7" s="124" t="s">
        <v>190</v>
      </c>
      <c r="BB7" s="124" t="s">
        <v>190</v>
      </c>
      <c r="BC7" s="124" t="s">
        <v>190</v>
      </c>
      <c r="BD7" s="124" t="s">
        <v>190</v>
      </c>
      <c r="BE7" s="124" t="s">
        <v>190</v>
      </c>
      <c r="BF7" s="124" t="s">
        <v>190</v>
      </c>
      <c r="BG7" s="124" t="s">
        <v>190</v>
      </c>
      <c r="BH7" s="124" t="s">
        <v>190</v>
      </c>
      <c r="BI7" s="124" t="s">
        <v>190</v>
      </c>
      <c r="BJ7" s="124" t="s">
        <v>190</v>
      </c>
      <c r="BK7" s="124" t="s">
        <v>190</v>
      </c>
      <c r="BL7" s="124" t="s">
        <v>190</v>
      </c>
      <c r="BM7" s="124" t="s">
        <v>190</v>
      </c>
      <c r="BN7" s="124">
        <v>52.5</v>
      </c>
      <c r="BO7" s="124">
        <v>51</v>
      </c>
      <c r="BP7" s="124">
        <v>58</v>
      </c>
      <c r="BQ7" s="124">
        <v>51</v>
      </c>
      <c r="BR7" s="124">
        <v>44</v>
      </c>
      <c r="BS7" s="124">
        <v>51</v>
      </c>
      <c r="BT7" s="124">
        <v>51</v>
      </c>
      <c r="BU7" s="124">
        <v>51</v>
      </c>
      <c r="BV7" s="124">
        <v>51</v>
      </c>
      <c r="BW7" s="124">
        <v>67.5</v>
      </c>
      <c r="BX7" s="124">
        <v>51</v>
      </c>
      <c r="BY7" s="124">
        <v>58.5</v>
      </c>
      <c r="BZ7" s="124">
        <v>51</v>
      </c>
      <c r="CA7" s="124">
        <v>49</v>
      </c>
      <c r="CB7" s="124">
        <v>51</v>
      </c>
      <c r="CC7" s="124">
        <v>51</v>
      </c>
      <c r="CD7" s="124">
        <v>51</v>
      </c>
      <c r="CE7" s="124">
        <v>51</v>
      </c>
      <c r="CF7" s="243" t="s">
        <v>190</v>
      </c>
      <c r="CG7" s="243" t="s">
        <v>190</v>
      </c>
      <c r="CH7" s="243" t="s">
        <v>190</v>
      </c>
      <c r="CI7" s="243" t="s">
        <v>190</v>
      </c>
      <c r="CJ7" s="124">
        <v>42</v>
      </c>
      <c r="CK7" s="245" t="s">
        <v>278</v>
      </c>
      <c r="CL7" s="245" t="s">
        <v>278</v>
      </c>
      <c r="CM7" s="245" t="s">
        <v>278</v>
      </c>
      <c r="CN7" s="245" t="s">
        <v>278</v>
      </c>
      <c r="CO7" s="243" t="s">
        <v>190</v>
      </c>
      <c r="CP7" s="243" t="s">
        <v>190</v>
      </c>
      <c r="CQ7" s="243" t="s">
        <v>190</v>
      </c>
      <c r="CR7" s="243" t="s">
        <v>190</v>
      </c>
      <c r="CS7" s="124">
        <v>57.9</v>
      </c>
      <c r="CT7" s="245" t="s">
        <v>278</v>
      </c>
      <c r="CU7" s="245" t="s">
        <v>278</v>
      </c>
      <c r="CV7" s="245" t="s">
        <v>278</v>
      </c>
      <c r="CW7" s="245" t="s">
        <v>278</v>
      </c>
      <c r="CX7" s="243" t="s">
        <v>190</v>
      </c>
      <c r="CY7" s="243" t="s">
        <v>190</v>
      </c>
      <c r="CZ7" s="243" t="s">
        <v>190</v>
      </c>
      <c r="DA7" s="243" t="s">
        <v>190</v>
      </c>
      <c r="DB7" s="124">
        <v>60</v>
      </c>
      <c r="DC7" s="245" t="s">
        <v>278</v>
      </c>
      <c r="DD7" s="245" t="s">
        <v>278</v>
      </c>
      <c r="DE7" s="245" t="s">
        <v>278</v>
      </c>
      <c r="DF7" s="245" t="s">
        <v>278</v>
      </c>
      <c r="DG7" s="243" t="s">
        <v>190</v>
      </c>
      <c r="DH7" s="243" t="s">
        <v>190</v>
      </c>
      <c r="DI7" s="243" t="s">
        <v>190</v>
      </c>
      <c r="DJ7" s="243" t="s">
        <v>190</v>
      </c>
      <c r="DK7" s="124">
        <v>0</v>
      </c>
      <c r="DL7" s="245" t="s">
        <v>278</v>
      </c>
      <c r="DM7" s="245" t="s">
        <v>278</v>
      </c>
      <c r="DN7" s="245" t="s">
        <v>278</v>
      </c>
      <c r="DO7" s="245" t="s">
        <v>278</v>
      </c>
      <c r="DP7" s="243" t="s">
        <v>190</v>
      </c>
      <c r="DQ7" s="243" t="s">
        <v>190</v>
      </c>
      <c r="DR7" s="243" t="s">
        <v>190</v>
      </c>
      <c r="DS7" s="243" t="s">
        <v>190</v>
      </c>
      <c r="DT7" s="124">
        <v>1.3</v>
      </c>
      <c r="DU7" s="245" t="s">
        <v>278</v>
      </c>
      <c r="DV7" s="245" t="s">
        <v>278</v>
      </c>
      <c r="DW7" s="245" t="s">
        <v>278</v>
      </c>
      <c r="DX7" s="245" t="s">
        <v>278</v>
      </c>
      <c r="DY7" s="243" t="s">
        <v>190</v>
      </c>
      <c r="DZ7" s="243" t="s">
        <v>190</v>
      </c>
      <c r="EA7" s="243" t="s">
        <v>190</v>
      </c>
      <c r="EB7" s="243" t="s">
        <v>190</v>
      </c>
      <c r="EC7" s="124">
        <v>0</v>
      </c>
      <c r="ED7" s="245" t="s">
        <v>278</v>
      </c>
      <c r="EE7" s="245" t="s">
        <v>278</v>
      </c>
      <c r="EF7" s="245" t="s">
        <v>278</v>
      </c>
      <c r="EG7" s="245" t="s">
        <v>278</v>
      </c>
    </row>
    <row r="8" spans="1:137" s="125" customFormat="1">
      <c r="A8" s="124" t="s">
        <v>220</v>
      </c>
      <c r="B8" s="124" t="s">
        <v>221</v>
      </c>
      <c r="C8" s="124" t="s">
        <v>207</v>
      </c>
      <c r="D8" s="124" t="s">
        <v>208</v>
      </c>
      <c r="E8" s="124" t="s">
        <v>209</v>
      </c>
      <c r="F8" s="124" t="s">
        <v>210</v>
      </c>
      <c r="G8" s="124" t="s">
        <v>211</v>
      </c>
      <c r="H8" s="124" t="s">
        <v>204</v>
      </c>
      <c r="I8" s="124" t="s">
        <v>32</v>
      </c>
      <c r="J8" s="124" t="s">
        <v>220</v>
      </c>
      <c r="K8" s="124" t="s">
        <v>191</v>
      </c>
      <c r="L8" s="124">
        <v>55.9</v>
      </c>
      <c r="M8" s="124">
        <v>59.6</v>
      </c>
      <c r="N8" s="124">
        <v>53.8</v>
      </c>
      <c r="O8" s="124">
        <v>63.3</v>
      </c>
      <c r="P8" s="124">
        <v>50.2</v>
      </c>
      <c r="Q8" s="124">
        <v>66.900000000000006</v>
      </c>
      <c r="R8" s="124">
        <v>70.599999999999994</v>
      </c>
      <c r="S8" s="124">
        <v>74.3</v>
      </c>
      <c r="T8" s="124">
        <v>78</v>
      </c>
      <c r="U8" s="124">
        <v>45.5</v>
      </c>
      <c r="V8" s="124">
        <v>50</v>
      </c>
      <c r="W8" s="124">
        <v>42.1</v>
      </c>
      <c r="X8" s="124">
        <v>54.6</v>
      </c>
      <c r="Y8" s="124">
        <v>42.8</v>
      </c>
      <c r="Z8" s="124">
        <v>59.1</v>
      </c>
      <c r="AA8" s="124">
        <v>63.7</v>
      </c>
      <c r="AB8" s="124">
        <v>68.2</v>
      </c>
      <c r="AC8" s="124">
        <v>72.8</v>
      </c>
      <c r="AD8" s="124">
        <v>38.4</v>
      </c>
      <c r="AE8" s="124">
        <v>43.5</v>
      </c>
      <c r="AF8" s="124">
        <v>36.200000000000003</v>
      </c>
      <c r="AG8" s="124">
        <v>48.7</v>
      </c>
      <c r="AH8" s="124">
        <v>35.4</v>
      </c>
      <c r="AI8" s="124">
        <v>53.8</v>
      </c>
      <c r="AJ8" s="124">
        <v>58.9</v>
      </c>
      <c r="AK8" s="124">
        <v>64.099999999999994</v>
      </c>
      <c r="AL8" s="124">
        <v>69.2</v>
      </c>
      <c r="AM8" s="124" t="s">
        <v>190</v>
      </c>
      <c r="AN8" s="124" t="s">
        <v>190</v>
      </c>
      <c r="AO8" s="124" t="s">
        <v>190</v>
      </c>
      <c r="AP8" s="124" t="s">
        <v>190</v>
      </c>
      <c r="AQ8" s="124" t="s">
        <v>190</v>
      </c>
      <c r="AR8" s="124" t="s">
        <v>190</v>
      </c>
      <c r="AS8" s="124" t="s">
        <v>190</v>
      </c>
      <c r="AT8" s="124" t="s">
        <v>190</v>
      </c>
      <c r="AU8" s="124" t="s">
        <v>190</v>
      </c>
      <c r="AV8" s="124" t="s">
        <v>190</v>
      </c>
      <c r="AW8" s="124" t="s">
        <v>190</v>
      </c>
      <c r="AX8" s="124" t="s">
        <v>190</v>
      </c>
      <c r="AY8" s="124" t="s">
        <v>190</v>
      </c>
      <c r="AZ8" s="124" t="s">
        <v>190</v>
      </c>
      <c r="BA8" s="124" t="s">
        <v>190</v>
      </c>
      <c r="BB8" s="124" t="s">
        <v>190</v>
      </c>
      <c r="BC8" s="124" t="s">
        <v>190</v>
      </c>
      <c r="BD8" s="124" t="s">
        <v>190</v>
      </c>
      <c r="BE8" s="124" t="s">
        <v>190</v>
      </c>
      <c r="BF8" s="124" t="s">
        <v>190</v>
      </c>
      <c r="BG8" s="124" t="s">
        <v>190</v>
      </c>
      <c r="BH8" s="124" t="s">
        <v>190</v>
      </c>
      <c r="BI8" s="124" t="s">
        <v>190</v>
      </c>
      <c r="BJ8" s="124" t="s">
        <v>190</v>
      </c>
      <c r="BK8" s="124" t="s">
        <v>190</v>
      </c>
      <c r="BL8" s="124" t="s">
        <v>190</v>
      </c>
      <c r="BM8" s="124" t="s">
        <v>190</v>
      </c>
      <c r="BN8" s="124">
        <v>51</v>
      </c>
      <c r="BO8" s="124">
        <v>51</v>
      </c>
      <c r="BP8" s="124">
        <v>58</v>
      </c>
      <c r="BQ8" s="124">
        <v>51</v>
      </c>
      <c r="BR8" s="124">
        <v>44</v>
      </c>
      <c r="BS8" s="124">
        <v>51</v>
      </c>
      <c r="BT8" s="124">
        <v>51</v>
      </c>
      <c r="BU8" s="124">
        <v>51</v>
      </c>
      <c r="BV8" s="124">
        <v>51</v>
      </c>
      <c r="BW8" s="124">
        <v>69.5</v>
      </c>
      <c r="BX8" s="124">
        <v>51</v>
      </c>
      <c r="BY8" s="124">
        <v>63</v>
      </c>
      <c r="BZ8" s="124">
        <v>51</v>
      </c>
      <c r="CA8" s="124">
        <v>50.5</v>
      </c>
      <c r="CB8" s="124">
        <v>51</v>
      </c>
      <c r="CC8" s="124">
        <v>51</v>
      </c>
      <c r="CD8" s="124">
        <v>51</v>
      </c>
      <c r="CE8" s="124">
        <v>51</v>
      </c>
      <c r="CF8" s="243" t="s">
        <v>190</v>
      </c>
      <c r="CG8" s="243" t="s">
        <v>190</v>
      </c>
      <c r="CH8" s="243" t="s">
        <v>190</v>
      </c>
      <c r="CI8" s="243" t="s">
        <v>190</v>
      </c>
      <c r="CJ8" s="124">
        <v>43.8</v>
      </c>
      <c r="CK8" s="245" t="s">
        <v>278</v>
      </c>
      <c r="CL8" s="245" t="s">
        <v>278</v>
      </c>
      <c r="CM8" s="245" t="s">
        <v>278</v>
      </c>
      <c r="CN8" s="245" t="s">
        <v>278</v>
      </c>
      <c r="CO8" s="243" t="s">
        <v>190</v>
      </c>
      <c r="CP8" s="243" t="s">
        <v>190</v>
      </c>
      <c r="CQ8" s="243" t="s">
        <v>190</v>
      </c>
      <c r="CR8" s="243" t="s">
        <v>190</v>
      </c>
      <c r="CS8" s="124">
        <v>58.6</v>
      </c>
      <c r="CT8" s="245" t="s">
        <v>278</v>
      </c>
      <c r="CU8" s="245" t="s">
        <v>278</v>
      </c>
      <c r="CV8" s="245" t="s">
        <v>278</v>
      </c>
      <c r="CW8" s="245" t="s">
        <v>278</v>
      </c>
      <c r="CX8" s="243" t="s">
        <v>190</v>
      </c>
      <c r="CY8" s="243" t="s">
        <v>190</v>
      </c>
      <c r="CZ8" s="243" t="s">
        <v>190</v>
      </c>
      <c r="DA8" s="243" t="s">
        <v>190</v>
      </c>
      <c r="DB8" s="124">
        <v>65.7</v>
      </c>
      <c r="DC8" s="245" t="s">
        <v>278</v>
      </c>
      <c r="DD8" s="245" t="s">
        <v>278</v>
      </c>
      <c r="DE8" s="245" t="s">
        <v>278</v>
      </c>
      <c r="DF8" s="245" t="s">
        <v>278</v>
      </c>
      <c r="DG8" s="243" t="s">
        <v>190</v>
      </c>
      <c r="DH8" s="243" t="s">
        <v>190</v>
      </c>
      <c r="DI8" s="243" t="s">
        <v>190</v>
      </c>
      <c r="DJ8" s="243" t="s">
        <v>190</v>
      </c>
      <c r="DK8" s="124">
        <v>0</v>
      </c>
      <c r="DL8" s="245" t="s">
        <v>278</v>
      </c>
      <c r="DM8" s="245" t="s">
        <v>278</v>
      </c>
      <c r="DN8" s="245" t="s">
        <v>278</v>
      </c>
      <c r="DO8" s="245" t="s">
        <v>278</v>
      </c>
      <c r="DP8" s="243" t="s">
        <v>190</v>
      </c>
      <c r="DQ8" s="243" t="s">
        <v>190</v>
      </c>
      <c r="DR8" s="243" t="s">
        <v>190</v>
      </c>
      <c r="DS8" s="243" t="s">
        <v>190</v>
      </c>
      <c r="DT8" s="124">
        <v>0.9</v>
      </c>
      <c r="DU8" s="245" t="s">
        <v>278</v>
      </c>
      <c r="DV8" s="245" t="s">
        <v>278</v>
      </c>
      <c r="DW8" s="245" t="s">
        <v>278</v>
      </c>
      <c r="DX8" s="245" t="s">
        <v>278</v>
      </c>
      <c r="DY8" s="243" t="s">
        <v>190</v>
      </c>
      <c r="DZ8" s="243" t="s">
        <v>190</v>
      </c>
      <c r="EA8" s="243" t="s">
        <v>190</v>
      </c>
      <c r="EB8" s="243" t="s">
        <v>190</v>
      </c>
      <c r="EC8" s="124">
        <v>0</v>
      </c>
      <c r="ED8" s="245" t="s">
        <v>278</v>
      </c>
      <c r="EE8" s="245" t="s">
        <v>278</v>
      </c>
      <c r="EF8" s="245" t="s">
        <v>278</v>
      </c>
      <c r="EG8" s="245" t="s">
        <v>278</v>
      </c>
    </row>
    <row r="9" spans="1:137" s="125" customFormat="1">
      <c r="A9" s="124" t="s">
        <v>222</v>
      </c>
      <c r="B9" s="124" t="s">
        <v>223</v>
      </c>
      <c r="C9" s="124" t="s">
        <v>207</v>
      </c>
      <c r="D9" s="124" t="s">
        <v>208</v>
      </c>
      <c r="E9" s="124" t="s">
        <v>209</v>
      </c>
      <c r="F9" s="124" t="s">
        <v>210</v>
      </c>
      <c r="G9" s="124" t="s">
        <v>211</v>
      </c>
      <c r="H9" s="124" t="s">
        <v>204</v>
      </c>
      <c r="I9" s="124" t="s">
        <v>27</v>
      </c>
      <c r="J9" s="124" t="s">
        <v>222</v>
      </c>
      <c r="K9" s="124" t="s">
        <v>191</v>
      </c>
      <c r="L9" s="124">
        <v>45.1</v>
      </c>
      <c r="M9" s="124">
        <v>49.7</v>
      </c>
      <c r="N9" s="124">
        <v>43.8</v>
      </c>
      <c r="O9" s="124">
        <v>54.3</v>
      </c>
      <c r="P9" s="124">
        <v>39</v>
      </c>
      <c r="Q9" s="124">
        <v>58.8</v>
      </c>
      <c r="R9" s="124">
        <v>63.4</v>
      </c>
      <c r="S9" s="124">
        <v>68</v>
      </c>
      <c r="T9" s="124">
        <v>72.599999999999994</v>
      </c>
      <c r="U9" s="124">
        <v>38.299999999999997</v>
      </c>
      <c r="V9" s="124">
        <v>43.4</v>
      </c>
      <c r="W9" s="124">
        <v>33.700000000000003</v>
      </c>
      <c r="X9" s="124">
        <v>48.6</v>
      </c>
      <c r="Y9" s="124">
        <v>39</v>
      </c>
      <c r="Z9" s="124">
        <v>53.7</v>
      </c>
      <c r="AA9" s="124">
        <v>58.9</v>
      </c>
      <c r="AB9" s="124">
        <v>64</v>
      </c>
      <c r="AC9" s="124">
        <v>69.2</v>
      </c>
      <c r="AD9" s="124">
        <v>32</v>
      </c>
      <c r="AE9" s="124">
        <v>37.700000000000003</v>
      </c>
      <c r="AF9" s="124">
        <v>25.8</v>
      </c>
      <c r="AG9" s="124">
        <v>43.3</v>
      </c>
      <c r="AH9" s="124">
        <v>30.1</v>
      </c>
      <c r="AI9" s="124">
        <v>49</v>
      </c>
      <c r="AJ9" s="124">
        <v>54.7</v>
      </c>
      <c r="AK9" s="124">
        <v>60.3</v>
      </c>
      <c r="AL9" s="124">
        <v>66</v>
      </c>
      <c r="AM9" s="124" t="s">
        <v>190</v>
      </c>
      <c r="AN9" s="124" t="s">
        <v>190</v>
      </c>
      <c r="AO9" s="124" t="s">
        <v>190</v>
      </c>
      <c r="AP9" s="124" t="s">
        <v>190</v>
      </c>
      <c r="AQ9" s="124" t="s">
        <v>190</v>
      </c>
      <c r="AR9" s="124" t="s">
        <v>190</v>
      </c>
      <c r="AS9" s="124" t="s">
        <v>190</v>
      </c>
      <c r="AT9" s="124" t="s">
        <v>190</v>
      </c>
      <c r="AU9" s="124" t="s">
        <v>190</v>
      </c>
      <c r="AV9" s="124" t="s">
        <v>190</v>
      </c>
      <c r="AW9" s="124" t="s">
        <v>190</v>
      </c>
      <c r="AX9" s="124" t="s">
        <v>190</v>
      </c>
      <c r="AY9" s="124" t="s">
        <v>190</v>
      </c>
      <c r="AZ9" s="124" t="s">
        <v>190</v>
      </c>
      <c r="BA9" s="124" t="s">
        <v>190</v>
      </c>
      <c r="BB9" s="124" t="s">
        <v>190</v>
      </c>
      <c r="BC9" s="124" t="s">
        <v>190</v>
      </c>
      <c r="BD9" s="124" t="s">
        <v>190</v>
      </c>
      <c r="BE9" s="124" t="s">
        <v>190</v>
      </c>
      <c r="BF9" s="124" t="s">
        <v>190</v>
      </c>
      <c r="BG9" s="124" t="s">
        <v>190</v>
      </c>
      <c r="BH9" s="124" t="s">
        <v>190</v>
      </c>
      <c r="BI9" s="124" t="s">
        <v>190</v>
      </c>
      <c r="BJ9" s="124" t="s">
        <v>190</v>
      </c>
      <c r="BK9" s="124" t="s">
        <v>190</v>
      </c>
      <c r="BL9" s="124" t="s">
        <v>190</v>
      </c>
      <c r="BM9" s="124" t="s">
        <v>190</v>
      </c>
      <c r="BN9" s="124">
        <v>51</v>
      </c>
      <c r="BO9" s="124">
        <v>51</v>
      </c>
      <c r="BP9" s="124">
        <v>56</v>
      </c>
      <c r="BQ9" s="124">
        <v>51</v>
      </c>
      <c r="BR9" s="124">
        <v>30.5</v>
      </c>
      <c r="BS9" s="124">
        <v>40.5</v>
      </c>
      <c r="BT9" s="124">
        <v>50.5</v>
      </c>
      <c r="BU9" s="124">
        <v>51</v>
      </c>
      <c r="BV9" s="124">
        <v>51</v>
      </c>
      <c r="BW9" s="124">
        <v>65</v>
      </c>
      <c r="BX9" s="124">
        <v>51</v>
      </c>
      <c r="BY9" s="124">
        <v>63</v>
      </c>
      <c r="BZ9" s="124">
        <v>51</v>
      </c>
      <c r="CA9" s="124">
        <v>59</v>
      </c>
      <c r="CB9" s="124">
        <v>51</v>
      </c>
      <c r="CC9" s="124">
        <v>51</v>
      </c>
      <c r="CD9" s="124">
        <v>51</v>
      </c>
      <c r="CE9" s="124">
        <v>51</v>
      </c>
      <c r="CF9" s="243" t="s">
        <v>190</v>
      </c>
      <c r="CG9" s="243" t="s">
        <v>190</v>
      </c>
      <c r="CH9" s="243" t="s">
        <v>190</v>
      </c>
      <c r="CI9" s="243" t="s">
        <v>190</v>
      </c>
      <c r="CJ9" s="124">
        <v>55.2</v>
      </c>
      <c r="CK9" s="245" t="s">
        <v>278</v>
      </c>
      <c r="CL9" s="245" t="s">
        <v>278</v>
      </c>
      <c r="CM9" s="245" t="s">
        <v>278</v>
      </c>
      <c r="CN9" s="245" t="s">
        <v>278</v>
      </c>
      <c r="CO9" s="243" t="s">
        <v>190</v>
      </c>
      <c r="CP9" s="243" t="s">
        <v>190</v>
      </c>
      <c r="CQ9" s="243" t="s">
        <v>190</v>
      </c>
      <c r="CR9" s="243" t="s">
        <v>190</v>
      </c>
      <c r="CS9" s="124">
        <v>61.5</v>
      </c>
      <c r="CT9" s="245" t="s">
        <v>278</v>
      </c>
      <c r="CU9" s="245" t="s">
        <v>278</v>
      </c>
      <c r="CV9" s="245" t="s">
        <v>278</v>
      </c>
      <c r="CW9" s="245" t="s">
        <v>278</v>
      </c>
      <c r="CX9" s="243" t="s">
        <v>190</v>
      </c>
      <c r="CY9" s="243" t="s">
        <v>190</v>
      </c>
      <c r="CZ9" s="243" t="s">
        <v>190</v>
      </c>
      <c r="DA9" s="243" t="s">
        <v>190</v>
      </c>
      <c r="DB9" s="124">
        <v>76.5</v>
      </c>
      <c r="DC9" s="245" t="s">
        <v>278</v>
      </c>
      <c r="DD9" s="245" t="s">
        <v>278</v>
      </c>
      <c r="DE9" s="245" t="s">
        <v>278</v>
      </c>
      <c r="DF9" s="245" t="s">
        <v>278</v>
      </c>
      <c r="DG9" s="243" t="s">
        <v>190</v>
      </c>
      <c r="DH9" s="243" t="s">
        <v>190</v>
      </c>
      <c r="DI9" s="243" t="s">
        <v>190</v>
      </c>
      <c r="DJ9" s="243" t="s">
        <v>190</v>
      </c>
      <c r="DK9" s="124">
        <v>0</v>
      </c>
      <c r="DL9" s="245" t="s">
        <v>278</v>
      </c>
      <c r="DM9" s="245" t="s">
        <v>278</v>
      </c>
      <c r="DN9" s="245" t="s">
        <v>278</v>
      </c>
      <c r="DO9" s="245" t="s">
        <v>278</v>
      </c>
      <c r="DP9" s="243" t="s">
        <v>190</v>
      </c>
      <c r="DQ9" s="243" t="s">
        <v>190</v>
      </c>
      <c r="DR9" s="243" t="s">
        <v>190</v>
      </c>
      <c r="DS9" s="243" t="s">
        <v>190</v>
      </c>
      <c r="DT9" s="124">
        <v>0.9</v>
      </c>
      <c r="DU9" s="245" t="s">
        <v>278</v>
      </c>
      <c r="DV9" s="245" t="s">
        <v>278</v>
      </c>
      <c r="DW9" s="245" t="s">
        <v>278</v>
      </c>
      <c r="DX9" s="245" t="s">
        <v>278</v>
      </c>
      <c r="DY9" s="243" t="s">
        <v>190</v>
      </c>
      <c r="DZ9" s="243" t="s">
        <v>190</v>
      </c>
      <c r="EA9" s="243" t="s">
        <v>190</v>
      </c>
      <c r="EB9" s="243" t="s">
        <v>190</v>
      </c>
      <c r="EC9" s="124">
        <v>0</v>
      </c>
      <c r="ED9" s="245" t="s">
        <v>278</v>
      </c>
      <c r="EE9" s="245" t="s">
        <v>278</v>
      </c>
      <c r="EF9" s="245" t="s">
        <v>278</v>
      </c>
      <c r="EG9" s="245" t="s">
        <v>278</v>
      </c>
    </row>
    <row r="10" spans="1:137" s="125" customFormat="1">
      <c r="A10" s="124" t="s">
        <v>224</v>
      </c>
      <c r="B10" s="124" t="s">
        <v>225</v>
      </c>
      <c r="C10" s="124" t="s">
        <v>207</v>
      </c>
      <c r="D10" s="124" t="s">
        <v>208</v>
      </c>
      <c r="E10" s="124" t="s">
        <v>209</v>
      </c>
      <c r="F10" s="124" t="s">
        <v>210</v>
      </c>
      <c r="G10" s="124" t="s">
        <v>211</v>
      </c>
      <c r="H10" s="124" t="s">
        <v>204</v>
      </c>
      <c r="I10" s="124" t="s">
        <v>33</v>
      </c>
      <c r="J10" s="124" t="s">
        <v>224</v>
      </c>
      <c r="K10" s="124" t="s">
        <v>191</v>
      </c>
      <c r="L10" s="124" t="s">
        <v>190</v>
      </c>
      <c r="M10" s="124" t="s">
        <v>190</v>
      </c>
      <c r="N10" s="124" t="s">
        <v>190</v>
      </c>
      <c r="O10" s="124" t="s">
        <v>190</v>
      </c>
      <c r="P10" s="124" t="s">
        <v>190</v>
      </c>
      <c r="Q10" s="124" t="s">
        <v>190</v>
      </c>
      <c r="R10" s="124" t="s">
        <v>190</v>
      </c>
      <c r="S10" s="124" t="s">
        <v>190</v>
      </c>
      <c r="T10" s="124" t="s">
        <v>190</v>
      </c>
      <c r="U10" s="124" t="s">
        <v>190</v>
      </c>
      <c r="V10" s="124" t="s">
        <v>190</v>
      </c>
      <c r="W10" s="124" t="s">
        <v>190</v>
      </c>
      <c r="X10" s="124" t="s">
        <v>190</v>
      </c>
      <c r="Y10" s="124" t="s">
        <v>190</v>
      </c>
      <c r="Z10" s="124" t="s">
        <v>190</v>
      </c>
      <c r="AA10" s="124" t="s">
        <v>190</v>
      </c>
      <c r="AB10" s="124" t="s">
        <v>190</v>
      </c>
      <c r="AC10" s="124" t="s">
        <v>190</v>
      </c>
      <c r="AD10" s="124" t="s">
        <v>190</v>
      </c>
      <c r="AE10" s="124" t="s">
        <v>190</v>
      </c>
      <c r="AF10" s="124" t="s">
        <v>190</v>
      </c>
      <c r="AG10" s="124" t="s">
        <v>190</v>
      </c>
      <c r="AH10" s="124" t="s">
        <v>190</v>
      </c>
      <c r="AI10" s="124" t="s">
        <v>190</v>
      </c>
      <c r="AJ10" s="124" t="s">
        <v>190</v>
      </c>
      <c r="AK10" s="124" t="s">
        <v>190</v>
      </c>
      <c r="AL10" s="124" t="s">
        <v>190</v>
      </c>
      <c r="AM10" s="124" t="s">
        <v>190</v>
      </c>
      <c r="AN10" s="124" t="s">
        <v>190</v>
      </c>
      <c r="AO10" s="124" t="s">
        <v>190</v>
      </c>
      <c r="AP10" s="124" t="s">
        <v>190</v>
      </c>
      <c r="AQ10" s="124" t="s">
        <v>190</v>
      </c>
      <c r="AR10" s="124" t="s">
        <v>190</v>
      </c>
      <c r="AS10" s="124" t="s">
        <v>190</v>
      </c>
      <c r="AT10" s="124" t="s">
        <v>190</v>
      </c>
      <c r="AU10" s="124" t="s">
        <v>190</v>
      </c>
      <c r="AV10" s="124" t="s">
        <v>190</v>
      </c>
      <c r="AW10" s="124" t="s">
        <v>190</v>
      </c>
      <c r="AX10" s="124" t="s">
        <v>190</v>
      </c>
      <c r="AY10" s="124" t="s">
        <v>190</v>
      </c>
      <c r="AZ10" s="124" t="s">
        <v>190</v>
      </c>
      <c r="BA10" s="124" t="s">
        <v>190</v>
      </c>
      <c r="BB10" s="124" t="s">
        <v>190</v>
      </c>
      <c r="BC10" s="124" t="s">
        <v>190</v>
      </c>
      <c r="BD10" s="124" t="s">
        <v>190</v>
      </c>
      <c r="BE10" s="124" t="s">
        <v>190</v>
      </c>
      <c r="BF10" s="124" t="s">
        <v>190</v>
      </c>
      <c r="BG10" s="124" t="s">
        <v>190</v>
      </c>
      <c r="BH10" s="124" t="s">
        <v>190</v>
      </c>
      <c r="BI10" s="124" t="s">
        <v>190</v>
      </c>
      <c r="BJ10" s="124" t="s">
        <v>190</v>
      </c>
      <c r="BK10" s="124" t="s">
        <v>190</v>
      </c>
      <c r="BL10" s="124" t="s">
        <v>190</v>
      </c>
      <c r="BM10" s="124" t="s">
        <v>190</v>
      </c>
      <c r="BN10" s="124" t="s">
        <v>190</v>
      </c>
      <c r="BO10" s="124" t="s">
        <v>190</v>
      </c>
      <c r="BP10" s="124" t="s">
        <v>190</v>
      </c>
      <c r="BQ10" s="124" t="s">
        <v>190</v>
      </c>
      <c r="BR10" s="124" t="s">
        <v>190</v>
      </c>
      <c r="BS10" s="124" t="s">
        <v>190</v>
      </c>
      <c r="BT10" s="124" t="s">
        <v>190</v>
      </c>
      <c r="BU10" s="124" t="s">
        <v>190</v>
      </c>
      <c r="BV10" s="124" t="s">
        <v>190</v>
      </c>
      <c r="BW10" s="124" t="s">
        <v>190</v>
      </c>
      <c r="BX10" s="124" t="s">
        <v>190</v>
      </c>
      <c r="BY10" s="124" t="s">
        <v>190</v>
      </c>
      <c r="BZ10" s="124" t="s">
        <v>190</v>
      </c>
      <c r="CA10" s="124" t="s">
        <v>190</v>
      </c>
      <c r="CB10" s="124" t="s">
        <v>190</v>
      </c>
      <c r="CC10" s="124" t="s">
        <v>190</v>
      </c>
      <c r="CD10" s="124" t="s">
        <v>190</v>
      </c>
      <c r="CE10" s="124" t="s">
        <v>190</v>
      </c>
      <c r="CF10" s="243" t="s">
        <v>190</v>
      </c>
      <c r="CG10" s="243" t="s">
        <v>190</v>
      </c>
      <c r="CH10" s="243" t="s">
        <v>190</v>
      </c>
      <c r="CI10" s="243" t="s">
        <v>190</v>
      </c>
      <c r="CJ10" s="124" t="s">
        <v>190</v>
      </c>
      <c r="CK10" s="244" t="s">
        <v>190</v>
      </c>
      <c r="CL10" s="244" t="s">
        <v>190</v>
      </c>
      <c r="CM10" s="244" t="s">
        <v>190</v>
      </c>
      <c r="CN10" s="244" t="s">
        <v>190</v>
      </c>
      <c r="CO10" s="243" t="s">
        <v>190</v>
      </c>
      <c r="CP10" s="243" t="s">
        <v>190</v>
      </c>
      <c r="CQ10" s="243" t="s">
        <v>190</v>
      </c>
      <c r="CR10" s="243" t="s">
        <v>190</v>
      </c>
      <c r="CS10" s="124" t="s">
        <v>190</v>
      </c>
      <c r="CT10" s="244" t="s">
        <v>190</v>
      </c>
      <c r="CU10" s="244" t="s">
        <v>190</v>
      </c>
      <c r="CV10" s="244" t="s">
        <v>190</v>
      </c>
      <c r="CW10" s="244" t="s">
        <v>190</v>
      </c>
      <c r="CX10" s="243" t="s">
        <v>190</v>
      </c>
      <c r="CY10" s="243" t="s">
        <v>190</v>
      </c>
      <c r="CZ10" s="243" t="s">
        <v>190</v>
      </c>
      <c r="DA10" s="243" t="s">
        <v>190</v>
      </c>
      <c r="DB10" s="124" t="s">
        <v>190</v>
      </c>
      <c r="DC10" s="244" t="s">
        <v>190</v>
      </c>
      <c r="DD10" s="244" t="s">
        <v>190</v>
      </c>
      <c r="DE10" s="244" t="s">
        <v>190</v>
      </c>
      <c r="DF10" s="244" t="s">
        <v>190</v>
      </c>
      <c r="DG10" s="243" t="s">
        <v>190</v>
      </c>
      <c r="DH10" s="243" t="s">
        <v>190</v>
      </c>
      <c r="DI10" s="243" t="s">
        <v>190</v>
      </c>
      <c r="DJ10" s="243" t="s">
        <v>190</v>
      </c>
      <c r="DK10" s="124" t="s">
        <v>190</v>
      </c>
      <c r="DL10" s="244" t="s">
        <v>190</v>
      </c>
      <c r="DM10" s="244" t="s">
        <v>190</v>
      </c>
      <c r="DN10" s="244" t="s">
        <v>190</v>
      </c>
      <c r="DO10" s="244" t="s">
        <v>190</v>
      </c>
      <c r="DP10" s="243" t="s">
        <v>190</v>
      </c>
      <c r="DQ10" s="243" t="s">
        <v>190</v>
      </c>
      <c r="DR10" s="243" t="s">
        <v>190</v>
      </c>
      <c r="DS10" s="243" t="s">
        <v>190</v>
      </c>
      <c r="DT10" s="124" t="s">
        <v>190</v>
      </c>
      <c r="DU10" s="244" t="s">
        <v>190</v>
      </c>
      <c r="DV10" s="244" t="s">
        <v>190</v>
      </c>
      <c r="DW10" s="244" t="s">
        <v>190</v>
      </c>
      <c r="DX10" s="244" t="s">
        <v>190</v>
      </c>
      <c r="DY10" s="243" t="s">
        <v>190</v>
      </c>
      <c r="DZ10" s="243" t="s">
        <v>190</v>
      </c>
      <c r="EA10" s="243" t="s">
        <v>190</v>
      </c>
      <c r="EB10" s="243" t="s">
        <v>190</v>
      </c>
      <c r="EC10" s="124" t="s">
        <v>190</v>
      </c>
      <c r="ED10" s="244" t="s">
        <v>190</v>
      </c>
      <c r="EE10" s="244" t="s">
        <v>190</v>
      </c>
      <c r="EF10" s="244" t="s">
        <v>190</v>
      </c>
      <c r="EG10" s="244" t="s">
        <v>190</v>
      </c>
    </row>
    <row r="11" spans="1:137" s="125" customFormat="1">
      <c r="A11" s="124" t="s">
        <v>226</v>
      </c>
      <c r="B11" s="124" t="s">
        <v>227</v>
      </c>
      <c r="C11" s="124" t="s">
        <v>207</v>
      </c>
      <c r="D11" s="124" t="s">
        <v>208</v>
      </c>
      <c r="E11" s="124" t="s">
        <v>209</v>
      </c>
      <c r="F11" s="124" t="s">
        <v>210</v>
      </c>
      <c r="G11" s="124" t="s">
        <v>211</v>
      </c>
      <c r="H11" s="124" t="s">
        <v>204</v>
      </c>
      <c r="I11" s="124" t="s">
        <v>29</v>
      </c>
      <c r="J11" s="124" t="s">
        <v>226</v>
      </c>
      <c r="K11" s="124" t="s">
        <v>191</v>
      </c>
      <c r="L11" s="124" t="s">
        <v>190</v>
      </c>
      <c r="M11" s="124" t="s">
        <v>190</v>
      </c>
      <c r="N11" s="124" t="s">
        <v>190</v>
      </c>
      <c r="O11" s="124" t="s">
        <v>190</v>
      </c>
      <c r="P11" s="124" t="s">
        <v>190</v>
      </c>
      <c r="Q11" s="124" t="s">
        <v>190</v>
      </c>
      <c r="R11" s="124" t="s">
        <v>190</v>
      </c>
      <c r="S11" s="124" t="s">
        <v>190</v>
      </c>
      <c r="T11" s="124" t="s">
        <v>190</v>
      </c>
      <c r="U11" s="124" t="s">
        <v>190</v>
      </c>
      <c r="V11" s="124" t="s">
        <v>190</v>
      </c>
      <c r="W11" s="124" t="s">
        <v>190</v>
      </c>
      <c r="X11" s="124" t="s">
        <v>190</v>
      </c>
      <c r="Y11" s="124" t="s">
        <v>190</v>
      </c>
      <c r="Z11" s="124" t="s">
        <v>190</v>
      </c>
      <c r="AA11" s="124" t="s">
        <v>190</v>
      </c>
      <c r="AB11" s="124" t="s">
        <v>190</v>
      </c>
      <c r="AC11" s="124" t="s">
        <v>190</v>
      </c>
      <c r="AD11" s="124" t="s">
        <v>190</v>
      </c>
      <c r="AE11" s="124" t="s">
        <v>190</v>
      </c>
      <c r="AF11" s="124" t="s">
        <v>190</v>
      </c>
      <c r="AG11" s="124" t="s">
        <v>190</v>
      </c>
      <c r="AH11" s="124" t="s">
        <v>190</v>
      </c>
      <c r="AI11" s="124" t="s">
        <v>190</v>
      </c>
      <c r="AJ11" s="124" t="s">
        <v>190</v>
      </c>
      <c r="AK11" s="124" t="s">
        <v>190</v>
      </c>
      <c r="AL11" s="124" t="s">
        <v>190</v>
      </c>
      <c r="AM11" s="124" t="s">
        <v>190</v>
      </c>
      <c r="AN11" s="124" t="s">
        <v>190</v>
      </c>
      <c r="AO11" s="124" t="s">
        <v>190</v>
      </c>
      <c r="AP11" s="124" t="s">
        <v>190</v>
      </c>
      <c r="AQ11" s="124" t="s">
        <v>190</v>
      </c>
      <c r="AR11" s="124" t="s">
        <v>190</v>
      </c>
      <c r="AS11" s="124" t="s">
        <v>190</v>
      </c>
      <c r="AT11" s="124" t="s">
        <v>190</v>
      </c>
      <c r="AU11" s="124" t="s">
        <v>190</v>
      </c>
      <c r="AV11" s="124" t="s">
        <v>190</v>
      </c>
      <c r="AW11" s="124" t="s">
        <v>190</v>
      </c>
      <c r="AX11" s="124" t="s">
        <v>190</v>
      </c>
      <c r="AY11" s="124" t="s">
        <v>190</v>
      </c>
      <c r="AZ11" s="124" t="s">
        <v>190</v>
      </c>
      <c r="BA11" s="124" t="s">
        <v>190</v>
      </c>
      <c r="BB11" s="124" t="s">
        <v>190</v>
      </c>
      <c r="BC11" s="124" t="s">
        <v>190</v>
      </c>
      <c r="BD11" s="124" t="s">
        <v>190</v>
      </c>
      <c r="BE11" s="124" t="s">
        <v>190</v>
      </c>
      <c r="BF11" s="124" t="s">
        <v>190</v>
      </c>
      <c r="BG11" s="124" t="s">
        <v>190</v>
      </c>
      <c r="BH11" s="124" t="s">
        <v>190</v>
      </c>
      <c r="BI11" s="124" t="s">
        <v>190</v>
      </c>
      <c r="BJ11" s="124" t="s">
        <v>190</v>
      </c>
      <c r="BK11" s="124" t="s">
        <v>190</v>
      </c>
      <c r="BL11" s="124" t="s">
        <v>190</v>
      </c>
      <c r="BM11" s="124" t="s">
        <v>190</v>
      </c>
      <c r="BN11" s="124" t="s">
        <v>190</v>
      </c>
      <c r="BO11" s="124" t="s">
        <v>190</v>
      </c>
      <c r="BP11" s="124" t="s">
        <v>190</v>
      </c>
      <c r="BQ11" s="124" t="s">
        <v>190</v>
      </c>
      <c r="BR11" s="124" t="s">
        <v>190</v>
      </c>
      <c r="BS11" s="124" t="s">
        <v>190</v>
      </c>
      <c r="BT11" s="124" t="s">
        <v>190</v>
      </c>
      <c r="BU11" s="124" t="s">
        <v>190</v>
      </c>
      <c r="BV11" s="124" t="s">
        <v>190</v>
      </c>
      <c r="BW11" s="124" t="s">
        <v>190</v>
      </c>
      <c r="BX11" s="124" t="s">
        <v>190</v>
      </c>
      <c r="BY11" s="124" t="s">
        <v>190</v>
      </c>
      <c r="BZ11" s="124" t="s">
        <v>190</v>
      </c>
      <c r="CA11" s="124" t="s">
        <v>190</v>
      </c>
      <c r="CB11" s="124" t="s">
        <v>190</v>
      </c>
      <c r="CC11" s="124" t="s">
        <v>190</v>
      </c>
      <c r="CD11" s="124" t="s">
        <v>190</v>
      </c>
      <c r="CE11" s="124" t="s">
        <v>190</v>
      </c>
      <c r="CF11" s="243" t="s">
        <v>190</v>
      </c>
      <c r="CG11" s="243" t="s">
        <v>190</v>
      </c>
      <c r="CH11" s="243" t="s">
        <v>190</v>
      </c>
      <c r="CI11" s="243" t="s">
        <v>190</v>
      </c>
      <c r="CJ11" s="124" t="s">
        <v>190</v>
      </c>
      <c r="CK11" s="244" t="s">
        <v>190</v>
      </c>
      <c r="CL11" s="244" t="s">
        <v>190</v>
      </c>
      <c r="CM11" s="244" t="s">
        <v>190</v>
      </c>
      <c r="CN11" s="244" t="s">
        <v>190</v>
      </c>
      <c r="CO11" s="243" t="s">
        <v>190</v>
      </c>
      <c r="CP11" s="243" t="s">
        <v>190</v>
      </c>
      <c r="CQ11" s="243" t="s">
        <v>190</v>
      </c>
      <c r="CR11" s="243" t="s">
        <v>190</v>
      </c>
      <c r="CS11" s="124" t="s">
        <v>190</v>
      </c>
      <c r="CT11" s="244" t="s">
        <v>190</v>
      </c>
      <c r="CU11" s="244" t="s">
        <v>190</v>
      </c>
      <c r="CV11" s="244" t="s">
        <v>190</v>
      </c>
      <c r="CW11" s="244" t="s">
        <v>190</v>
      </c>
      <c r="CX11" s="243" t="s">
        <v>190</v>
      </c>
      <c r="CY11" s="243" t="s">
        <v>190</v>
      </c>
      <c r="CZ11" s="243" t="s">
        <v>190</v>
      </c>
      <c r="DA11" s="243" t="s">
        <v>190</v>
      </c>
      <c r="DB11" s="124" t="s">
        <v>190</v>
      </c>
      <c r="DC11" s="244" t="s">
        <v>190</v>
      </c>
      <c r="DD11" s="244" t="s">
        <v>190</v>
      </c>
      <c r="DE11" s="244" t="s">
        <v>190</v>
      </c>
      <c r="DF11" s="244" t="s">
        <v>190</v>
      </c>
      <c r="DG11" s="243" t="s">
        <v>190</v>
      </c>
      <c r="DH11" s="243" t="s">
        <v>190</v>
      </c>
      <c r="DI11" s="243" t="s">
        <v>190</v>
      </c>
      <c r="DJ11" s="243" t="s">
        <v>190</v>
      </c>
      <c r="DK11" s="124" t="s">
        <v>190</v>
      </c>
      <c r="DL11" s="244" t="s">
        <v>190</v>
      </c>
      <c r="DM11" s="244" t="s">
        <v>190</v>
      </c>
      <c r="DN11" s="244" t="s">
        <v>190</v>
      </c>
      <c r="DO11" s="244" t="s">
        <v>190</v>
      </c>
      <c r="DP11" s="243" t="s">
        <v>190</v>
      </c>
      <c r="DQ11" s="243" t="s">
        <v>190</v>
      </c>
      <c r="DR11" s="243" t="s">
        <v>190</v>
      </c>
      <c r="DS11" s="243" t="s">
        <v>190</v>
      </c>
      <c r="DT11" s="124" t="s">
        <v>190</v>
      </c>
      <c r="DU11" s="244" t="s">
        <v>190</v>
      </c>
      <c r="DV11" s="244" t="s">
        <v>190</v>
      </c>
      <c r="DW11" s="244" t="s">
        <v>190</v>
      </c>
      <c r="DX11" s="244" t="s">
        <v>190</v>
      </c>
      <c r="DY11" s="243" t="s">
        <v>190</v>
      </c>
      <c r="DZ11" s="243" t="s">
        <v>190</v>
      </c>
      <c r="EA11" s="243" t="s">
        <v>190</v>
      </c>
      <c r="EB11" s="243" t="s">
        <v>190</v>
      </c>
      <c r="EC11" s="124" t="s">
        <v>190</v>
      </c>
      <c r="ED11" s="244" t="s">
        <v>190</v>
      </c>
      <c r="EE11" s="244" t="s">
        <v>190</v>
      </c>
      <c r="EF11" s="244" t="s">
        <v>190</v>
      </c>
      <c r="EG11" s="244" t="s">
        <v>190</v>
      </c>
    </row>
    <row r="12" spans="1:137" s="125" customFormat="1">
      <c r="A12" s="124" t="s">
        <v>228</v>
      </c>
      <c r="B12" s="124" t="s">
        <v>229</v>
      </c>
      <c r="C12" s="124" t="s">
        <v>207</v>
      </c>
      <c r="D12" s="124" t="s">
        <v>208</v>
      </c>
      <c r="E12" s="124" t="s">
        <v>209</v>
      </c>
      <c r="F12" s="124" t="s">
        <v>210</v>
      </c>
      <c r="G12" s="124" t="s">
        <v>211</v>
      </c>
      <c r="H12" s="124" t="s">
        <v>204</v>
      </c>
      <c r="I12" s="124" t="s">
        <v>34</v>
      </c>
      <c r="J12" s="124" t="s">
        <v>228</v>
      </c>
      <c r="K12" s="124" t="s">
        <v>191</v>
      </c>
      <c r="L12" s="124" t="s">
        <v>190</v>
      </c>
      <c r="M12" s="124" t="s">
        <v>190</v>
      </c>
      <c r="N12" s="124" t="s">
        <v>190</v>
      </c>
      <c r="O12" s="124" t="s">
        <v>190</v>
      </c>
      <c r="P12" s="124" t="s">
        <v>190</v>
      </c>
      <c r="Q12" s="124" t="s">
        <v>190</v>
      </c>
      <c r="R12" s="124" t="s">
        <v>190</v>
      </c>
      <c r="S12" s="124" t="s">
        <v>190</v>
      </c>
      <c r="T12" s="124" t="s">
        <v>190</v>
      </c>
      <c r="U12" s="124" t="s">
        <v>190</v>
      </c>
      <c r="V12" s="124" t="s">
        <v>190</v>
      </c>
      <c r="W12" s="124" t="s">
        <v>190</v>
      </c>
      <c r="X12" s="124" t="s">
        <v>190</v>
      </c>
      <c r="Y12" s="124" t="s">
        <v>190</v>
      </c>
      <c r="Z12" s="124" t="s">
        <v>190</v>
      </c>
      <c r="AA12" s="124" t="s">
        <v>190</v>
      </c>
      <c r="AB12" s="124" t="s">
        <v>190</v>
      </c>
      <c r="AC12" s="124" t="s">
        <v>190</v>
      </c>
      <c r="AD12" s="124" t="s">
        <v>190</v>
      </c>
      <c r="AE12" s="124" t="s">
        <v>190</v>
      </c>
      <c r="AF12" s="124" t="s">
        <v>190</v>
      </c>
      <c r="AG12" s="124" t="s">
        <v>190</v>
      </c>
      <c r="AH12" s="124" t="s">
        <v>190</v>
      </c>
      <c r="AI12" s="124" t="s">
        <v>190</v>
      </c>
      <c r="AJ12" s="124" t="s">
        <v>190</v>
      </c>
      <c r="AK12" s="124" t="s">
        <v>190</v>
      </c>
      <c r="AL12" s="124" t="s">
        <v>190</v>
      </c>
      <c r="AM12" s="124" t="s">
        <v>190</v>
      </c>
      <c r="AN12" s="124" t="s">
        <v>190</v>
      </c>
      <c r="AO12" s="124" t="s">
        <v>190</v>
      </c>
      <c r="AP12" s="124" t="s">
        <v>190</v>
      </c>
      <c r="AQ12" s="124" t="s">
        <v>190</v>
      </c>
      <c r="AR12" s="124" t="s">
        <v>190</v>
      </c>
      <c r="AS12" s="124" t="s">
        <v>190</v>
      </c>
      <c r="AT12" s="124" t="s">
        <v>190</v>
      </c>
      <c r="AU12" s="124" t="s">
        <v>190</v>
      </c>
      <c r="AV12" s="124" t="s">
        <v>190</v>
      </c>
      <c r="AW12" s="124" t="s">
        <v>190</v>
      </c>
      <c r="AX12" s="124" t="s">
        <v>190</v>
      </c>
      <c r="AY12" s="124" t="s">
        <v>190</v>
      </c>
      <c r="AZ12" s="124" t="s">
        <v>190</v>
      </c>
      <c r="BA12" s="124" t="s">
        <v>190</v>
      </c>
      <c r="BB12" s="124" t="s">
        <v>190</v>
      </c>
      <c r="BC12" s="124" t="s">
        <v>190</v>
      </c>
      <c r="BD12" s="124" t="s">
        <v>190</v>
      </c>
      <c r="BE12" s="124" t="s">
        <v>190</v>
      </c>
      <c r="BF12" s="124" t="s">
        <v>190</v>
      </c>
      <c r="BG12" s="124" t="s">
        <v>190</v>
      </c>
      <c r="BH12" s="124" t="s">
        <v>190</v>
      </c>
      <c r="BI12" s="124" t="s">
        <v>190</v>
      </c>
      <c r="BJ12" s="124" t="s">
        <v>190</v>
      </c>
      <c r="BK12" s="124" t="s">
        <v>190</v>
      </c>
      <c r="BL12" s="124" t="s">
        <v>190</v>
      </c>
      <c r="BM12" s="124" t="s">
        <v>190</v>
      </c>
      <c r="BN12" s="124" t="s">
        <v>190</v>
      </c>
      <c r="BO12" s="124" t="s">
        <v>190</v>
      </c>
      <c r="BP12" s="124" t="s">
        <v>190</v>
      </c>
      <c r="BQ12" s="124" t="s">
        <v>190</v>
      </c>
      <c r="BR12" s="124" t="s">
        <v>190</v>
      </c>
      <c r="BS12" s="124" t="s">
        <v>190</v>
      </c>
      <c r="BT12" s="124" t="s">
        <v>190</v>
      </c>
      <c r="BU12" s="124" t="s">
        <v>190</v>
      </c>
      <c r="BV12" s="124" t="s">
        <v>190</v>
      </c>
      <c r="BW12" s="124" t="s">
        <v>190</v>
      </c>
      <c r="BX12" s="124" t="s">
        <v>190</v>
      </c>
      <c r="BY12" s="124" t="s">
        <v>190</v>
      </c>
      <c r="BZ12" s="124" t="s">
        <v>190</v>
      </c>
      <c r="CA12" s="124" t="s">
        <v>190</v>
      </c>
      <c r="CB12" s="124" t="s">
        <v>190</v>
      </c>
      <c r="CC12" s="124" t="s">
        <v>190</v>
      </c>
      <c r="CD12" s="124" t="s">
        <v>190</v>
      </c>
      <c r="CE12" s="124" t="s">
        <v>190</v>
      </c>
      <c r="CF12" s="243" t="s">
        <v>190</v>
      </c>
      <c r="CG12" s="243" t="s">
        <v>190</v>
      </c>
      <c r="CH12" s="243" t="s">
        <v>190</v>
      </c>
      <c r="CI12" s="243" t="s">
        <v>190</v>
      </c>
      <c r="CJ12" s="124" t="s">
        <v>190</v>
      </c>
      <c r="CK12" s="244" t="s">
        <v>190</v>
      </c>
      <c r="CL12" s="244" t="s">
        <v>190</v>
      </c>
      <c r="CM12" s="244" t="s">
        <v>190</v>
      </c>
      <c r="CN12" s="244" t="s">
        <v>190</v>
      </c>
      <c r="CO12" s="243" t="s">
        <v>190</v>
      </c>
      <c r="CP12" s="243" t="s">
        <v>190</v>
      </c>
      <c r="CQ12" s="243" t="s">
        <v>190</v>
      </c>
      <c r="CR12" s="243" t="s">
        <v>190</v>
      </c>
      <c r="CS12" s="124" t="s">
        <v>190</v>
      </c>
      <c r="CT12" s="244" t="s">
        <v>190</v>
      </c>
      <c r="CU12" s="244" t="s">
        <v>190</v>
      </c>
      <c r="CV12" s="244" t="s">
        <v>190</v>
      </c>
      <c r="CW12" s="244" t="s">
        <v>190</v>
      </c>
      <c r="CX12" s="243" t="s">
        <v>190</v>
      </c>
      <c r="CY12" s="243" t="s">
        <v>190</v>
      </c>
      <c r="CZ12" s="243" t="s">
        <v>190</v>
      </c>
      <c r="DA12" s="243" t="s">
        <v>190</v>
      </c>
      <c r="DB12" s="124" t="s">
        <v>190</v>
      </c>
      <c r="DC12" s="244" t="s">
        <v>190</v>
      </c>
      <c r="DD12" s="244" t="s">
        <v>190</v>
      </c>
      <c r="DE12" s="244" t="s">
        <v>190</v>
      </c>
      <c r="DF12" s="244" t="s">
        <v>190</v>
      </c>
      <c r="DG12" s="243" t="s">
        <v>190</v>
      </c>
      <c r="DH12" s="243" t="s">
        <v>190</v>
      </c>
      <c r="DI12" s="243" t="s">
        <v>190</v>
      </c>
      <c r="DJ12" s="243" t="s">
        <v>190</v>
      </c>
      <c r="DK12" s="124" t="s">
        <v>190</v>
      </c>
      <c r="DL12" s="244" t="s">
        <v>190</v>
      </c>
      <c r="DM12" s="244" t="s">
        <v>190</v>
      </c>
      <c r="DN12" s="244" t="s">
        <v>190</v>
      </c>
      <c r="DO12" s="244" t="s">
        <v>190</v>
      </c>
      <c r="DP12" s="243" t="s">
        <v>190</v>
      </c>
      <c r="DQ12" s="243" t="s">
        <v>190</v>
      </c>
      <c r="DR12" s="243" t="s">
        <v>190</v>
      </c>
      <c r="DS12" s="243" t="s">
        <v>190</v>
      </c>
      <c r="DT12" s="124" t="s">
        <v>190</v>
      </c>
      <c r="DU12" s="244" t="s">
        <v>190</v>
      </c>
      <c r="DV12" s="244" t="s">
        <v>190</v>
      </c>
      <c r="DW12" s="244" t="s">
        <v>190</v>
      </c>
      <c r="DX12" s="244" t="s">
        <v>190</v>
      </c>
      <c r="DY12" s="243" t="s">
        <v>190</v>
      </c>
      <c r="DZ12" s="243" t="s">
        <v>190</v>
      </c>
      <c r="EA12" s="243" t="s">
        <v>190</v>
      </c>
      <c r="EB12" s="243" t="s">
        <v>190</v>
      </c>
      <c r="EC12" s="124" t="s">
        <v>190</v>
      </c>
      <c r="ED12" s="244" t="s">
        <v>190</v>
      </c>
      <c r="EE12" s="244" t="s">
        <v>190</v>
      </c>
      <c r="EF12" s="244" t="s">
        <v>190</v>
      </c>
      <c r="EG12" s="244" t="s">
        <v>190</v>
      </c>
    </row>
    <row r="13" spans="1:137" s="125" customFormat="1">
      <c r="A13" s="124" t="s">
        <v>230</v>
      </c>
      <c r="B13" s="124" t="s">
        <v>231</v>
      </c>
      <c r="C13" s="124" t="s">
        <v>207</v>
      </c>
      <c r="D13" s="124" t="s">
        <v>208</v>
      </c>
      <c r="E13" s="124" t="s">
        <v>209</v>
      </c>
      <c r="F13" s="124" t="s">
        <v>210</v>
      </c>
      <c r="G13" s="124" t="s">
        <v>211</v>
      </c>
      <c r="H13" s="124" t="s">
        <v>204</v>
      </c>
      <c r="I13" s="124" t="s">
        <v>25</v>
      </c>
      <c r="J13" s="124" t="s">
        <v>230</v>
      </c>
      <c r="K13" s="124" t="s">
        <v>191</v>
      </c>
      <c r="L13" s="124">
        <v>56.5</v>
      </c>
      <c r="M13" s="124">
        <v>60.1</v>
      </c>
      <c r="N13" s="124">
        <v>54.5</v>
      </c>
      <c r="O13" s="124">
        <v>63.8</v>
      </c>
      <c r="P13" s="124">
        <v>51.6</v>
      </c>
      <c r="Q13" s="124">
        <v>67.400000000000006</v>
      </c>
      <c r="R13" s="124">
        <v>71</v>
      </c>
      <c r="S13" s="124">
        <v>74.599999999999994</v>
      </c>
      <c r="T13" s="124">
        <v>78.3</v>
      </c>
      <c r="U13" s="124">
        <v>45.3</v>
      </c>
      <c r="V13" s="124">
        <v>49.9</v>
      </c>
      <c r="W13" s="124">
        <v>43.5</v>
      </c>
      <c r="X13" s="124">
        <v>54.4</v>
      </c>
      <c r="Y13" s="124">
        <v>43.5</v>
      </c>
      <c r="Z13" s="124">
        <v>59</v>
      </c>
      <c r="AA13" s="124">
        <v>63.5</v>
      </c>
      <c r="AB13" s="124">
        <v>68.099999999999994</v>
      </c>
      <c r="AC13" s="124">
        <v>72.7</v>
      </c>
      <c r="AD13" s="124">
        <v>38</v>
      </c>
      <c r="AE13" s="124">
        <v>43.2</v>
      </c>
      <c r="AF13" s="124">
        <v>35.1</v>
      </c>
      <c r="AG13" s="124">
        <v>48.3</v>
      </c>
      <c r="AH13" s="124">
        <v>37.200000000000003</v>
      </c>
      <c r="AI13" s="124">
        <v>53.5</v>
      </c>
      <c r="AJ13" s="124">
        <v>58.7</v>
      </c>
      <c r="AK13" s="124">
        <v>63.8</v>
      </c>
      <c r="AL13" s="124">
        <v>69</v>
      </c>
      <c r="AM13" s="124" t="s">
        <v>190</v>
      </c>
      <c r="AN13" s="124" t="s">
        <v>190</v>
      </c>
      <c r="AO13" s="124" t="s">
        <v>190</v>
      </c>
      <c r="AP13" s="124" t="s">
        <v>190</v>
      </c>
      <c r="AQ13" s="124" t="s">
        <v>190</v>
      </c>
      <c r="AR13" s="124" t="s">
        <v>190</v>
      </c>
      <c r="AS13" s="124" t="s">
        <v>190</v>
      </c>
      <c r="AT13" s="124" t="s">
        <v>190</v>
      </c>
      <c r="AU13" s="124" t="s">
        <v>190</v>
      </c>
      <c r="AV13" s="124" t="s">
        <v>190</v>
      </c>
      <c r="AW13" s="124" t="s">
        <v>190</v>
      </c>
      <c r="AX13" s="124" t="s">
        <v>190</v>
      </c>
      <c r="AY13" s="124" t="s">
        <v>190</v>
      </c>
      <c r="AZ13" s="124" t="s">
        <v>190</v>
      </c>
      <c r="BA13" s="124" t="s">
        <v>190</v>
      </c>
      <c r="BB13" s="124" t="s">
        <v>190</v>
      </c>
      <c r="BC13" s="124" t="s">
        <v>190</v>
      </c>
      <c r="BD13" s="124" t="s">
        <v>190</v>
      </c>
      <c r="BE13" s="124" t="s">
        <v>190</v>
      </c>
      <c r="BF13" s="124" t="s">
        <v>190</v>
      </c>
      <c r="BG13" s="124" t="s">
        <v>190</v>
      </c>
      <c r="BH13" s="124" t="s">
        <v>190</v>
      </c>
      <c r="BI13" s="124" t="s">
        <v>190</v>
      </c>
      <c r="BJ13" s="124" t="s">
        <v>190</v>
      </c>
      <c r="BK13" s="124" t="s">
        <v>190</v>
      </c>
      <c r="BL13" s="124" t="s">
        <v>190</v>
      </c>
      <c r="BM13" s="124" t="s">
        <v>190</v>
      </c>
      <c r="BN13" s="124">
        <v>53</v>
      </c>
      <c r="BO13" s="124">
        <v>51</v>
      </c>
      <c r="BP13" s="124">
        <v>58</v>
      </c>
      <c r="BQ13" s="124">
        <v>51</v>
      </c>
      <c r="BR13" s="124">
        <v>44</v>
      </c>
      <c r="BS13" s="124">
        <v>51</v>
      </c>
      <c r="BT13" s="124">
        <v>51</v>
      </c>
      <c r="BU13" s="124">
        <v>51</v>
      </c>
      <c r="BV13" s="124">
        <v>51</v>
      </c>
      <c r="BW13" s="124">
        <v>68</v>
      </c>
      <c r="BX13" s="124">
        <v>51</v>
      </c>
      <c r="BY13" s="124">
        <v>60.5</v>
      </c>
      <c r="BZ13" s="124">
        <v>51</v>
      </c>
      <c r="CA13" s="124">
        <v>50</v>
      </c>
      <c r="CB13" s="124">
        <v>51</v>
      </c>
      <c r="CC13" s="124">
        <v>51</v>
      </c>
      <c r="CD13" s="124">
        <v>51</v>
      </c>
      <c r="CE13" s="124">
        <v>51</v>
      </c>
      <c r="CF13" s="243" t="s">
        <v>190</v>
      </c>
      <c r="CG13" s="243" t="s">
        <v>190</v>
      </c>
      <c r="CH13" s="243" t="s">
        <v>190</v>
      </c>
      <c r="CI13" s="243" t="s">
        <v>190</v>
      </c>
      <c r="CJ13" s="124">
        <v>41.9</v>
      </c>
      <c r="CK13" s="245" t="s">
        <v>278</v>
      </c>
      <c r="CL13" s="245" t="s">
        <v>278</v>
      </c>
      <c r="CM13" s="245" t="s">
        <v>278</v>
      </c>
      <c r="CN13" s="245" t="s">
        <v>278</v>
      </c>
      <c r="CO13" s="243" t="s">
        <v>190</v>
      </c>
      <c r="CP13" s="243" t="s">
        <v>190</v>
      </c>
      <c r="CQ13" s="243" t="s">
        <v>190</v>
      </c>
      <c r="CR13" s="243" t="s">
        <v>190</v>
      </c>
      <c r="CS13" s="124">
        <v>57.6</v>
      </c>
      <c r="CT13" s="245" t="s">
        <v>278</v>
      </c>
      <c r="CU13" s="245" t="s">
        <v>278</v>
      </c>
      <c r="CV13" s="245" t="s">
        <v>278</v>
      </c>
      <c r="CW13" s="245" t="s">
        <v>278</v>
      </c>
      <c r="CX13" s="243" t="s">
        <v>190</v>
      </c>
      <c r="CY13" s="243" t="s">
        <v>190</v>
      </c>
      <c r="CZ13" s="243" t="s">
        <v>190</v>
      </c>
      <c r="DA13" s="243" t="s">
        <v>190</v>
      </c>
      <c r="DB13" s="124">
        <v>60.5</v>
      </c>
      <c r="DC13" s="245" t="s">
        <v>278</v>
      </c>
      <c r="DD13" s="245" t="s">
        <v>278</v>
      </c>
      <c r="DE13" s="245" t="s">
        <v>278</v>
      </c>
      <c r="DF13" s="245" t="s">
        <v>278</v>
      </c>
      <c r="DG13" s="243" t="s">
        <v>190</v>
      </c>
      <c r="DH13" s="243" t="s">
        <v>190</v>
      </c>
      <c r="DI13" s="243" t="s">
        <v>190</v>
      </c>
      <c r="DJ13" s="243" t="s">
        <v>190</v>
      </c>
      <c r="DK13" s="124">
        <v>0</v>
      </c>
      <c r="DL13" s="245" t="s">
        <v>278</v>
      </c>
      <c r="DM13" s="245" t="s">
        <v>278</v>
      </c>
      <c r="DN13" s="245" t="s">
        <v>278</v>
      </c>
      <c r="DO13" s="245" t="s">
        <v>278</v>
      </c>
      <c r="DP13" s="243" t="s">
        <v>190</v>
      </c>
      <c r="DQ13" s="243" t="s">
        <v>190</v>
      </c>
      <c r="DR13" s="243" t="s">
        <v>190</v>
      </c>
      <c r="DS13" s="243" t="s">
        <v>190</v>
      </c>
      <c r="DT13" s="124">
        <v>1.3</v>
      </c>
      <c r="DU13" s="245" t="s">
        <v>278</v>
      </c>
      <c r="DV13" s="245" t="s">
        <v>278</v>
      </c>
      <c r="DW13" s="245" t="s">
        <v>278</v>
      </c>
      <c r="DX13" s="245" t="s">
        <v>278</v>
      </c>
      <c r="DY13" s="243" t="s">
        <v>190</v>
      </c>
      <c r="DZ13" s="243" t="s">
        <v>190</v>
      </c>
      <c r="EA13" s="243" t="s">
        <v>190</v>
      </c>
      <c r="EB13" s="243" t="s">
        <v>190</v>
      </c>
      <c r="EC13" s="124">
        <v>0</v>
      </c>
      <c r="ED13" s="245" t="s">
        <v>278</v>
      </c>
      <c r="EE13" s="245" t="s">
        <v>278</v>
      </c>
      <c r="EF13" s="245" t="s">
        <v>278</v>
      </c>
      <c r="EG13" s="245" t="s">
        <v>278</v>
      </c>
    </row>
    <row r="14" spans="1:137" s="125" customFormat="1">
      <c r="A14" s="124" t="s">
        <v>232</v>
      </c>
      <c r="B14" s="124" t="s">
        <v>233</v>
      </c>
      <c r="C14" s="124" t="s">
        <v>207</v>
      </c>
      <c r="D14" s="124" t="s">
        <v>208</v>
      </c>
      <c r="E14" s="124" t="s">
        <v>209</v>
      </c>
      <c r="F14" s="124" t="s">
        <v>210</v>
      </c>
      <c r="G14" s="124" t="s">
        <v>211</v>
      </c>
      <c r="H14" s="124" t="s">
        <v>204</v>
      </c>
      <c r="I14" s="124" t="s">
        <v>192</v>
      </c>
      <c r="J14" s="124" t="s">
        <v>232</v>
      </c>
      <c r="K14" s="124" t="s">
        <v>191</v>
      </c>
      <c r="L14" s="124">
        <v>56.9</v>
      </c>
      <c r="M14" s="124">
        <v>60.5</v>
      </c>
      <c r="N14" s="124">
        <v>54.7</v>
      </c>
      <c r="O14" s="124">
        <v>64.099999999999994</v>
      </c>
      <c r="P14" s="124">
        <v>52.2</v>
      </c>
      <c r="Q14" s="124">
        <v>67.7</v>
      </c>
      <c r="R14" s="124">
        <v>71.3</v>
      </c>
      <c r="S14" s="124">
        <v>74.900000000000006</v>
      </c>
      <c r="T14" s="124">
        <v>78.5</v>
      </c>
      <c r="U14" s="124">
        <v>45.3</v>
      </c>
      <c r="V14" s="124">
        <v>49.9</v>
      </c>
      <c r="W14" s="124">
        <v>43.7</v>
      </c>
      <c r="X14" s="124">
        <v>54.4</v>
      </c>
      <c r="Y14" s="124">
        <v>44</v>
      </c>
      <c r="Z14" s="124">
        <v>59</v>
      </c>
      <c r="AA14" s="124">
        <v>63.5</v>
      </c>
      <c r="AB14" s="124">
        <v>68.099999999999994</v>
      </c>
      <c r="AC14" s="124">
        <v>72.7</v>
      </c>
      <c r="AD14" s="124">
        <v>38</v>
      </c>
      <c r="AE14" s="124">
        <v>43.2</v>
      </c>
      <c r="AF14" s="124">
        <v>35.1</v>
      </c>
      <c r="AG14" s="124">
        <v>48.3</v>
      </c>
      <c r="AH14" s="124">
        <v>36.9</v>
      </c>
      <c r="AI14" s="124">
        <v>53.5</v>
      </c>
      <c r="AJ14" s="124">
        <v>58.7</v>
      </c>
      <c r="AK14" s="124">
        <v>63.8</v>
      </c>
      <c r="AL14" s="124">
        <v>69</v>
      </c>
      <c r="AM14" s="124" t="s">
        <v>190</v>
      </c>
      <c r="AN14" s="124" t="s">
        <v>190</v>
      </c>
      <c r="AO14" s="124" t="s">
        <v>190</v>
      </c>
      <c r="AP14" s="124" t="s">
        <v>190</v>
      </c>
      <c r="AQ14" s="124" t="s">
        <v>190</v>
      </c>
      <c r="AR14" s="124" t="s">
        <v>190</v>
      </c>
      <c r="AS14" s="124" t="s">
        <v>190</v>
      </c>
      <c r="AT14" s="124" t="s">
        <v>190</v>
      </c>
      <c r="AU14" s="124" t="s">
        <v>190</v>
      </c>
      <c r="AV14" s="124" t="s">
        <v>190</v>
      </c>
      <c r="AW14" s="124" t="s">
        <v>190</v>
      </c>
      <c r="AX14" s="124" t="s">
        <v>190</v>
      </c>
      <c r="AY14" s="124" t="s">
        <v>190</v>
      </c>
      <c r="AZ14" s="124" t="s">
        <v>190</v>
      </c>
      <c r="BA14" s="124" t="s">
        <v>190</v>
      </c>
      <c r="BB14" s="124" t="s">
        <v>190</v>
      </c>
      <c r="BC14" s="124" t="s">
        <v>190</v>
      </c>
      <c r="BD14" s="124" t="s">
        <v>190</v>
      </c>
      <c r="BE14" s="124" t="s">
        <v>190</v>
      </c>
      <c r="BF14" s="124" t="s">
        <v>190</v>
      </c>
      <c r="BG14" s="124" t="s">
        <v>190</v>
      </c>
      <c r="BH14" s="124" t="s">
        <v>190</v>
      </c>
      <c r="BI14" s="124" t="s">
        <v>190</v>
      </c>
      <c r="BJ14" s="124" t="s">
        <v>190</v>
      </c>
      <c r="BK14" s="124" t="s">
        <v>190</v>
      </c>
      <c r="BL14" s="124" t="s">
        <v>190</v>
      </c>
      <c r="BM14" s="124" t="s">
        <v>190</v>
      </c>
      <c r="BN14" s="124">
        <v>53</v>
      </c>
      <c r="BO14" s="124">
        <v>51</v>
      </c>
      <c r="BP14" s="124">
        <v>58</v>
      </c>
      <c r="BQ14" s="124">
        <v>51</v>
      </c>
      <c r="BR14" s="124">
        <v>44</v>
      </c>
      <c r="BS14" s="124">
        <v>51</v>
      </c>
      <c r="BT14" s="124">
        <v>51</v>
      </c>
      <c r="BU14" s="124">
        <v>51</v>
      </c>
      <c r="BV14" s="124">
        <v>51</v>
      </c>
      <c r="BW14" s="124">
        <v>67.5</v>
      </c>
      <c r="BX14" s="124">
        <v>51</v>
      </c>
      <c r="BY14" s="124">
        <v>62</v>
      </c>
      <c r="BZ14" s="124">
        <v>51</v>
      </c>
      <c r="CA14" s="124">
        <v>49.5</v>
      </c>
      <c r="CB14" s="124">
        <v>51</v>
      </c>
      <c r="CC14" s="124">
        <v>51</v>
      </c>
      <c r="CD14" s="124">
        <v>51</v>
      </c>
      <c r="CE14" s="124">
        <v>51</v>
      </c>
      <c r="CF14" s="243" t="s">
        <v>190</v>
      </c>
      <c r="CG14" s="243" t="s">
        <v>190</v>
      </c>
      <c r="CH14" s="243" t="s">
        <v>190</v>
      </c>
      <c r="CI14" s="243" t="s">
        <v>190</v>
      </c>
      <c r="CJ14" s="124">
        <v>41.4</v>
      </c>
      <c r="CK14" s="245" t="s">
        <v>278</v>
      </c>
      <c r="CL14" s="245" t="s">
        <v>278</v>
      </c>
      <c r="CM14" s="245" t="s">
        <v>278</v>
      </c>
      <c r="CN14" s="245" t="s">
        <v>278</v>
      </c>
      <c r="CO14" s="243" t="s">
        <v>190</v>
      </c>
      <c r="CP14" s="243" t="s">
        <v>190</v>
      </c>
      <c r="CQ14" s="243" t="s">
        <v>190</v>
      </c>
      <c r="CR14" s="243" t="s">
        <v>190</v>
      </c>
      <c r="CS14" s="124">
        <v>56.9</v>
      </c>
      <c r="CT14" s="245" t="s">
        <v>278</v>
      </c>
      <c r="CU14" s="245" t="s">
        <v>278</v>
      </c>
      <c r="CV14" s="245" t="s">
        <v>278</v>
      </c>
      <c r="CW14" s="245" t="s">
        <v>278</v>
      </c>
      <c r="CX14" s="243" t="s">
        <v>190</v>
      </c>
      <c r="CY14" s="243" t="s">
        <v>190</v>
      </c>
      <c r="CZ14" s="243" t="s">
        <v>190</v>
      </c>
      <c r="DA14" s="243" t="s">
        <v>190</v>
      </c>
      <c r="DB14" s="124">
        <v>61.5</v>
      </c>
      <c r="DC14" s="245" t="s">
        <v>278</v>
      </c>
      <c r="DD14" s="245" t="s">
        <v>278</v>
      </c>
      <c r="DE14" s="245" t="s">
        <v>278</v>
      </c>
      <c r="DF14" s="245" t="s">
        <v>278</v>
      </c>
      <c r="DG14" s="243" t="s">
        <v>190</v>
      </c>
      <c r="DH14" s="243" t="s">
        <v>190</v>
      </c>
      <c r="DI14" s="243" t="s">
        <v>190</v>
      </c>
      <c r="DJ14" s="243" t="s">
        <v>190</v>
      </c>
      <c r="DK14" s="124">
        <v>0</v>
      </c>
      <c r="DL14" s="245" t="s">
        <v>278</v>
      </c>
      <c r="DM14" s="245" t="s">
        <v>278</v>
      </c>
      <c r="DN14" s="245" t="s">
        <v>278</v>
      </c>
      <c r="DO14" s="245" t="s">
        <v>278</v>
      </c>
      <c r="DP14" s="243" t="s">
        <v>190</v>
      </c>
      <c r="DQ14" s="243" t="s">
        <v>190</v>
      </c>
      <c r="DR14" s="243" t="s">
        <v>190</v>
      </c>
      <c r="DS14" s="243" t="s">
        <v>190</v>
      </c>
      <c r="DT14" s="124">
        <v>1.3</v>
      </c>
      <c r="DU14" s="245" t="s">
        <v>278</v>
      </c>
      <c r="DV14" s="245" t="s">
        <v>278</v>
      </c>
      <c r="DW14" s="245" t="s">
        <v>278</v>
      </c>
      <c r="DX14" s="245" t="s">
        <v>278</v>
      </c>
      <c r="DY14" s="243" t="s">
        <v>190</v>
      </c>
      <c r="DZ14" s="243" t="s">
        <v>190</v>
      </c>
      <c r="EA14" s="243" t="s">
        <v>190</v>
      </c>
      <c r="EB14" s="243" t="s">
        <v>190</v>
      </c>
      <c r="EC14" s="124">
        <v>0</v>
      </c>
      <c r="ED14" s="245" t="s">
        <v>278</v>
      </c>
      <c r="EE14" s="245" t="s">
        <v>278</v>
      </c>
      <c r="EF14" s="245" t="s">
        <v>278</v>
      </c>
      <c r="EG14" s="245" t="s">
        <v>278</v>
      </c>
    </row>
    <row r="15" spans="1:137">
      <c r="CK15" s="245"/>
      <c r="CL15" s="245"/>
      <c r="CM15" s="245"/>
      <c r="CN15" s="245"/>
    </row>
  </sheetData>
  <sheetProtection password="CC18" sheet="1" objects="1" scenarios="1"/>
  <pageMargins left="0.2" right="0.2" top="0.25" bottom="0.75" header="0.3" footer="0.3"/>
  <pageSetup orientation="landscape" r:id="rId1"/>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_rels/item4.xml.rels><?xml version="1.0" encoding="UTF-8"?>

<Relationships xmlns="http://schemas.openxmlformats.org/package/2006/relationships">
  <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6" ma:contentTypeDescription="Create a new document." ma:contentTypeScope="" ma:versionID="4c477b597e7c222eca25c8df3a89c345">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95ef87827c111c756b1dee6e4b4097d"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DESE-231-4945</_dlc_DocId>
    <_dlc_DocIdUrl xmlns="733efe1c-5bbe-4968-87dc-d400e65c879f">
      <Url>https://sharepoint.doemass.org/ese/webteam/cps/_layouts/DocIdRedir.aspx?ID=DESE-231-4945</Url>
      <Description>DESE-231-4945</Description>
    </_dlc_DocIdUrl>
  </documentManagement>
</p:properties>
</file>

<file path=customXml/itemProps1.xml><?xml version="1.0" encoding="utf-8"?>
<ds:datastoreItem xmlns:ds="http://schemas.openxmlformats.org/officeDocument/2006/customXml" ds:itemID="{41ACE0A8-A996-42AA-A90F-0C30BBF2A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EAFF15-9AEE-4726-A085-48ECC3C45F24}">
  <ds:schemaRefs>
    <ds:schemaRef ds:uri="http://schemas.microsoft.com/sharepoint/events"/>
  </ds:schemaRefs>
</ds:datastoreItem>
</file>

<file path=customXml/itemProps3.xml><?xml version="1.0" encoding="utf-8"?>
<ds:datastoreItem xmlns:ds="http://schemas.openxmlformats.org/officeDocument/2006/customXml" ds:itemID="{356E87EB-2A51-4769-8628-D3797435FE60}">
  <ds:schemaRefs>
    <ds:schemaRef ds:uri="http://schemas.microsoft.com/sharepoint/v3/contenttype/forms"/>
  </ds:schemaRefs>
</ds:datastoreItem>
</file>

<file path=customXml/itemProps4.xml><?xml version="1.0" encoding="utf-8"?>
<ds:datastoreItem xmlns:ds="http://schemas.openxmlformats.org/officeDocument/2006/customXml" ds:itemID="{0303BD56-0827-488F-83F9-3FB0F21E8843}">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Student rates</vt:lpstr>
      <vt:lpstr>Student achievement</vt:lpstr>
      <vt:lpstr>College readiness</vt:lpstr>
      <vt:lpstr>Data</vt:lpstr>
      <vt:lpstr>'College readiness'!Print_Titles</vt:lpstr>
      <vt:lpstr>Data!Print_Titles</vt:lpstr>
      <vt:lpstr>'Student achievement'!Print_Titles</vt:lpstr>
      <vt:lpstr>school</vt:lpstr>
      <vt:lpstr>School_Code</vt:lpstr>
      <vt:lpstr>School_Data</vt:lpstr>
    </vt:vector>
  </TitlesOfParts>
  <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2014-02-06T17:30:25Z</dcterms:created>
  <dc:creator>ESE</dc:creator>
  <lastModifiedBy>dzou</lastModifiedBy>
  <lastPrinted>2014-03-06T23:40:15Z</lastPrinted>
  <dcterms:modified xsi:type="dcterms:W3CDTF">2014-03-07T15:39:07Z</dcterms:modified>
  <dc:title>Morgan Level 5 MAGs</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7 2014</vt:lpwstr>
  </property>
</Properties>
</file>